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xr:revisionPtr revIDLastSave="0" documentId="13_ncr:1_{4828C7A4-BAAD-4064-A090-53F380010ACA}" xr6:coauthVersionLast="36" xr6:coauthVersionMax="36" xr10:uidLastSave="{00000000-0000-0000-0000-000000000000}"/>
  <bookViews>
    <workbookView xWindow="0" yWindow="1100" windowWidth="28800" windowHeight="16080" tabRatio="798" xr2:uid="{00000000-000D-0000-FFFF-FFFF00000000}"/>
  </bookViews>
  <sheets>
    <sheet name="University-wide" sheetId="1" r:id="rId1"/>
    <sheet name="By Location" sheetId="2" r:id="rId2"/>
    <sheet name="By Area" sheetId="3" r:id="rId3"/>
    <sheet name="By Neighborhood" sheetId="4" r:id="rId4"/>
    <sheet name="By Lot" sheetId="5" r:id="rId5"/>
    <sheet name="By Structure" sheetId="6" r:id="rId6"/>
    <sheet name="Osler" sheetId="7" state="hidden" r:id="rId7"/>
    <sheet name="Closed" sheetId="8" r:id="rId8"/>
    <sheet name="Visitor" sheetId="9" r:id="rId9"/>
    <sheet name="Allocated" sheetId="11" r:id="rId10"/>
    <sheet name="Schedule" sheetId="12" r:id="rId11"/>
    <sheet name="Key1 Locations, Areas, Lots..." sheetId="13" r:id="rId12"/>
  </sheets>
  <definedNames>
    <definedName name="_xlnm._FilterDatabase" localSheetId="4" hidden="1">'By Lot'!$B$4:$R$3387</definedName>
    <definedName name="AthenaV1">'By Lot'!$E$2388:$E$2389</definedName>
    <definedName name="CPWallocated">'By Lot'!$E$2340:$E$2345</definedName>
    <definedName name="CPWV1">'By Lot'!$E$2303:$E$2304</definedName>
    <definedName name="CPWV2">'By Lot'!$E$2320:$E$2321</definedName>
    <definedName name="CPWV3">'By Lot'!$E$2337:$E$2338</definedName>
    <definedName name="CPWV4">'By Lot'!$E$2354:$E$2355</definedName>
    <definedName name="CPWV5">'By Lot'!$E$2371:$E$2372</definedName>
    <definedName name="MarshallOccupancyA8amCELL">'By Lot'!$F$692,'By Lot'!$F$709,'By Lot'!$F$726,'By Lot'!$F$760,'By Lot'!$F$777,'By Lot'!$F$794</definedName>
    <definedName name="p113a">'By Lot'!$E$487</definedName>
    <definedName name="p113ada">'By Lot'!$E$499</definedName>
    <definedName name="p113allocated">'By Lot'!$E$493:$E$498</definedName>
    <definedName name="p113b">'By Lot'!$E$488</definedName>
    <definedName name="p113Load">'By Lot'!$E$502</definedName>
    <definedName name="p113r">'By Lot'!$E$492</definedName>
    <definedName name="p113S">'By Lot'!$E$489</definedName>
    <definedName name="p113sy">'By Lot'!$E$501</definedName>
    <definedName name="p113total">'By Lot'!$E$503</definedName>
    <definedName name="p113uc">'By Lot'!$E$500</definedName>
    <definedName name="p113v">'By Lot'!$E$490:$E$491</definedName>
    <definedName name="p114a">'By Lot'!$E$504</definedName>
    <definedName name="p114ada">'By Lot'!$E$516</definedName>
    <definedName name="p114allocated">'By Lot'!$E$510:$E$515</definedName>
    <definedName name="p114b">'By Lot'!$E$505</definedName>
    <definedName name="p114Load">'By Lot'!$E$519</definedName>
    <definedName name="p114r">'By Lot'!$E$509</definedName>
    <definedName name="p114s">'By Lot'!$E$506</definedName>
    <definedName name="p114sy">'By Lot'!$E$518</definedName>
    <definedName name="p114total">'By Lot'!$E$520</definedName>
    <definedName name="p114uc">'By Lot'!$E$517</definedName>
    <definedName name="p114v">'By Lot'!$E$507:$E$508</definedName>
    <definedName name="p201a">'By Lot'!$E$538</definedName>
    <definedName name="p201ada">'By Lot'!$E$550</definedName>
    <definedName name="p201allocated">'By Lot'!$E$544:$E$549</definedName>
    <definedName name="p201b">'By Lot'!$E$539</definedName>
    <definedName name="p201Loading">'By Lot'!$E$553</definedName>
    <definedName name="p201r">'By Lot'!$E$543</definedName>
    <definedName name="p201s">'By Lot'!$E$540</definedName>
    <definedName name="p201sy">'By Lot'!$E$552</definedName>
    <definedName name="p201uc">'By Lot'!$E$551</definedName>
    <definedName name="p201v">'By Lot'!$E$541:$E$542</definedName>
    <definedName name="P202A">'By Lot'!$E$555</definedName>
    <definedName name="P202ada">'By Lot'!$E$567</definedName>
    <definedName name="P202Allocated">'By Lot'!$E$561:$E$566</definedName>
    <definedName name="P202B">'By Lot'!$E$556</definedName>
    <definedName name="P202Loading">'By Lot'!$E$570</definedName>
    <definedName name="P202Reserved">'By Lot'!$E$560</definedName>
    <definedName name="P202S">'By Lot'!$E$557</definedName>
    <definedName name="P202Service_Yard">'By Lot'!$E$569</definedName>
    <definedName name="P202Total">'By Lot'!$E$571</definedName>
    <definedName name="P202UC_Vehicle">'By Lot'!$E$568</definedName>
    <definedName name="P202Visitor">'By Lot'!$E$558:$E$559</definedName>
    <definedName name="P203A">'By Lot'!$E$572</definedName>
    <definedName name="P203Accessible">'By Lot'!$E$584</definedName>
    <definedName name="P203Allocated">'By Lot'!$E$578:$E$583</definedName>
    <definedName name="P203B">'By Lot'!$E$573</definedName>
    <definedName name="P203Loading">'By Lot'!$E$587</definedName>
    <definedName name="P203Reserved">'By Lot'!$E$577</definedName>
    <definedName name="P203S">'By Lot'!$E$574</definedName>
    <definedName name="P203Service_Yard">'By Lot'!$E$586</definedName>
    <definedName name="P203Total">'By Lot'!$E$588</definedName>
    <definedName name="P203UC_Vehicle">'By Lot'!$E$585</definedName>
    <definedName name="P203V">'By Lot'!$E$575:$E$576</definedName>
    <definedName name="P204A">'By Lot'!$E$589</definedName>
    <definedName name="P204Accessible">'By Lot'!$E$601</definedName>
    <definedName name="P204Allocated">'By Lot'!$E$595:$E$600</definedName>
    <definedName name="P204B">'By Lot'!$E$590</definedName>
    <definedName name="P204Loading">'By Lot'!$E$604</definedName>
    <definedName name="P204Reserved">'By Lot'!$E$594</definedName>
    <definedName name="P204S">'By Lot'!$E$591</definedName>
    <definedName name="P204Service_Yard">'By Lot'!$E$603</definedName>
    <definedName name="P204Total">'By Lot'!$E$605</definedName>
    <definedName name="P204UC_Vehicle">'By Lot'!$E$602</definedName>
    <definedName name="P204Visitor">'By Lot'!$E$592:$E$593</definedName>
    <definedName name="P205A">'By Lot'!$E$606</definedName>
    <definedName name="P205Accessible">'By Lot'!$E$618</definedName>
    <definedName name="P205Allocated">'By Lot'!$E$612:$E$617</definedName>
    <definedName name="P205B">'By Lot'!$E$607</definedName>
    <definedName name="P205Loading">'By Lot'!$E$621</definedName>
    <definedName name="P205Reserved">'By Lot'!$E$611</definedName>
    <definedName name="P205S">'By Lot'!$E$608</definedName>
    <definedName name="P205Service_Yard">'By Lot'!$E$620</definedName>
    <definedName name="P205Total">'By Lot'!$E$622</definedName>
    <definedName name="P205UC_Vehicle">'By Lot'!$E$619</definedName>
    <definedName name="P205Visitor">'By Lot'!$E$609:$E$610</definedName>
    <definedName name="P206a_regular">'By Lot'!$E$623</definedName>
    <definedName name="P206Accessible">'By Lot'!$E$636</definedName>
    <definedName name="p206allocated">'By Lot'!$E$631:$E$635</definedName>
    <definedName name="P206B">'By Lot'!$E$626</definedName>
    <definedName name="P206Loading">'By Lot'!$E$639</definedName>
    <definedName name="P206Reserved">'By Lot'!$E$630</definedName>
    <definedName name="P206S">'By Lot'!$E$627</definedName>
    <definedName name="P206Service_Yard">'By Lot'!$E$638</definedName>
    <definedName name="P206Total">'By Lot'!$E$640</definedName>
    <definedName name="P206UC_Vehicle">'By Lot'!$E$637</definedName>
    <definedName name="p206visitor">'By Lot'!$E$628:$E$629</definedName>
    <definedName name="P302A">'By Lot'!$E$692</definedName>
    <definedName name="P302Accessible">'By Lot'!$E$704</definedName>
    <definedName name="P302Allocated">'By Lot'!$E$698:$E$703</definedName>
    <definedName name="P302B">'By Lot'!$E$693</definedName>
    <definedName name="P302Loading">'By Lot'!$E$707</definedName>
    <definedName name="P302Reserved">'By Lot'!$E$697</definedName>
    <definedName name="P302S">'By Lot'!$E$694</definedName>
    <definedName name="P302Service_Yard">'By Lot'!$E$706</definedName>
    <definedName name="P302Total">'By Lot'!$E$708</definedName>
    <definedName name="P302UC_Vehicle">'By Lot'!$E$705</definedName>
    <definedName name="P302Visitor">'By Lot'!$E$695:$E$696</definedName>
    <definedName name="P303A">'By Lot'!$E$709</definedName>
    <definedName name="P303Accessible">'By Lot'!$E$721</definedName>
    <definedName name="P303Allocated">'By Lot'!$E$715:$E$720</definedName>
    <definedName name="P303B">'By Lot'!$E$710</definedName>
    <definedName name="P303Loading">'By Lot'!$E$724</definedName>
    <definedName name="P303Reserved">'By Lot'!$E$714</definedName>
    <definedName name="P303S">'By Lot'!$E$711</definedName>
    <definedName name="P303Service_Yard">'By Lot'!$E$723</definedName>
    <definedName name="P303Total">'By Lot'!$E$725</definedName>
    <definedName name="P303UC_Vehicle">'By Lot'!$E$722</definedName>
    <definedName name="P303Visitor">'By Lot'!$E$712:$E$713</definedName>
    <definedName name="P304A">'By Lot'!$E$726</definedName>
    <definedName name="P304Accessible">'By Lot'!$E$738</definedName>
    <definedName name="P304Allocated">'By Lot'!$E$732:$E$737</definedName>
    <definedName name="P304B">'By Lot'!$E$727</definedName>
    <definedName name="P304Loading">'By Lot'!$E$741</definedName>
    <definedName name="P304Reserved">'By Lot'!$E$731</definedName>
    <definedName name="P304S">'By Lot'!$E$728</definedName>
    <definedName name="P304Service_Yard">'By Lot'!$E$740</definedName>
    <definedName name="P304Total">'By Lot'!$E$742</definedName>
    <definedName name="P304UC_Vehicle">'By Lot'!$E$739</definedName>
    <definedName name="P304Visitor">'By Lot'!$E$729:$E$730</definedName>
    <definedName name="P306A">'By Lot'!$E$743</definedName>
    <definedName name="P306Accessible">'By Lot'!$E$755</definedName>
    <definedName name="P306Allocated">'By Lot'!$E$749:$E$754</definedName>
    <definedName name="P306B">'By Lot'!$E$744</definedName>
    <definedName name="P306Loading">'By Lot'!$E$758</definedName>
    <definedName name="P306Reserved">'By Lot'!$E$748</definedName>
    <definedName name="P306S">'By Lot'!$E$745</definedName>
    <definedName name="P306Service_Yard">'By Lot'!$E$757</definedName>
    <definedName name="P306Total">'By Lot'!$E$759</definedName>
    <definedName name="P306UC_Vehicle">'By Lot'!$E$756</definedName>
    <definedName name="P306Visitor">'By Lot'!$E$746:$E$747</definedName>
    <definedName name="P308A">'By Lot'!$E$760</definedName>
    <definedName name="P308Accessible">'By Lot'!$E$772</definedName>
    <definedName name="P308Allocated">'By Lot'!$E$766:$E$771</definedName>
    <definedName name="P308B">'By Lot'!$E$761</definedName>
    <definedName name="P308Loading">'By Lot'!$E$775</definedName>
    <definedName name="P308Reserved">'By Lot'!$E$765</definedName>
    <definedName name="P308S">'By Lot'!$E$762</definedName>
    <definedName name="P308Service_Yard">'By Lot'!$E$774</definedName>
    <definedName name="P308Total">'By Lot'!$E$776</definedName>
    <definedName name="P308UC_Vehicle">'By Lot'!$E$773</definedName>
    <definedName name="P308Visitor">'By Lot'!$E$763:$E$764</definedName>
    <definedName name="P309A">'By Lot'!$E$777</definedName>
    <definedName name="P309Accessible">'By Lot'!$E$789</definedName>
    <definedName name="P309Allocated">'By Lot'!$E$783:$E$788</definedName>
    <definedName name="P309B">'By Lot'!$E$778</definedName>
    <definedName name="P309Loading">'By Lot'!$E$792</definedName>
    <definedName name="P309Reserved">'By Lot'!$E$782</definedName>
    <definedName name="P309S">'By Lot'!$E$779</definedName>
    <definedName name="P309Service_Yard">'By Lot'!$E$791</definedName>
    <definedName name="P309Total">'By Lot'!$E$793</definedName>
    <definedName name="P309UC_Vehicle">'By Lot'!$E$790</definedName>
    <definedName name="P309Visitor">'By Lot'!$E$780:$E$781</definedName>
    <definedName name="P310A">'By Lot'!$E$794</definedName>
    <definedName name="P310Accessible">'By Lot'!$E$806</definedName>
    <definedName name="P310Allocated">'By Lot'!$E$800:$E$805</definedName>
    <definedName name="P310B">'By Lot'!$E$795</definedName>
    <definedName name="P310Loading">'By Lot'!$E$809</definedName>
    <definedName name="P310Reserved">'By Lot'!$E$799</definedName>
    <definedName name="P310S">'By Lot'!$E$796</definedName>
    <definedName name="P310Service_Yard">'By Lot'!$E$808</definedName>
    <definedName name="P310Total">'By Lot'!$E$810</definedName>
    <definedName name="P310UC_Vehicle">'By Lot'!$E$807</definedName>
    <definedName name="P310Visitor">'By Lot'!$E$797:$E$798</definedName>
    <definedName name="P414A">'By Lot'!$E$1562</definedName>
    <definedName name="P414Accessible">'By Lot'!$E$1574</definedName>
    <definedName name="P414Allocated">'By Lot'!$E$1568:$E$1573</definedName>
    <definedName name="P414B">'By Lot'!$E$1563</definedName>
    <definedName name="P414Loading">'By Lot'!$E$1577</definedName>
    <definedName name="P414Reserved">'By Lot'!$E$1567</definedName>
    <definedName name="P414S">'By Lot'!$E$1564</definedName>
    <definedName name="P414Service_Yard">'By Lot'!$E$1576</definedName>
    <definedName name="P414Total">'By Lot'!$E$1578</definedName>
    <definedName name="P414UC_Vehicle">'By Lot'!$E$1575</definedName>
    <definedName name="P414Visitor">'By Lot'!$E$1565:$E$1566</definedName>
    <definedName name="_xlnm.Print_Area" localSheetId="4">'By Lot'!$C$1:$R$3387</definedName>
    <definedName name="_xlnm.Print_Area" localSheetId="5">'By Structure'!$A$1:$P$160</definedName>
    <definedName name="_xlnm.Print_Area" localSheetId="11">'Key1 Locations, Areas, Lots...'!$B$1:$W$57</definedName>
    <definedName name="_xlnm.Print_Titles" localSheetId="9">Allocated!$1:$6</definedName>
    <definedName name="_xlnm.Print_Titles" localSheetId="2">'By Area'!$1:$6</definedName>
    <definedName name="_xlnm.Print_Titles" localSheetId="4">'By Lot'!$1:$6</definedName>
    <definedName name="_xlnm.Print_Titles" localSheetId="3">'By Neighborhood'!$1:$6</definedName>
    <definedName name="_xlnm.Print_Titles" localSheetId="5">'By Structure'!$1:$6</definedName>
    <definedName name="ScholarsB3A">'By Lot'!$E$641</definedName>
    <definedName name="ScholarsB3ada">'By Lot'!$E$653</definedName>
    <definedName name="ScholarsB3allocated">'By Lot'!$E$647:$E$652</definedName>
    <definedName name="ScholarsB3B">'By Lot'!$E$642</definedName>
    <definedName name="ScholarsB3Loading">'By Lot'!$E$656</definedName>
    <definedName name="ScholarsB3reserved">'By Lot'!$E$646</definedName>
    <definedName name="ScholarsB3S">'By Lot'!$E$643</definedName>
    <definedName name="ScholarsB3sy">'By Lot'!$E$655</definedName>
    <definedName name="ScholarsB3total">'By Lot'!$E$657</definedName>
    <definedName name="ScholarsB3uc">'By Lot'!$E$654</definedName>
    <definedName name="ScholarsB3visitor">'By Lot'!$E$644:$E$645</definedName>
    <definedName name="SixthInventoryTotal">'By Lot'!D1185+'By Lot'!D1202+'By Lot'!D1219+'By Lot'!D1236+'By Lot'!D1270+'By Lot'!D1287+'By Lot'!D1474+'By Lot'!D1491+'By Lot'!D1510+'By Lot'!D1527+'By Lot'!D1544+'By Lot'!D1561+'By Lot'!D1663</definedName>
  </definedNames>
  <calcPr calcId="191028"/>
  <extLst>
    <ext uri="GoogleSheetsCustomDataVersion1">
      <go:sheetsCustomData xmlns:go="http://customooxmlschemas.google.com/" r:id="rId16" roundtripDataSignature="AMtx7mgn5vMrB1jbYOKn7RHUyEQLKvrkAA=="/>
    </ext>
  </extLst>
</workbook>
</file>

<file path=xl/calcChain.xml><?xml version="1.0" encoding="utf-8"?>
<calcChain xmlns="http://schemas.openxmlformats.org/spreadsheetml/2006/main">
  <c r="C28" i="3" l="1"/>
  <c r="N150" i="4"/>
  <c r="O150" i="4" s="1"/>
  <c r="P150" i="4" s="1"/>
  <c r="C33" i="3"/>
  <c r="C18" i="3"/>
  <c r="E1272" i="5" l="1"/>
  <c r="M77" i="6"/>
  <c r="L77" i="6"/>
  <c r="K77" i="6"/>
  <c r="J77" i="6"/>
  <c r="I77" i="6"/>
  <c r="H77" i="6"/>
  <c r="G77" i="6"/>
  <c r="F77" i="6"/>
  <c r="E77" i="6"/>
  <c r="D77" i="6"/>
  <c r="N77" i="6" s="1"/>
  <c r="O77" i="6" s="1"/>
  <c r="P77" i="6" s="1"/>
  <c r="C77" i="6"/>
  <c r="C73" i="6"/>
  <c r="M157" i="4"/>
  <c r="L157" i="4"/>
  <c r="K157" i="4"/>
  <c r="J157" i="4"/>
  <c r="I157" i="4"/>
  <c r="H157" i="4"/>
  <c r="G157" i="4"/>
  <c r="F157" i="4"/>
  <c r="E157" i="4"/>
  <c r="D157" i="4"/>
  <c r="C157" i="4"/>
  <c r="C163" i="4"/>
  <c r="M162" i="4"/>
  <c r="L162" i="4"/>
  <c r="K162" i="4"/>
  <c r="J162" i="4"/>
  <c r="I162" i="4"/>
  <c r="H162" i="4"/>
  <c r="G162" i="4"/>
  <c r="F162" i="4"/>
  <c r="E162" i="4"/>
  <c r="D162" i="4"/>
  <c r="C162" i="4"/>
  <c r="M150" i="4"/>
  <c r="L150" i="4"/>
  <c r="K150" i="4"/>
  <c r="J150" i="4"/>
  <c r="I150" i="4"/>
  <c r="H150" i="4"/>
  <c r="G150" i="4"/>
  <c r="F150" i="4"/>
  <c r="E150" i="4"/>
  <c r="D150" i="4"/>
  <c r="C150" i="4"/>
  <c r="C151" i="4"/>
  <c r="M86" i="4"/>
  <c r="M85" i="4"/>
  <c r="M78" i="4"/>
  <c r="L86" i="4"/>
  <c r="L85" i="4"/>
  <c r="L78" i="4"/>
  <c r="K86" i="4"/>
  <c r="K85" i="4"/>
  <c r="K78" i="4"/>
  <c r="J86" i="4"/>
  <c r="J85" i="4"/>
  <c r="J78" i="4"/>
  <c r="D86" i="4"/>
  <c r="D85" i="4"/>
  <c r="D78" i="4"/>
  <c r="D75" i="4"/>
  <c r="I86" i="4"/>
  <c r="I85" i="4"/>
  <c r="I78" i="4"/>
  <c r="H86" i="4"/>
  <c r="H85" i="4"/>
  <c r="H78" i="4"/>
  <c r="G86" i="4"/>
  <c r="G85" i="4"/>
  <c r="G78" i="4"/>
  <c r="F86" i="4"/>
  <c r="F85" i="4"/>
  <c r="F78" i="4"/>
  <c r="E86" i="4"/>
  <c r="E85" i="4"/>
  <c r="E78" i="4"/>
  <c r="M75" i="4"/>
  <c r="L75" i="4"/>
  <c r="K75" i="4"/>
  <c r="J75" i="4"/>
  <c r="I75" i="4"/>
  <c r="H75" i="4"/>
  <c r="G75" i="4"/>
  <c r="F75" i="4"/>
  <c r="E75" i="4"/>
  <c r="C75" i="4"/>
  <c r="E89" i="4"/>
  <c r="J89" i="4"/>
  <c r="K89" i="4"/>
  <c r="L89" i="4"/>
  <c r="M89" i="4"/>
  <c r="G91" i="4"/>
  <c r="H91" i="4"/>
  <c r="I91" i="4"/>
  <c r="J91" i="4"/>
  <c r="K91" i="4"/>
  <c r="L91" i="4"/>
  <c r="M91" i="4"/>
  <c r="D92" i="4"/>
  <c r="E92" i="4"/>
  <c r="F92" i="4"/>
  <c r="G92" i="4"/>
  <c r="H92" i="4"/>
  <c r="I92" i="4"/>
  <c r="J92" i="4"/>
  <c r="K92" i="4"/>
  <c r="L92" i="4"/>
  <c r="M92" i="4"/>
  <c r="D93" i="4"/>
  <c r="E93" i="4"/>
  <c r="F93" i="4"/>
  <c r="G93" i="4"/>
  <c r="H93" i="4"/>
  <c r="I93" i="4"/>
  <c r="J93" i="4"/>
  <c r="K93" i="4"/>
  <c r="L93" i="4"/>
  <c r="M93" i="4"/>
  <c r="D94" i="4"/>
  <c r="E94" i="4"/>
  <c r="F94" i="4"/>
  <c r="G94" i="4"/>
  <c r="H94" i="4"/>
  <c r="I94" i="4"/>
  <c r="J94" i="4"/>
  <c r="K94" i="4"/>
  <c r="L94" i="4"/>
  <c r="M94" i="4"/>
  <c r="D96" i="4"/>
  <c r="E96" i="4"/>
  <c r="F96" i="4"/>
  <c r="G96" i="4"/>
  <c r="H96" i="4"/>
  <c r="I96" i="4"/>
  <c r="J96" i="4"/>
  <c r="K96" i="4"/>
  <c r="L96" i="4"/>
  <c r="M96" i="4"/>
  <c r="D97" i="4"/>
  <c r="E97" i="4"/>
  <c r="F97" i="4"/>
  <c r="G97" i="4"/>
  <c r="H97" i="4"/>
  <c r="I97" i="4"/>
  <c r="J97" i="4"/>
  <c r="K97" i="4"/>
  <c r="L97" i="4"/>
  <c r="M97" i="4"/>
  <c r="C97" i="4"/>
  <c r="C96" i="4"/>
  <c r="C95" i="4"/>
  <c r="C94" i="4"/>
  <c r="C93" i="4"/>
  <c r="C92" i="4"/>
  <c r="C91" i="4"/>
  <c r="C90" i="4"/>
  <c r="C89" i="4"/>
  <c r="C88" i="4"/>
  <c r="C78" i="4" l="1"/>
  <c r="M77" i="4"/>
  <c r="L77" i="4"/>
  <c r="K77" i="4"/>
  <c r="J77" i="4"/>
  <c r="I77" i="4"/>
  <c r="H77" i="4"/>
  <c r="G77" i="4"/>
  <c r="F77" i="4"/>
  <c r="E77" i="4"/>
  <c r="D77" i="4"/>
  <c r="I76" i="4"/>
  <c r="C86" i="4"/>
  <c r="C85" i="4"/>
  <c r="M38" i="4"/>
  <c r="L38" i="4"/>
  <c r="K38" i="4"/>
  <c r="J38" i="4"/>
  <c r="I38" i="4"/>
  <c r="H38" i="4"/>
  <c r="G38" i="4"/>
  <c r="F38" i="4"/>
  <c r="E38" i="4"/>
  <c r="D38" i="4"/>
  <c r="M35" i="4"/>
  <c r="L35" i="4"/>
  <c r="K35" i="4"/>
  <c r="J35" i="4"/>
  <c r="I35" i="4"/>
  <c r="H35" i="4"/>
  <c r="G35" i="4"/>
  <c r="F35" i="4"/>
  <c r="E35" i="4"/>
  <c r="D35" i="4"/>
  <c r="L34" i="4"/>
  <c r="H34" i="4"/>
  <c r="M32" i="4"/>
  <c r="L32" i="4"/>
  <c r="K32" i="4"/>
  <c r="J32" i="4"/>
  <c r="I32" i="4"/>
  <c r="H32" i="4"/>
  <c r="G32" i="4"/>
  <c r="F32" i="4"/>
  <c r="E32" i="4"/>
  <c r="D32" i="4"/>
  <c r="M31" i="4"/>
  <c r="L31" i="4"/>
  <c r="K31" i="4"/>
  <c r="J31" i="4"/>
  <c r="I31" i="4"/>
  <c r="H31" i="4"/>
  <c r="G31" i="4"/>
  <c r="F31" i="4"/>
  <c r="E31" i="4"/>
  <c r="D31" i="4"/>
  <c r="M30" i="4"/>
  <c r="L30" i="4"/>
  <c r="K30" i="4"/>
  <c r="C38" i="4"/>
  <c r="C35" i="4"/>
  <c r="C34" i="4"/>
  <c r="C32" i="4"/>
  <c r="C31" i="4"/>
  <c r="C30" i="4"/>
  <c r="C109" i="4"/>
  <c r="C108" i="4"/>
  <c r="D109" i="4"/>
  <c r="M108" i="4"/>
  <c r="L108" i="4"/>
  <c r="K108" i="4"/>
  <c r="J108" i="4"/>
  <c r="I108" i="4"/>
  <c r="H108" i="4"/>
  <c r="G108" i="4"/>
  <c r="F108" i="4"/>
  <c r="E108" i="4"/>
  <c r="D108" i="4"/>
  <c r="M103" i="4"/>
  <c r="L103" i="4"/>
  <c r="K103" i="4"/>
  <c r="J103" i="4"/>
  <c r="I103" i="4"/>
  <c r="H103" i="4"/>
  <c r="G103" i="4"/>
  <c r="F103" i="4"/>
  <c r="E103" i="4"/>
  <c r="D103" i="4"/>
  <c r="M100" i="6"/>
  <c r="L100" i="6"/>
  <c r="K100" i="6"/>
  <c r="J100" i="6"/>
  <c r="I100" i="6"/>
  <c r="H100" i="6"/>
  <c r="G100" i="6"/>
  <c r="F100" i="6"/>
  <c r="E100" i="6"/>
  <c r="D100" i="6"/>
  <c r="C100" i="6"/>
  <c r="V2655" i="5"/>
  <c r="V2656" i="5"/>
  <c r="M212" i="4"/>
  <c r="L212" i="4"/>
  <c r="K212" i="4"/>
  <c r="J212" i="4"/>
  <c r="I212" i="4"/>
  <c r="H212" i="4"/>
  <c r="G212" i="4"/>
  <c r="F212" i="4"/>
  <c r="E212" i="4"/>
  <c r="D212" i="4"/>
  <c r="C212" i="4"/>
  <c r="M211" i="4"/>
  <c r="L211" i="4"/>
  <c r="K211" i="4"/>
  <c r="J211" i="4"/>
  <c r="I211" i="4"/>
  <c r="H211" i="4"/>
  <c r="G211" i="4"/>
  <c r="F211" i="4"/>
  <c r="E211" i="4"/>
  <c r="D211" i="4"/>
  <c r="M210" i="4"/>
  <c r="L210" i="4"/>
  <c r="K210" i="4"/>
  <c r="J210" i="4"/>
  <c r="I210" i="4"/>
  <c r="H210" i="4"/>
  <c r="G210" i="4"/>
  <c r="F210" i="4"/>
  <c r="E210" i="4"/>
  <c r="D210" i="4"/>
  <c r="C211" i="4"/>
  <c r="C210" i="4"/>
  <c r="C123" i="6"/>
  <c r="T2757" i="5" l="1"/>
  <c r="E2043" i="5"/>
  <c r="E1612" i="5"/>
  <c r="M232" i="4" l="1"/>
  <c r="L232" i="4"/>
  <c r="K232" i="4"/>
  <c r="J232" i="4"/>
  <c r="I232" i="4"/>
  <c r="H232" i="4"/>
  <c r="G232" i="4"/>
  <c r="F232" i="4"/>
  <c r="E232" i="4"/>
  <c r="D232" i="4"/>
  <c r="C232" i="4"/>
  <c r="M234" i="4"/>
  <c r="L234" i="4"/>
  <c r="K234" i="4"/>
  <c r="J234" i="4"/>
  <c r="I234" i="4"/>
  <c r="H234" i="4"/>
  <c r="G234" i="4"/>
  <c r="F234" i="4"/>
  <c r="E234" i="4"/>
  <c r="D234" i="4"/>
  <c r="M233" i="4"/>
  <c r="L233" i="4"/>
  <c r="K233" i="4"/>
  <c r="J233" i="4"/>
  <c r="I233" i="4"/>
  <c r="H233" i="4"/>
  <c r="G233" i="4"/>
  <c r="F233" i="4"/>
  <c r="E233" i="4"/>
  <c r="D233" i="4"/>
  <c r="M231" i="4"/>
  <c r="L231" i="4"/>
  <c r="K231" i="4"/>
  <c r="J231" i="4"/>
  <c r="I231" i="4"/>
  <c r="H231" i="4"/>
  <c r="G231" i="4"/>
  <c r="F231" i="4"/>
  <c r="E231" i="4"/>
  <c r="D231" i="4"/>
  <c r="M230" i="4"/>
  <c r="L230" i="4"/>
  <c r="K230" i="4"/>
  <c r="J230" i="4"/>
  <c r="I230" i="4"/>
  <c r="H230" i="4"/>
  <c r="G230" i="4"/>
  <c r="F230" i="4"/>
  <c r="E230" i="4"/>
  <c r="D230" i="4"/>
  <c r="M229" i="4"/>
  <c r="L229" i="4"/>
  <c r="K229" i="4"/>
  <c r="J229" i="4"/>
  <c r="I229" i="4"/>
  <c r="H229" i="4"/>
  <c r="G229" i="4"/>
  <c r="F229" i="4"/>
  <c r="E229" i="4"/>
  <c r="D229" i="4"/>
  <c r="M228" i="4"/>
  <c r="L228" i="4"/>
  <c r="K228" i="4"/>
  <c r="J228" i="4"/>
  <c r="I228" i="4"/>
  <c r="H228" i="4"/>
  <c r="G228" i="4"/>
  <c r="F228" i="4"/>
  <c r="E228" i="4"/>
  <c r="D228" i="4"/>
  <c r="M226" i="4"/>
  <c r="L226" i="4"/>
  <c r="K226" i="4"/>
  <c r="J226" i="4"/>
  <c r="I226" i="4"/>
  <c r="H226" i="4"/>
  <c r="G226" i="4"/>
  <c r="F226" i="4"/>
  <c r="E226" i="4"/>
  <c r="D226" i="4"/>
  <c r="M225" i="4"/>
  <c r="L225" i="4"/>
  <c r="K225" i="4"/>
  <c r="J225" i="4"/>
  <c r="I225" i="4"/>
  <c r="H225" i="4"/>
  <c r="G225" i="4"/>
  <c r="F225" i="4"/>
  <c r="E225" i="4"/>
  <c r="D225" i="4"/>
  <c r="C228" i="4"/>
  <c r="C226" i="4"/>
  <c r="C225" i="4"/>
  <c r="C230" i="4"/>
  <c r="C234" i="4" l="1"/>
  <c r="C233" i="4"/>
  <c r="C231" i="4"/>
  <c r="C229" i="4"/>
  <c r="L18" i="8" l="1"/>
  <c r="K18" i="8"/>
  <c r="J18" i="8"/>
  <c r="I18" i="8"/>
  <c r="H18" i="8"/>
  <c r="G18" i="8"/>
  <c r="F18" i="8"/>
  <c r="E18" i="8"/>
  <c r="D18" i="8"/>
  <c r="O263" i="5" l="1"/>
  <c r="N263" i="5"/>
  <c r="M263" i="5"/>
  <c r="L263" i="5"/>
  <c r="K263" i="5"/>
  <c r="J263" i="5"/>
  <c r="I263" i="5"/>
  <c r="H263" i="5"/>
  <c r="G263" i="5"/>
  <c r="F263" i="5"/>
  <c r="E263" i="5"/>
  <c r="C18" i="6"/>
  <c r="P263" i="5" l="1"/>
  <c r="Q263" i="5" s="1"/>
  <c r="R263" i="5" s="1"/>
  <c r="N116" i="6"/>
  <c r="N777" i="5"/>
  <c r="O777" i="5"/>
  <c r="M777" i="5"/>
  <c r="L777" i="5"/>
  <c r="J88" i="4" s="1"/>
  <c r="J98" i="4" s="1"/>
  <c r="K777" i="5"/>
  <c r="J777" i="5"/>
  <c r="H88" i="4" s="1"/>
  <c r="I777" i="5"/>
  <c r="H777" i="5"/>
  <c r="G777" i="5"/>
  <c r="F777" i="5"/>
  <c r="D130" i="4"/>
  <c r="E130" i="4"/>
  <c r="E647" i="5" l="1"/>
  <c r="H647" i="5" s="1"/>
  <c r="H657" i="5" s="1"/>
  <c r="M11" i="6"/>
  <c r="M81" i="4" s="1"/>
  <c r="L11" i="6"/>
  <c r="L81" i="4" s="1"/>
  <c r="K11" i="6"/>
  <c r="K81" i="4" s="1"/>
  <c r="J11" i="6"/>
  <c r="J81" i="4" s="1"/>
  <c r="I11" i="6"/>
  <c r="I81" i="4" s="1"/>
  <c r="H11" i="6"/>
  <c r="H81" i="4" s="1"/>
  <c r="G11" i="6"/>
  <c r="G81" i="4" s="1"/>
  <c r="F11" i="6"/>
  <c r="F81" i="4" s="1"/>
  <c r="E11" i="6"/>
  <c r="E81" i="4" s="1"/>
  <c r="D11" i="6"/>
  <c r="D81" i="4" s="1"/>
  <c r="C11" i="6"/>
  <c r="C81" i="4" s="1"/>
  <c r="D47" i="6"/>
  <c r="E47" i="6"/>
  <c r="D128" i="6"/>
  <c r="E681" i="5"/>
  <c r="I647" i="5"/>
  <c r="I657" i="5" s="1"/>
  <c r="P653" i="5"/>
  <c r="Q653" i="5" s="1"/>
  <c r="R653" i="5" s="1"/>
  <c r="O687" i="5"/>
  <c r="M13" i="6" s="1"/>
  <c r="M83" i="4" s="1"/>
  <c r="N687" i="5"/>
  <c r="L13" i="6" s="1"/>
  <c r="L83" i="4" s="1"/>
  <c r="M687" i="5"/>
  <c r="K13" i="6" s="1"/>
  <c r="K83" i="4" s="1"/>
  <c r="L687" i="5"/>
  <c r="K687" i="5"/>
  <c r="I13" i="6" s="1"/>
  <c r="I83" i="4" s="1"/>
  <c r="J687" i="5"/>
  <c r="H13" i="6" s="1"/>
  <c r="H83" i="4" s="1"/>
  <c r="I687" i="5"/>
  <c r="H687" i="5"/>
  <c r="F13" i="6" s="1"/>
  <c r="F83" i="4" s="1"/>
  <c r="G687" i="5"/>
  <c r="E13" i="6" s="1"/>
  <c r="E83" i="4" s="1"/>
  <c r="F687" i="5"/>
  <c r="E687" i="5"/>
  <c r="C13" i="6" s="1"/>
  <c r="C83" i="4" s="1"/>
  <c r="P682" i="5"/>
  <c r="Q682" i="5" s="1"/>
  <c r="R682" i="5" s="1"/>
  <c r="P681" i="5"/>
  <c r="O678" i="5"/>
  <c r="M10" i="6" s="1"/>
  <c r="N678" i="5"/>
  <c r="L10" i="6" s="1"/>
  <c r="M80" i="4" s="1"/>
  <c r="M678" i="5"/>
  <c r="K10" i="6" s="1"/>
  <c r="L80" i="4" s="1"/>
  <c r="L678" i="5"/>
  <c r="J10" i="6" s="1"/>
  <c r="K80" i="4" s="1"/>
  <c r="K678" i="5"/>
  <c r="I10" i="6" s="1"/>
  <c r="J80" i="4" s="1"/>
  <c r="J678" i="5"/>
  <c r="H10" i="6" s="1"/>
  <c r="I80" i="4" s="1"/>
  <c r="I678" i="5"/>
  <c r="G10" i="6" s="1"/>
  <c r="H80" i="4" s="1"/>
  <c r="H678" i="5"/>
  <c r="F10" i="6" s="1"/>
  <c r="G80" i="4" s="1"/>
  <c r="G678" i="5"/>
  <c r="E10" i="6" s="1"/>
  <c r="F80" i="4" s="1"/>
  <c r="F678" i="5"/>
  <c r="D10" i="6" s="1"/>
  <c r="E80" i="4" s="1"/>
  <c r="E678" i="5"/>
  <c r="C10" i="6" s="1"/>
  <c r="F670" i="5"/>
  <c r="P665" i="5"/>
  <c r="Q665" i="5" s="1"/>
  <c r="R665" i="5" s="1"/>
  <c r="O664" i="5"/>
  <c r="O674" i="5" s="1"/>
  <c r="N664" i="5"/>
  <c r="N674" i="5" s="1"/>
  <c r="M664" i="5"/>
  <c r="L664" i="5"/>
  <c r="L674" i="5" s="1"/>
  <c r="K664" i="5"/>
  <c r="K674" i="5" s="1"/>
  <c r="J664" i="5"/>
  <c r="J674" i="5" s="1"/>
  <c r="I664" i="5"/>
  <c r="I674" i="5" s="1"/>
  <c r="H664" i="5"/>
  <c r="H674" i="5" s="1"/>
  <c r="G664" i="5"/>
  <c r="G674" i="5" s="1"/>
  <c r="F664" i="5"/>
  <c r="M674" i="5"/>
  <c r="E674" i="5"/>
  <c r="O2606" i="5"/>
  <c r="N2606" i="5"/>
  <c r="M2606" i="5"/>
  <c r="L2606" i="5"/>
  <c r="K2606" i="5"/>
  <c r="J2606" i="5"/>
  <c r="I2606" i="5"/>
  <c r="H2606" i="5"/>
  <c r="G2606" i="5"/>
  <c r="O2609" i="5"/>
  <c r="F2609" i="5"/>
  <c r="N2692" i="5"/>
  <c r="M2692" i="5"/>
  <c r="L2692" i="5"/>
  <c r="K2692" i="5"/>
  <c r="J2692" i="5"/>
  <c r="I2692" i="5"/>
  <c r="H2692" i="5"/>
  <c r="G2692" i="5"/>
  <c r="F2692" i="5"/>
  <c r="O2692" i="5"/>
  <c r="O2675" i="5"/>
  <c r="O2200" i="5"/>
  <c r="N2200" i="5"/>
  <c r="M2200" i="5"/>
  <c r="L2200" i="5"/>
  <c r="K2200" i="5"/>
  <c r="J2200" i="5"/>
  <c r="I2200" i="5"/>
  <c r="H2200" i="5"/>
  <c r="G2200" i="5"/>
  <c r="F2200" i="5"/>
  <c r="N2182" i="5"/>
  <c r="M2182" i="5"/>
  <c r="L2182" i="5"/>
  <c r="K2182" i="5"/>
  <c r="J2182" i="5"/>
  <c r="I2182" i="5"/>
  <c r="H2182" i="5"/>
  <c r="G2182" i="5"/>
  <c r="F2182" i="5"/>
  <c r="P293" i="5"/>
  <c r="Q293" i="5" s="1"/>
  <c r="R293" i="5" s="1"/>
  <c r="P288" i="5"/>
  <c r="Q288" i="5" s="1"/>
  <c r="R288" i="5" s="1"/>
  <c r="D80" i="4" l="1"/>
  <c r="N80" i="4" s="1"/>
  <c r="O80" i="4" s="1"/>
  <c r="P80" i="4" s="1"/>
  <c r="C80" i="4"/>
  <c r="D13" i="6"/>
  <c r="D83" i="4" s="1"/>
  <c r="F674" i="5"/>
  <c r="P674" i="5" s="1"/>
  <c r="Q674" i="5" s="1"/>
  <c r="R674" i="5" s="1"/>
  <c r="P670" i="5"/>
  <c r="Q670" i="5" s="1"/>
  <c r="R670" i="5" s="1"/>
  <c r="K691" i="5"/>
  <c r="O647" i="5"/>
  <c r="O657" i="5" s="1"/>
  <c r="N647" i="5"/>
  <c r="N657" i="5" s="1"/>
  <c r="M647" i="5"/>
  <c r="M657" i="5" s="1"/>
  <c r="L647" i="5"/>
  <c r="L657" i="5" s="1"/>
  <c r="E657" i="5"/>
  <c r="I691" i="5"/>
  <c r="F647" i="5"/>
  <c r="F657" i="5" s="1"/>
  <c r="K647" i="5"/>
  <c r="M691" i="5"/>
  <c r="G647" i="5"/>
  <c r="G657" i="5" s="1"/>
  <c r="J647" i="5"/>
  <c r="J657" i="5" s="1"/>
  <c r="E691" i="5"/>
  <c r="C12" i="6"/>
  <c r="C82" i="4" s="1"/>
  <c r="L691" i="5"/>
  <c r="F691" i="5"/>
  <c r="J13" i="6"/>
  <c r="J83" i="4" s="1"/>
  <c r="J691" i="5"/>
  <c r="N691" i="5"/>
  <c r="J12" i="6"/>
  <c r="J82" i="4" s="1"/>
  <c r="G12" i="6"/>
  <c r="G82" i="4" s="1"/>
  <c r="G13" i="6"/>
  <c r="G83" i="4" s="1"/>
  <c r="P687" i="5"/>
  <c r="Q687" i="5" s="1"/>
  <c r="R687" i="5" s="1"/>
  <c r="P678" i="5"/>
  <c r="Q678" i="5" s="1"/>
  <c r="R678" i="5" s="1"/>
  <c r="O691" i="5"/>
  <c r="G691" i="5"/>
  <c r="H691" i="5"/>
  <c r="P664" i="5"/>
  <c r="Q664" i="5" s="1"/>
  <c r="R664" i="5" s="1"/>
  <c r="Q681" i="5"/>
  <c r="R681" i="5" s="1"/>
  <c r="F12" i="6"/>
  <c r="N11" i="6"/>
  <c r="O11" i="6" s="1"/>
  <c r="P11" i="6" s="1"/>
  <c r="N10" i="6"/>
  <c r="O10" i="6" s="1"/>
  <c r="P10" i="6" s="1"/>
  <c r="O1224" i="5"/>
  <c r="N1224" i="5"/>
  <c r="N1237" i="5" s="1"/>
  <c r="M1224" i="5"/>
  <c r="M1237" i="5" s="1"/>
  <c r="L1224" i="5"/>
  <c r="L1237" i="5" s="1"/>
  <c r="K1224" i="5"/>
  <c r="I126" i="4" s="1"/>
  <c r="J1224" i="5"/>
  <c r="I1224" i="5"/>
  <c r="I1237" i="5" s="1"/>
  <c r="H1224" i="5"/>
  <c r="F126" i="4" s="1"/>
  <c r="G1224" i="5"/>
  <c r="F1224" i="5"/>
  <c r="O1205" i="5"/>
  <c r="O1220" i="5" s="1"/>
  <c r="N1205" i="5"/>
  <c r="M1205" i="5"/>
  <c r="L1205" i="5"/>
  <c r="K1205" i="5"/>
  <c r="K1220" i="5" s="1"/>
  <c r="J1205" i="5"/>
  <c r="I1205" i="5"/>
  <c r="H1205" i="5"/>
  <c r="H1220" i="5" s="1"/>
  <c r="G1205" i="5"/>
  <c r="G1220" i="5" s="1"/>
  <c r="F1205" i="5"/>
  <c r="F1220" i="5" s="1"/>
  <c r="N1171" i="5"/>
  <c r="N1186" i="5" s="1"/>
  <c r="M1171" i="5"/>
  <c r="L1171" i="5"/>
  <c r="J41" i="6" s="1"/>
  <c r="K1171" i="5"/>
  <c r="K1186" i="5" s="1"/>
  <c r="J1171" i="5"/>
  <c r="I1171" i="5"/>
  <c r="H1171" i="5"/>
  <c r="G1171" i="5"/>
  <c r="F1171" i="5"/>
  <c r="F1186" i="5" s="1"/>
  <c r="O1154" i="5"/>
  <c r="N1154" i="5"/>
  <c r="N1169" i="5" s="1"/>
  <c r="M1154" i="5"/>
  <c r="M1169" i="5" s="1"/>
  <c r="L1154" i="5"/>
  <c r="K1154" i="5"/>
  <c r="J1154" i="5"/>
  <c r="H41" i="6" s="1"/>
  <c r="I1154" i="5"/>
  <c r="G1154" i="5"/>
  <c r="G1169" i="5" s="1"/>
  <c r="F1154" i="5"/>
  <c r="M1256" i="5"/>
  <c r="K52" i="6" s="1"/>
  <c r="L1256" i="5"/>
  <c r="J52" i="6" s="1"/>
  <c r="K1256" i="5"/>
  <c r="J1256" i="5"/>
  <c r="H52" i="6" s="1"/>
  <c r="F1274" i="5"/>
  <c r="F1289" i="5" s="1"/>
  <c r="K761" i="5"/>
  <c r="I89" i="4" s="1"/>
  <c r="J761" i="5"/>
  <c r="I761" i="5"/>
  <c r="G89" i="4" s="1"/>
  <c r="H761" i="5"/>
  <c r="F89" i="4" s="1"/>
  <c r="F761" i="5"/>
  <c r="D89" i="4" s="1"/>
  <c r="O839" i="5"/>
  <c r="N839" i="5"/>
  <c r="M839" i="5"/>
  <c r="M845" i="5" s="1"/>
  <c r="L839" i="5"/>
  <c r="K839" i="5"/>
  <c r="I23" i="6" s="1"/>
  <c r="J839" i="5"/>
  <c r="I839" i="5"/>
  <c r="G23" i="6" s="1"/>
  <c r="H839" i="5"/>
  <c r="F23" i="6" s="1"/>
  <c r="G839" i="5"/>
  <c r="F839" i="5"/>
  <c r="F830" i="5"/>
  <c r="P830" i="5" s="1"/>
  <c r="Q830" i="5" s="1"/>
  <c r="R830" i="5" s="1"/>
  <c r="O814" i="5"/>
  <c r="O828" i="5" s="1"/>
  <c r="N814" i="5"/>
  <c r="L20" i="6" s="1"/>
  <c r="L102" i="4" s="1"/>
  <c r="M814" i="5"/>
  <c r="L814" i="5"/>
  <c r="J20" i="6" s="1"/>
  <c r="J102" i="4" s="1"/>
  <c r="J25" i="3" s="1"/>
  <c r="J11" i="2" s="1"/>
  <c r="J10" i="1" s="1"/>
  <c r="K814" i="5"/>
  <c r="I20" i="6" s="1"/>
  <c r="I102" i="4" s="1"/>
  <c r="I25" i="3" s="1"/>
  <c r="I11" i="2" s="1"/>
  <c r="I10" i="1" s="1"/>
  <c r="J814" i="5"/>
  <c r="I814" i="5"/>
  <c r="G20" i="6" s="1"/>
  <c r="G102" i="4" s="1"/>
  <c r="G25" i="3" s="1"/>
  <c r="G11" i="2" s="1"/>
  <c r="G10" i="1" s="1"/>
  <c r="H814" i="5"/>
  <c r="F20" i="6" s="1"/>
  <c r="F102" i="4" s="1"/>
  <c r="F25" i="3" s="1"/>
  <c r="F11" i="2" s="1"/>
  <c r="F10" i="1" s="1"/>
  <c r="G814" i="5"/>
  <c r="F814" i="5"/>
  <c r="D20" i="6" s="1"/>
  <c r="D102" i="4" s="1"/>
  <c r="M2476" i="5"/>
  <c r="O2476" i="5"/>
  <c r="M111" i="6" s="1"/>
  <c r="L2476" i="5"/>
  <c r="J111" i="6" s="1"/>
  <c r="F2476" i="5"/>
  <c r="O2471" i="5"/>
  <c r="N2471" i="5"/>
  <c r="M2471" i="5"/>
  <c r="K107" i="6" s="1"/>
  <c r="K204" i="4" s="1"/>
  <c r="L2471" i="5"/>
  <c r="J107" i="6" s="1"/>
  <c r="J204" i="4" s="1"/>
  <c r="K2471" i="5"/>
  <c r="J2471" i="5"/>
  <c r="H107" i="6" s="1"/>
  <c r="H204" i="4" s="1"/>
  <c r="I2471" i="5"/>
  <c r="I2486" i="5" s="1"/>
  <c r="H2471" i="5"/>
  <c r="G2471" i="5"/>
  <c r="G2486" i="5" s="1"/>
  <c r="O2454" i="5"/>
  <c r="P2454" i="5" s="1"/>
  <c r="Q2454" i="5" s="1"/>
  <c r="R2454" i="5" s="1"/>
  <c r="O2437" i="5"/>
  <c r="N2437" i="5"/>
  <c r="O2436" i="5"/>
  <c r="M106" i="6" s="1"/>
  <c r="N2436" i="5"/>
  <c r="M2436" i="5"/>
  <c r="K106" i="6" s="1"/>
  <c r="L2436" i="5"/>
  <c r="K2436" i="5"/>
  <c r="J2436" i="5"/>
  <c r="H106" i="6" s="1"/>
  <c r="I2436" i="5"/>
  <c r="H2436" i="5"/>
  <c r="F106" i="6" s="1"/>
  <c r="G2436" i="5"/>
  <c r="F2436" i="5"/>
  <c r="D106" i="6" s="1"/>
  <c r="O2420" i="5"/>
  <c r="P2420" i="5" s="1"/>
  <c r="Q2420" i="5" s="1"/>
  <c r="R2420" i="5" s="1"/>
  <c r="O2405" i="5"/>
  <c r="N2405" i="5"/>
  <c r="M2405" i="5"/>
  <c r="M2418" i="5" s="1"/>
  <c r="L2405" i="5"/>
  <c r="L2418" i="5" s="1"/>
  <c r="K2405" i="5"/>
  <c r="I109" i="6" s="1"/>
  <c r="J2405" i="5"/>
  <c r="I2405" i="5"/>
  <c r="I2418" i="5" s="1"/>
  <c r="H2405" i="5"/>
  <c r="F109" i="6" s="1"/>
  <c r="G2405" i="5"/>
  <c r="F2405" i="5"/>
  <c r="O2397" i="5"/>
  <c r="M112" i="6" s="1"/>
  <c r="N2397" i="5"/>
  <c r="L112" i="6" s="1"/>
  <c r="M2397" i="5"/>
  <c r="K112" i="6" s="1"/>
  <c r="L2397" i="5"/>
  <c r="K2397" i="5"/>
  <c r="K2401" i="5" s="1"/>
  <c r="J2397" i="5"/>
  <c r="J2401" i="5" s="1"/>
  <c r="I2397" i="5"/>
  <c r="H2397" i="5"/>
  <c r="H2401" i="5" s="1"/>
  <c r="G2397" i="5"/>
  <c r="E112" i="6" s="1"/>
  <c r="F2397" i="5"/>
  <c r="F2401" i="5" s="1"/>
  <c r="P3236" i="5"/>
  <c r="Q3236" i="5" s="1"/>
  <c r="R3236" i="5" s="1"/>
  <c r="M1070" i="5"/>
  <c r="L1070" i="5"/>
  <c r="L1084" i="5" s="1"/>
  <c r="K1070" i="5"/>
  <c r="I31" i="6" s="1"/>
  <c r="I101" i="4" s="1"/>
  <c r="J1070" i="5"/>
  <c r="I1070" i="5"/>
  <c r="I1084" i="5" s="1"/>
  <c r="H1070" i="5"/>
  <c r="G1070" i="5"/>
  <c r="F1070" i="5"/>
  <c r="D31" i="6" s="1"/>
  <c r="D101" i="4" s="1"/>
  <c r="G1086" i="5"/>
  <c r="F1086" i="5"/>
  <c r="F1101" i="5" s="1"/>
  <c r="O1119" i="5"/>
  <c r="O1135" i="5" s="1"/>
  <c r="N1119" i="5"/>
  <c r="M1119" i="5"/>
  <c r="L1119" i="5"/>
  <c r="L1135" i="5" s="1"/>
  <c r="K1119" i="5"/>
  <c r="K1135" i="5" s="1"/>
  <c r="I1119" i="5"/>
  <c r="G29" i="6" s="1"/>
  <c r="H1119" i="5"/>
  <c r="G1119" i="5"/>
  <c r="G1135" i="5" s="1"/>
  <c r="O1136" i="5"/>
  <c r="O1152" i="5" s="1"/>
  <c r="N1136" i="5"/>
  <c r="M1136" i="5"/>
  <c r="L1136" i="5"/>
  <c r="L1152" i="5" s="1"/>
  <c r="K1136" i="5"/>
  <c r="K1152" i="5" s="1"/>
  <c r="G1136" i="5"/>
  <c r="P625" i="5"/>
  <c r="Q625" i="5" s="1"/>
  <c r="R625" i="5" s="1"/>
  <c r="E624" i="5"/>
  <c r="H624" i="5" s="1"/>
  <c r="M624" i="5"/>
  <c r="K76" i="4" s="1"/>
  <c r="O484" i="5"/>
  <c r="O486" i="5" s="1"/>
  <c r="N484" i="5"/>
  <c r="L72" i="4" s="1"/>
  <c r="H484" i="5"/>
  <c r="G484" i="5"/>
  <c r="E72" i="4" s="1"/>
  <c r="F484" i="5"/>
  <c r="D72" i="4" s="1"/>
  <c r="G287" i="5"/>
  <c r="G297" i="5" s="1"/>
  <c r="H287" i="5"/>
  <c r="H297" i="5" s="1"/>
  <c r="I287" i="5"/>
  <c r="I297" i="5" s="1"/>
  <c r="J287" i="5"/>
  <c r="J297" i="5" s="1"/>
  <c r="K297" i="5"/>
  <c r="L287" i="5"/>
  <c r="L297" i="5" s="1"/>
  <c r="M287" i="5"/>
  <c r="M297" i="5" s="1"/>
  <c r="N287" i="5"/>
  <c r="N297" i="5" s="1"/>
  <c r="O287" i="5"/>
  <c r="O297" i="5" s="1"/>
  <c r="F287" i="5"/>
  <c r="F297" i="5" s="1"/>
  <c r="O270" i="5"/>
  <c r="M34" i="4" s="1"/>
  <c r="M270" i="5"/>
  <c r="L270" i="5"/>
  <c r="J34" i="4" s="1"/>
  <c r="K270" i="5"/>
  <c r="I270" i="5"/>
  <c r="G34" i="4" s="1"/>
  <c r="H270" i="5"/>
  <c r="F34" i="4" s="1"/>
  <c r="G270" i="5"/>
  <c r="E34" i="4" s="1"/>
  <c r="F270" i="5"/>
  <c r="D34" i="4" s="1"/>
  <c r="L231" i="5"/>
  <c r="J30" i="4" s="1"/>
  <c r="K231" i="5"/>
  <c r="J231" i="5"/>
  <c r="H30" i="4" s="1"/>
  <c r="I231" i="5"/>
  <c r="G30" i="4" s="1"/>
  <c r="H231" i="5"/>
  <c r="F30" i="4" s="1"/>
  <c r="G231" i="5"/>
  <c r="E30" i="4" s="1"/>
  <c r="F231" i="5"/>
  <c r="D30" i="4" s="1"/>
  <c r="N214" i="5"/>
  <c r="N229" i="5" s="1"/>
  <c r="M214" i="5"/>
  <c r="M229" i="5" s="1"/>
  <c r="L214" i="5"/>
  <c r="J19" i="4" s="1"/>
  <c r="K214" i="5"/>
  <c r="K229" i="5" s="1"/>
  <c r="J214" i="5"/>
  <c r="J229" i="5" s="1"/>
  <c r="I214" i="5"/>
  <c r="I229" i="5" s="1"/>
  <c r="H214" i="5"/>
  <c r="H229" i="5" s="1"/>
  <c r="G214" i="5"/>
  <c r="F214" i="5"/>
  <c r="F229" i="5" s="1"/>
  <c r="N197" i="5"/>
  <c r="L19" i="4" s="1"/>
  <c r="M197" i="5"/>
  <c r="M212" i="5" s="1"/>
  <c r="H197" i="5"/>
  <c r="F197" i="5"/>
  <c r="F212" i="5" s="1"/>
  <c r="I180" i="5"/>
  <c r="G19" i="4" s="1"/>
  <c r="H180" i="5"/>
  <c r="G180" i="5"/>
  <c r="E19" i="4" s="1"/>
  <c r="I168" i="5"/>
  <c r="G168" i="5"/>
  <c r="E23" i="4" s="1"/>
  <c r="H134" i="5"/>
  <c r="H144" i="5" s="1"/>
  <c r="G134" i="5"/>
  <c r="F134" i="5"/>
  <c r="I116" i="5"/>
  <c r="I127" i="5" s="1"/>
  <c r="H116" i="5"/>
  <c r="H127" i="5" s="1"/>
  <c r="E116" i="5"/>
  <c r="E127" i="5" s="1"/>
  <c r="O1773" i="5"/>
  <c r="O1784" i="5" s="1"/>
  <c r="N1773" i="5"/>
  <c r="N1784" i="5" s="1"/>
  <c r="M1773" i="5"/>
  <c r="K139" i="4" s="1"/>
  <c r="L1773" i="5"/>
  <c r="J139" i="4" s="1"/>
  <c r="K1773" i="5"/>
  <c r="K1784" i="5" s="1"/>
  <c r="J1773" i="5"/>
  <c r="I1773" i="5"/>
  <c r="H1773" i="5"/>
  <c r="G1773" i="5"/>
  <c r="E139" i="4" s="1"/>
  <c r="F1773" i="5"/>
  <c r="D139" i="4" s="1"/>
  <c r="O1837" i="5"/>
  <c r="O1852" i="5" s="1"/>
  <c r="N1837" i="5"/>
  <c r="L147" i="4" s="1"/>
  <c r="M1837" i="5"/>
  <c r="M1852" i="5" s="1"/>
  <c r="L1849" i="5"/>
  <c r="K1849" i="5"/>
  <c r="J1849" i="5"/>
  <c r="I1849" i="5"/>
  <c r="I1852" i="5" s="1"/>
  <c r="H1849" i="5"/>
  <c r="H1852" i="5" s="1"/>
  <c r="G1849" i="5"/>
  <c r="E153" i="4" s="1"/>
  <c r="F1849" i="5"/>
  <c r="D153" i="4" s="1"/>
  <c r="O1962" i="5"/>
  <c r="N1962" i="5"/>
  <c r="L174" i="4" s="1"/>
  <c r="M1962" i="5"/>
  <c r="K174" i="4" s="1"/>
  <c r="L1962" i="5"/>
  <c r="J174" i="4" s="1"/>
  <c r="K1962" i="5"/>
  <c r="I174" i="4" s="1"/>
  <c r="J1962" i="5"/>
  <c r="H174" i="4" s="1"/>
  <c r="I1962" i="5"/>
  <c r="G174" i="4" s="1"/>
  <c r="H1962" i="5"/>
  <c r="F174" i="4" s="1"/>
  <c r="G1962" i="5"/>
  <c r="E174" i="4" s="1"/>
  <c r="F1962" i="5"/>
  <c r="D174" i="4" s="1"/>
  <c r="G1957" i="5"/>
  <c r="F1957" i="5"/>
  <c r="G2061" i="5"/>
  <c r="G2077" i="5" s="1"/>
  <c r="F2061" i="5"/>
  <c r="F2077" i="5" s="1"/>
  <c r="O2337" i="5"/>
  <c r="P2337" i="5" s="1"/>
  <c r="N2320" i="5"/>
  <c r="N2333" i="5" s="1"/>
  <c r="M2320" i="5"/>
  <c r="M2333" i="5" s="1"/>
  <c r="L2320" i="5"/>
  <c r="K2320" i="5"/>
  <c r="K2333" i="5" s="1"/>
  <c r="O2271" i="5"/>
  <c r="M88" i="6" s="1"/>
  <c r="N2271" i="5"/>
  <c r="N2282" i="5" s="1"/>
  <c r="M2271" i="5"/>
  <c r="K88" i="6" s="1"/>
  <c r="L2271" i="5"/>
  <c r="L2282" i="5" s="1"/>
  <c r="K2271" i="5"/>
  <c r="I88" i="6" s="1"/>
  <c r="O2266" i="5"/>
  <c r="M84" i="6" s="1"/>
  <c r="P2512" i="5"/>
  <c r="Q2512" i="5" s="1"/>
  <c r="R2512" i="5" s="1"/>
  <c r="P2511" i="5"/>
  <c r="Q2511" i="5" s="1"/>
  <c r="R2511" i="5" s="1"/>
  <c r="O2543" i="5"/>
  <c r="O2554" i="5" s="1"/>
  <c r="N2147" i="5"/>
  <c r="O2147" i="5"/>
  <c r="O2162" i="5" s="1"/>
  <c r="M2147" i="5"/>
  <c r="M2162" i="5" s="1"/>
  <c r="L2147" i="5"/>
  <c r="J74" i="6" s="1"/>
  <c r="J171" i="4" s="1"/>
  <c r="K2147" i="5"/>
  <c r="I74" i="6" s="1"/>
  <c r="I171" i="4" s="1"/>
  <c r="J2147" i="5"/>
  <c r="I2147" i="5"/>
  <c r="G74" i="6" s="1"/>
  <c r="G171" i="4" s="1"/>
  <c r="H2147" i="5"/>
  <c r="F74" i="6" s="1"/>
  <c r="G2147" i="5"/>
  <c r="G2162" i="5" s="1"/>
  <c r="F2147" i="5"/>
  <c r="D74" i="6" s="1"/>
  <c r="D171" i="4" s="1"/>
  <c r="G2129" i="5"/>
  <c r="G2145" i="5" s="1"/>
  <c r="F2129" i="5"/>
  <c r="D73" i="6" s="1"/>
  <c r="O2097" i="5"/>
  <c r="N2097" i="5"/>
  <c r="M2097" i="5"/>
  <c r="M2111" i="5" s="1"/>
  <c r="L2097" i="5"/>
  <c r="K2097" i="5"/>
  <c r="K2111" i="5" s="1"/>
  <c r="J2097" i="5"/>
  <c r="J2111" i="5" s="1"/>
  <c r="I2097" i="5"/>
  <c r="I2111" i="5" s="1"/>
  <c r="H2097" i="5"/>
  <c r="H2111" i="5" s="1"/>
  <c r="G2097" i="5"/>
  <c r="G2111" i="5" s="1"/>
  <c r="F2097" i="5"/>
  <c r="N2080" i="5"/>
  <c r="N2094" i="5" s="1"/>
  <c r="M2080" i="5"/>
  <c r="L2080" i="5"/>
  <c r="K2080" i="5"/>
  <c r="J2080" i="5"/>
  <c r="J2094" i="5" s="1"/>
  <c r="I2080" i="5"/>
  <c r="I2094" i="5" s="1"/>
  <c r="H2080" i="5"/>
  <c r="G2080" i="5"/>
  <c r="F2080" i="5"/>
  <c r="F2094" i="5" s="1"/>
  <c r="O2080" i="5"/>
  <c r="R971" i="5"/>
  <c r="Q971" i="5"/>
  <c r="P971" i="5"/>
  <c r="O1006" i="5"/>
  <c r="M115" i="4" s="1"/>
  <c r="N1006" i="5"/>
  <c r="L115" i="4" s="1"/>
  <c r="M1006" i="5"/>
  <c r="K115" i="4" s="1"/>
  <c r="L1006" i="5"/>
  <c r="J115" i="4" s="1"/>
  <c r="K1006" i="5"/>
  <c r="I115" i="4" s="1"/>
  <c r="J1006" i="5"/>
  <c r="H115" i="4" s="1"/>
  <c r="I1006" i="5"/>
  <c r="G115" i="4" s="1"/>
  <c r="H1006" i="5"/>
  <c r="F115" i="4" s="1"/>
  <c r="G1006" i="5"/>
  <c r="E115" i="4" s="1"/>
  <c r="F1006" i="5"/>
  <c r="D115" i="4" s="1"/>
  <c r="E1006" i="5"/>
  <c r="C115" i="4" s="1"/>
  <c r="K980" i="5"/>
  <c r="J980" i="5"/>
  <c r="H109" i="4" s="1"/>
  <c r="L980" i="5"/>
  <c r="J109" i="4" s="1"/>
  <c r="M980" i="5"/>
  <c r="K109" i="4" s="1"/>
  <c r="N980" i="5"/>
  <c r="O980" i="5"/>
  <c r="I980" i="5"/>
  <c r="G109" i="4" s="1"/>
  <c r="H980" i="5"/>
  <c r="F109" i="4" s="1"/>
  <c r="G980" i="5"/>
  <c r="E109" i="4" s="1"/>
  <c r="O931" i="5"/>
  <c r="O947" i="5" s="1"/>
  <c r="N931" i="5"/>
  <c r="L111" i="4" s="1"/>
  <c r="M931" i="5"/>
  <c r="K111" i="4" s="1"/>
  <c r="L931" i="5"/>
  <c r="L947" i="5" s="1"/>
  <c r="K931" i="5"/>
  <c r="I111" i="4" s="1"/>
  <c r="J931" i="5"/>
  <c r="I931" i="5"/>
  <c r="I947" i="5" s="1"/>
  <c r="H931" i="5"/>
  <c r="H947" i="5" s="1"/>
  <c r="G931" i="5"/>
  <c r="G947" i="5" s="1"/>
  <c r="F931" i="5"/>
  <c r="D111" i="4" s="1"/>
  <c r="M726" i="5"/>
  <c r="K88" i="4" s="1"/>
  <c r="K98" i="4" s="1"/>
  <c r="K726" i="5"/>
  <c r="I726" i="5"/>
  <c r="I742" i="5" s="1"/>
  <c r="H726" i="5"/>
  <c r="H712" i="5"/>
  <c r="F91" i="4" s="1"/>
  <c r="G712" i="5"/>
  <c r="E91" i="4" s="1"/>
  <c r="F712" i="5"/>
  <c r="D91" i="4" s="1"/>
  <c r="O709" i="5"/>
  <c r="M88" i="4" s="1"/>
  <c r="M98" i="4" s="1"/>
  <c r="N709" i="5"/>
  <c r="L88" i="4" s="1"/>
  <c r="L98" i="4" s="1"/>
  <c r="I709" i="5"/>
  <c r="H709" i="5"/>
  <c r="G709" i="5"/>
  <c r="F709" i="5"/>
  <c r="D88" i="4" s="1"/>
  <c r="H692" i="5"/>
  <c r="G692" i="5"/>
  <c r="O1750" i="5"/>
  <c r="N1750" i="5"/>
  <c r="M1750" i="5"/>
  <c r="L1750" i="5"/>
  <c r="K1750" i="5"/>
  <c r="J1750" i="5"/>
  <c r="I1750" i="5"/>
  <c r="H1750" i="5"/>
  <c r="G1750" i="5"/>
  <c r="F1750" i="5"/>
  <c r="O964" i="5"/>
  <c r="N964" i="5"/>
  <c r="M964" i="5"/>
  <c r="L964" i="5"/>
  <c r="K964" i="5"/>
  <c r="J964" i="5"/>
  <c r="I964" i="5"/>
  <c r="H964" i="5"/>
  <c r="G964" i="5"/>
  <c r="F964" i="5"/>
  <c r="E964" i="5"/>
  <c r="M57" i="5"/>
  <c r="H57" i="5"/>
  <c r="G57" i="5"/>
  <c r="F57" i="5"/>
  <c r="E57" i="5"/>
  <c r="O48" i="5"/>
  <c r="O57" i="5" s="1"/>
  <c r="N48" i="5"/>
  <c r="N57" i="5" s="1"/>
  <c r="L48" i="5"/>
  <c r="L57" i="5" s="1"/>
  <c r="K48" i="5"/>
  <c r="J48" i="5"/>
  <c r="J57" i="5" s="1"/>
  <c r="I48" i="5"/>
  <c r="I57" i="5" s="1"/>
  <c r="O30" i="5"/>
  <c r="O40" i="5" s="1"/>
  <c r="N30" i="5"/>
  <c r="N40" i="5" s="1"/>
  <c r="M30" i="5"/>
  <c r="L30" i="5"/>
  <c r="L40" i="5" s="1"/>
  <c r="K30" i="5"/>
  <c r="K40" i="5" s="1"/>
  <c r="J30" i="5"/>
  <c r="J40" i="5" s="1"/>
  <c r="I30" i="5"/>
  <c r="I40" i="5" s="1"/>
  <c r="H30" i="5"/>
  <c r="H40" i="5" s="1"/>
  <c r="G30" i="5"/>
  <c r="G40" i="5" s="1"/>
  <c r="F30" i="5"/>
  <c r="E40" i="5"/>
  <c r="O23" i="5"/>
  <c r="N23" i="5"/>
  <c r="M23" i="5"/>
  <c r="L23" i="5"/>
  <c r="K23" i="5"/>
  <c r="J23" i="5"/>
  <c r="I23" i="5"/>
  <c r="H23" i="5"/>
  <c r="G23" i="5"/>
  <c r="F23" i="5"/>
  <c r="D112" i="4"/>
  <c r="E112" i="4"/>
  <c r="F112" i="4"/>
  <c r="G112" i="4"/>
  <c r="H112" i="4"/>
  <c r="I112" i="4"/>
  <c r="J112" i="4"/>
  <c r="K112" i="4"/>
  <c r="L112" i="4"/>
  <c r="M112" i="4"/>
  <c r="M220" i="4"/>
  <c r="K220" i="4"/>
  <c r="H220" i="4"/>
  <c r="G220" i="4"/>
  <c r="L219" i="4"/>
  <c r="J122" i="6"/>
  <c r="J219" i="4" s="1"/>
  <c r="I219" i="4"/>
  <c r="H122" i="6"/>
  <c r="H219" i="4" s="1"/>
  <c r="G219" i="4"/>
  <c r="F122" i="6"/>
  <c r="F219" i="4" s="1"/>
  <c r="D122" i="6"/>
  <c r="J118" i="6"/>
  <c r="J215" i="4" s="1"/>
  <c r="I215" i="4"/>
  <c r="H118" i="6"/>
  <c r="F118" i="6"/>
  <c r="F215" i="4" s="1"/>
  <c r="D118" i="6"/>
  <c r="C48" i="3"/>
  <c r="C21" i="2" s="1"/>
  <c r="C49" i="3"/>
  <c r="C22" i="2" s="1"/>
  <c r="C51" i="3"/>
  <c r="C52" i="3"/>
  <c r="C25" i="2" s="1"/>
  <c r="C53" i="3"/>
  <c r="C26" i="2" s="1"/>
  <c r="C54" i="3"/>
  <c r="C27" i="2" s="1"/>
  <c r="C55" i="3"/>
  <c r="C56" i="3"/>
  <c r="C29" i="2" s="1"/>
  <c r="C57" i="3"/>
  <c r="C30" i="2" s="1"/>
  <c r="E219" i="4"/>
  <c r="O2758" i="5"/>
  <c r="N2758" i="5"/>
  <c r="M2758" i="5"/>
  <c r="L2758" i="5"/>
  <c r="K2758" i="5"/>
  <c r="J2758" i="5"/>
  <c r="I2758" i="5"/>
  <c r="H2758" i="5"/>
  <c r="G2758" i="5"/>
  <c r="F2758" i="5"/>
  <c r="O2741" i="5"/>
  <c r="N2741" i="5"/>
  <c r="M2741" i="5"/>
  <c r="L2741" i="5"/>
  <c r="K2741" i="5"/>
  <c r="J2741" i="5"/>
  <c r="I2741" i="5"/>
  <c r="H2741" i="5"/>
  <c r="G2741" i="5"/>
  <c r="F2741" i="5"/>
  <c r="O2724" i="5"/>
  <c r="N2724" i="5"/>
  <c r="M2724" i="5"/>
  <c r="L2724" i="5"/>
  <c r="K2724" i="5"/>
  <c r="J2724" i="5"/>
  <c r="I2724" i="5"/>
  <c r="H2724" i="5"/>
  <c r="G2724" i="5"/>
  <c r="F2724" i="5"/>
  <c r="O810" i="5"/>
  <c r="N810" i="5"/>
  <c r="M810" i="5"/>
  <c r="L810" i="5"/>
  <c r="K810" i="5"/>
  <c r="J810" i="5"/>
  <c r="I810" i="5"/>
  <c r="H810" i="5"/>
  <c r="G810" i="5"/>
  <c r="F810" i="5"/>
  <c r="J3268" i="5"/>
  <c r="I3268" i="5"/>
  <c r="H3268" i="5"/>
  <c r="G3268" i="5"/>
  <c r="F3268" i="5"/>
  <c r="J3251" i="5"/>
  <c r="I3251" i="5"/>
  <c r="H3251" i="5"/>
  <c r="G3251" i="5"/>
  <c r="F3251" i="5"/>
  <c r="J3217" i="5"/>
  <c r="I3217" i="5"/>
  <c r="H3217" i="5"/>
  <c r="G3217" i="5"/>
  <c r="F3217" i="5"/>
  <c r="H2520" i="5"/>
  <c r="I2520" i="5"/>
  <c r="J2520" i="5"/>
  <c r="K2520" i="5"/>
  <c r="L2520" i="5"/>
  <c r="O2520" i="5"/>
  <c r="N2520" i="5"/>
  <c r="M2520" i="5"/>
  <c r="G2520" i="5"/>
  <c r="F2520" i="5"/>
  <c r="O2656" i="5"/>
  <c r="N2656" i="5"/>
  <c r="M2656" i="5"/>
  <c r="L2656" i="5"/>
  <c r="K2656" i="5"/>
  <c r="J2656" i="5"/>
  <c r="I2656" i="5"/>
  <c r="H2656" i="5"/>
  <c r="G2656" i="5"/>
  <c r="F2656" i="5"/>
  <c r="E2656" i="5"/>
  <c r="N2554" i="5"/>
  <c r="M2554" i="5"/>
  <c r="L2554" i="5"/>
  <c r="K2554" i="5"/>
  <c r="J2554" i="5"/>
  <c r="I2554" i="5"/>
  <c r="H2554" i="5"/>
  <c r="F2554" i="5"/>
  <c r="G2554" i="5"/>
  <c r="E2554" i="5"/>
  <c r="O2588" i="5"/>
  <c r="N2588" i="5"/>
  <c r="M2588" i="5"/>
  <c r="L2588" i="5"/>
  <c r="K2588" i="5"/>
  <c r="J2588" i="5"/>
  <c r="I2588" i="5"/>
  <c r="H2588" i="5"/>
  <c r="G2588" i="5"/>
  <c r="F2588" i="5"/>
  <c r="O2639" i="5"/>
  <c r="N2639" i="5"/>
  <c r="M2639" i="5"/>
  <c r="L2639" i="5"/>
  <c r="F2639" i="5"/>
  <c r="G2639" i="5"/>
  <c r="H2639" i="5"/>
  <c r="I2639" i="5"/>
  <c r="J2639" i="5"/>
  <c r="K2639" i="5"/>
  <c r="E2639" i="5"/>
  <c r="O2571" i="5"/>
  <c r="N2571" i="5"/>
  <c r="M2571" i="5"/>
  <c r="L2571" i="5"/>
  <c r="K2571" i="5"/>
  <c r="J2571" i="5"/>
  <c r="I2571" i="5"/>
  <c r="H2571" i="5"/>
  <c r="G2571" i="5"/>
  <c r="F2571" i="5"/>
  <c r="E2571" i="5"/>
  <c r="J2707" i="5"/>
  <c r="I2707" i="5"/>
  <c r="H2707" i="5"/>
  <c r="G2707" i="5"/>
  <c r="F2707" i="5"/>
  <c r="J2690" i="5"/>
  <c r="I2690" i="5"/>
  <c r="H2690" i="5"/>
  <c r="G2690" i="5"/>
  <c r="F2690" i="5"/>
  <c r="J2503" i="5"/>
  <c r="I2503" i="5"/>
  <c r="H2503" i="5"/>
  <c r="G2503" i="5"/>
  <c r="F2503" i="5"/>
  <c r="H2486" i="5"/>
  <c r="F2486" i="5"/>
  <c r="J2469" i="5"/>
  <c r="I2469" i="5"/>
  <c r="H2469" i="5"/>
  <c r="G2469" i="5"/>
  <c r="J2435" i="5"/>
  <c r="I2435" i="5"/>
  <c r="H2435" i="5"/>
  <c r="G2435" i="5"/>
  <c r="F2435" i="5"/>
  <c r="G2418" i="5"/>
  <c r="F2418" i="5"/>
  <c r="I2401" i="5"/>
  <c r="G2401" i="5"/>
  <c r="J2316" i="5"/>
  <c r="I2316" i="5"/>
  <c r="H2316" i="5"/>
  <c r="G2316" i="5"/>
  <c r="F2316" i="5"/>
  <c r="P2249" i="5"/>
  <c r="Q2249" i="5" s="1"/>
  <c r="R2249" i="5" s="1"/>
  <c r="J2128" i="5"/>
  <c r="I2128" i="5"/>
  <c r="H2128" i="5"/>
  <c r="J2077" i="5"/>
  <c r="I2077" i="5"/>
  <c r="H2077" i="5"/>
  <c r="J1733" i="5"/>
  <c r="I1733" i="5"/>
  <c r="H1733" i="5"/>
  <c r="G1733" i="5"/>
  <c r="F1733" i="5"/>
  <c r="J1699" i="5"/>
  <c r="I1699" i="5"/>
  <c r="H1699" i="5"/>
  <c r="G1699" i="5"/>
  <c r="F1699" i="5"/>
  <c r="J1682" i="5"/>
  <c r="I1682" i="5"/>
  <c r="H1682" i="5"/>
  <c r="G1682" i="5"/>
  <c r="F1682" i="5"/>
  <c r="I1937" i="5"/>
  <c r="H1937" i="5"/>
  <c r="G1937" i="5"/>
  <c r="F1937" i="5"/>
  <c r="O1544" i="5"/>
  <c r="N1544" i="5"/>
  <c r="M1544" i="5"/>
  <c r="L1544" i="5"/>
  <c r="K1544" i="5"/>
  <c r="J1544" i="5"/>
  <c r="I1544" i="5"/>
  <c r="G1544" i="5"/>
  <c r="F1544" i="5"/>
  <c r="H1544" i="5"/>
  <c r="F1527" i="5"/>
  <c r="O1527" i="5"/>
  <c r="N1527" i="5"/>
  <c r="M1527" i="5"/>
  <c r="L1527" i="5"/>
  <c r="K1527" i="5"/>
  <c r="J1527" i="5"/>
  <c r="I1527" i="5"/>
  <c r="H1527" i="5"/>
  <c r="G1527" i="5"/>
  <c r="H1340" i="5"/>
  <c r="I1340" i="5"/>
  <c r="J1340" i="5"/>
  <c r="K1340" i="5"/>
  <c r="L1340" i="5"/>
  <c r="M1340" i="5"/>
  <c r="N1340" i="5"/>
  <c r="O1340" i="5"/>
  <c r="G1340" i="5"/>
  <c r="F1340" i="5"/>
  <c r="O1323" i="5"/>
  <c r="N1323" i="5"/>
  <c r="M1323" i="5"/>
  <c r="L1323" i="5"/>
  <c r="K1323" i="5"/>
  <c r="J1323" i="5"/>
  <c r="I1323" i="5"/>
  <c r="H1323" i="5"/>
  <c r="G1323" i="5"/>
  <c r="F1323" i="5"/>
  <c r="G776" i="5"/>
  <c r="E1669" i="5"/>
  <c r="E1682" i="5" s="1"/>
  <c r="E2182" i="5"/>
  <c r="C194" i="4" s="1"/>
  <c r="C38" i="3" s="1"/>
  <c r="C9" i="2" s="1"/>
  <c r="C11" i="1" s="1"/>
  <c r="O3234" i="5"/>
  <c r="N3234" i="5"/>
  <c r="M3234" i="5"/>
  <c r="L3234" i="5"/>
  <c r="K3234" i="5"/>
  <c r="O3251" i="5"/>
  <c r="N3251" i="5"/>
  <c r="M3251" i="5"/>
  <c r="L3251" i="5"/>
  <c r="K3251" i="5"/>
  <c r="O3268" i="5"/>
  <c r="N3268" i="5"/>
  <c r="M3268" i="5"/>
  <c r="L3268" i="5"/>
  <c r="K3268" i="5"/>
  <c r="O3302" i="5"/>
  <c r="N3302" i="5"/>
  <c r="M3302" i="5"/>
  <c r="L3302" i="5"/>
  <c r="K3302" i="5"/>
  <c r="O3319" i="5"/>
  <c r="N3319" i="5"/>
  <c r="M3319" i="5"/>
  <c r="L3319" i="5"/>
  <c r="K3319" i="5"/>
  <c r="E2113" i="5"/>
  <c r="P1890" i="5"/>
  <c r="Q1890" i="5" s="1"/>
  <c r="R1890" i="5" s="1"/>
  <c r="P1901" i="5"/>
  <c r="Q1901" i="5" s="1"/>
  <c r="R1901" i="5" s="1"/>
  <c r="P1819" i="5"/>
  <c r="Q1819" i="5" s="1"/>
  <c r="R1819" i="5" s="1"/>
  <c r="P960" i="5"/>
  <c r="Q960" i="5" s="1"/>
  <c r="R960" i="5" s="1"/>
  <c r="P407" i="5"/>
  <c r="Q407" i="5" s="1"/>
  <c r="R407" i="5" s="1"/>
  <c r="P262" i="5"/>
  <c r="Q262" i="5" s="1"/>
  <c r="R262" i="5" s="1"/>
  <c r="P56" i="5"/>
  <c r="Q56" i="5" s="1"/>
  <c r="R56" i="5" s="1"/>
  <c r="O109" i="5"/>
  <c r="N109" i="5"/>
  <c r="M109" i="5"/>
  <c r="L109" i="5"/>
  <c r="K109" i="5"/>
  <c r="J109" i="5"/>
  <c r="I109" i="5"/>
  <c r="H109" i="5"/>
  <c r="G109" i="5"/>
  <c r="F109" i="5"/>
  <c r="E109" i="5"/>
  <c r="O92" i="5"/>
  <c r="N92" i="5"/>
  <c r="M92" i="5"/>
  <c r="L92" i="5"/>
  <c r="K92" i="5"/>
  <c r="J92" i="5"/>
  <c r="I92" i="5"/>
  <c r="H92" i="5"/>
  <c r="G92" i="5"/>
  <c r="F92" i="5"/>
  <c r="E92" i="5"/>
  <c r="B1" i="12"/>
  <c r="B1" i="11"/>
  <c r="A1" i="9"/>
  <c r="A1" i="8"/>
  <c r="M104" i="7"/>
  <c r="L104" i="7"/>
  <c r="K104" i="7"/>
  <c r="J104" i="7"/>
  <c r="C104" i="7"/>
  <c r="N101" i="7"/>
  <c r="O101" i="7"/>
  <c r="P101" i="7"/>
  <c r="N100" i="7"/>
  <c r="O100" i="7"/>
  <c r="P100" i="7"/>
  <c r="N94" i="7"/>
  <c r="O94" i="7"/>
  <c r="P94" i="7"/>
  <c r="I89" i="7"/>
  <c r="I104" i="7"/>
  <c r="H89" i="7"/>
  <c r="H104" i="7"/>
  <c r="G89" i="7"/>
  <c r="G104" i="7"/>
  <c r="F89" i="7"/>
  <c r="F104" i="7"/>
  <c r="E89" i="7"/>
  <c r="E104" i="7"/>
  <c r="D89" i="7"/>
  <c r="H87" i="7"/>
  <c r="G87" i="7"/>
  <c r="C87" i="7"/>
  <c r="N84" i="7"/>
  <c r="O84" i="7"/>
  <c r="P84" i="7"/>
  <c r="N83" i="7"/>
  <c r="O83" i="7"/>
  <c r="P83" i="7"/>
  <c r="N77" i="7"/>
  <c r="O77" i="7"/>
  <c r="P77" i="7"/>
  <c r="M72" i="7"/>
  <c r="L72" i="7"/>
  <c r="K72" i="7"/>
  <c r="K87" i="7"/>
  <c r="J72" i="7"/>
  <c r="I72" i="7"/>
  <c r="F72" i="7"/>
  <c r="E72" i="7"/>
  <c r="D72" i="7"/>
  <c r="N72" i="7"/>
  <c r="O72" i="7"/>
  <c r="P72" i="7"/>
  <c r="M71" i="7"/>
  <c r="M87" i="7"/>
  <c r="L71" i="7"/>
  <c r="L87" i="7"/>
  <c r="J71" i="7"/>
  <c r="J87" i="7"/>
  <c r="I71" i="7"/>
  <c r="I87" i="7"/>
  <c r="F71" i="7"/>
  <c r="F87" i="7"/>
  <c r="E71" i="7"/>
  <c r="E87" i="7"/>
  <c r="D71" i="7"/>
  <c r="K70" i="7"/>
  <c r="J70" i="7"/>
  <c r="H70" i="7"/>
  <c r="G70" i="7"/>
  <c r="C70" i="7"/>
  <c r="N67" i="7"/>
  <c r="O67" i="7"/>
  <c r="P67" i="7"/>
  <c r="N66" i="7"/>
  <c r="O66" i="7"/>
  <c r="P66" i="7"/>
  <c r="N62" i="7"/>
  <c r="O62" i="7"/>
  <c r="P62" i="7"/>
  <c r="F61" i="7"/>
  <c r="F70" i="7"/>
  <c r="E61" i="7"/>
  <c r="E70" i="7"/>
  <c r="D61" i="7"/>
  <c r="N61" i="7"/>
  <c r="O61" i="7"/>
  <c r="P61" i="7"/>
  <c r="N60" i="7"/>
  <c r="O60" i="7"/>
  <c r="P60" i="7"/>
  <c r="N57" i="7"/>
  <c r="O57" i="7"/>
  <c r="P57" i="7"/>
  <c r="M55" i="7"/>
  <c r="M70" i="7"/>
  <c r="L55" i="7"/>
  <c r="L70" i="7"/>
  <c r="I55" i="7"/>
  <c r="I70" i="7"/>
  <c r="D55" i="7"/>
  <c r="L53" i="7"/>
  <c r="K53" i="7"/>
  <c r="C53" i="7"/>
  <c r="N50" i="7"/>
  <c r="O50" i="7"/>
  <c r="P50" i="7"/>
  <c r="N49" i="7"/>
  <c r="O49" i="7"/>
  <c r="P49" i="7"/>
  <c r="N44" i="7"/>
  <c r="O44" i="7"/>
  <c r="P44" i="7"/>
  <c r="H43" i="7"/>
  <c r="G43" i="7"/>
  <c r="F43" i="7"/>
  <c r="E43" i="7"/>
  <c r="E53" i="7"/>
  <c r="D43" i="7"/>
  <c r="M39" i="7"/>
  <c r="M53" i="7"/>
  <c r="J39" i="7"/>
  <c r="J53" i="7"/>
  <c r="I39" i="7"/>
  <c r="I53" i="7"/>
  <c r="H39" i="7"/>
  <c r="H53" i="7"/>
  <c r="G39" i="7"/>
  <c r="G53" i="7"/>
  <c r="F39" i="7"/>
  <c r="C36" i="7"/>
  <c r="N34" i="7"/>
  <c r="O34" i="7"/>
  <c r="P34" i="7"/>
  <c r="N33" i="7"/>
  <c r="O33" i="7"/>
  <c r="P33" i="7"/>
  <c r="N32" i="7"/>
  <c r="O32" i="7"/>
  <c r="P32" i="7"/>
  <c r="N26" i="7"/>
  <c r="O26" i="7"/>
  <c r="P26" i="7"/>
  <c r="M22" i="7"/>
  <c r="M36" i="7"/>
  <c r="L22" i="7"/>
  <c r="L36" i="7"/>
  <c r="K22" i="7"/>
  <c r="K36" i="7"/>
  <c r="J22" i="7"/>
  <c r="J36" i="7"/>
  <c r="I22" i="7"/>
  <c r="I36" i="7"/>
  <c r="H22" i="7"/>
  <c r="H36" i="7"/>
  <c r="G22" i="7"/>
  <c r="G36" i="7"/>
  <c r="F22" i="7"/>
  <c r="F36" i="7"/>
  <c r="E22" i="7"/>
  <c r="E36" i="7"/>
  <c r="D22" i="7"/>
  <c r="M15" i="7"/>
  <c r="L15" i="7"/>
  <c r="K15" i="7"/>
  <c r="J15" i="7"/>
  <c r="I15" i="7"/>
  <c r="H15" i="7"/>
  <c r="G15" i="7"/>
  <c r="F15" i="7"/>
  <c r="E15" i="7"/>
  <c r="D15" i="7"/>
  <c r="C15" i="7"/>
  <c r="M14" i="7"/>
  <c r="L14" i="7"/>
  <c r="K14" i="7"/>
  <c r="J14" i="7"/>
  <c r="I14" i="7"/>
  <c r="H14" i="7"/>
  <c r="G14" i="7"/>
  <c r="F14" i="7"/>
  <c r="E14" i="7"/>
  <c r="D14" i="7"/>
  <c r="C14" i="7"/>
  <c r="M13" i="7"/>
  <c r="L13" i="7"/>
  <c r="K13" i="7"/>
  <c r="J13" i="7"/>
  <c r="I13" i="7"/>
  <c r="H13" i="7"/>
  <c r="G13" i="7"/>
  <c r="F13" i="7"/>
  <c r="E13" i="7"/>
  <c r="D13" i="7"/>
  <c r="C13" i="7"/>
  <c r="M12" i="7"/>
  <c r="L12" i="7"/>
  <c r="K12" i="7"/>
  <c r="J12" i="7"/>
  <c r="I12" i="7"/>
  <c r="H12" i="7"/>
  <c r="G12" i="7"/>
  <c r="F12" i="7"/>
  <c r="E12" i="7"/>
  <c r="D12" i="7"/>
  <c r="C12" i="7"/>
  <c r="M10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156" i="6"/>
  <c r="L156" i="6"/>
  <c r="K156" i="6"/>
  <c r="J156" i="6"/>
  <c r="I156" i="6"/>
  <c r="H156" i="6"/>
  <c r="G156" i="6"/>
  <c r="F156" i="6"/>
  <c r="E156" i="6"/>
  <c r="D156" i="6"/>
  <c r="C156" i="6"/>
  <c r="M155" i="6"/>
  <c r="L155" i="6"/>
  <c r="K155" i="6"/>
  <c r="J155" i="6"/>
  <c r="I155" i="6"/>
  <c r="H155" i="6"/>
  <c r="G155" i="6"/>
  <c r="F155" i="6"/>
  <c r="E155" i="6"/>
  <c r="D155" i="6"/>
  <c r="C155" i="6"/>
  <c r="M154" i="6"/>
  <c r="L154" i="6"/>
  <c r="K154" i="6"/>
  <c r="J154" i="6"/>
  <c r="I154" i="6"/>
  <c r="H154" i="6"/>
  <c r="G154" i="6"/>
  <c r="F154" i="6"/>
  <c r="E154" i="6"/>
  <c r="D154" i="6"/>
  <c r="C154" i="6"/>
  <c r="M151" i="6"/>
  <c r="L151" i="6"/>
  <c r="K151" i="6"/>
  <c r="J151" i="6"/>
  <c r="I151" i="6"/>
  <c r="C151" i="6"/>
  <c r="M150" i="6"/>
  <c r="L150" i="6"/>
  <c r="K150" i="6"/>
  <c r="J150" i="6"/>
  <c r="I150" i="6"/>
  <c r="H150" i="6"/>
  <c r="G150" i="6"/>
  <c r="F150" i="6"/>
  <c r="D150" i="6"/>
  <c r="C150" i="6"/>
  <c r="M145" i="6"/>
  <c r="L145" i="6"/>
  <c r="K145" i="6"/>
  <c r="J145" i="6"/>
  <c r="I145" i="6"/>
  <c r="H145" i="6"/>
  <c r="G145" i="6"/>
  <c r="F145" i="6"/>
  <c r="E145" i="6"/>
  <c r="D145" i="6"/>
  <c r="C145" i="6"/>
  <c r="M144" i="6"/>
  <c r="L144" i="6"/>
  <c r="K144" i="6"/>
  <c r="J144" i="6"/>
  <c r="I144" i="6"/>
  <c r="H144" i="6"/>
  <c r="G144" i="6"/>
  <c r="F144" i="6"/>
  <c r="E144" i="6"/>
  <c r="D144" i="6"/>
  <c r="C144" i="6"/>
  <c r="K140" i="6"/>
  <c r="I140" i="6"/>
  <c r="H140" i="6"/>
  <c r="G140" i="6"/>
  <c r="F140" i="6"/>
  <c r="E140" i="6"/>
  <c r="D140" i="6"/>
  <c r="C140" i="6"/>
  <c r="M134" i="6"/>
  <c r="L134" i="6"/>
  <c r="K134" i="6"/>
  <c r="J134" i="6"/>
  <c r="I134" i="6"/>
  <c r="H134" i="6"/>
  <c r="G134" i="6"/>
  <c r="F134" i="6"/>
  <c r="E134" i="6"/>
  <c r="D134" i="6"/>
  <c r="C134" i="6"/>
  <c r="M133" i="6"/>
  <c r="L133" i="6"/>
  <c r="K133" i="6"/>
  <c r="J133" i="6"/>
  <c r="I133" i="6"/>
  <c r="H133" i="6"/>
  <c r="G133" i="6"/>
  <c r="F133" i="6"/>
  <c r="E133" i="6"/>
  <c r="D133" i="6"/>
  <c r="C133" i="6"/>
  <c r="M132" i="6"/>
  <c r="L132" i="6"/>
  <c r="K132" i="6"/>
  <c r="J132" i="6"/>
  <c r="I132" i="6"/>
  <c r="H132" i="6"/>
  <c r="G132" i="6"/>
  <c r="F132" i="6"/>
  <c r="E132" i="6"/>
  <c r="D132" i="6"/>
  <c r="C132" i="6"/>
  <c r="M131" i="6"/>
  <c r="H131" i="6"/>
  <c r="G131" i="6"/>
  <c r="F131" i="6"/>
  <c r="E131" i="6"/>
  <c r="D131" i="6"/>
  <c r="C131" i="6"/>
  <c r="M128" i="6"/>
  <c r="J128" i="6"/>
  <c r="I128" i="6"/>
  <c r="H128" i="6"/>
  <c r="G128" i="6"/>
  <c r="F128" i="6"/>
  <c r="E128" i="6"/>
  <c r="C128" i="6"/>
  <c r="C122" i="6"/>
  <c r="C219" i="4" s="1"/>
  <c r="G112" i="6"/>
  <c r="C112" i="6"/>
  <c r="H111" i="6"/>
  <c r="G111" i="6"/>
  <c r="C111" i="6"/>
  <c r="M110" i="6"/>
  <c r="L110" i="6"/>
  <c r="K110" i="6"/>
  <c r="J110" i="6"/>
  <c r="I110" i="6"/>
  <c r="H110" i="6"/>
  <c r="G110" i="6"/>
  <c r="F110" i="6"/>
  <c r="E110" i="6"/>
  <c r="D110" i="6"/>
  <c r="C110" i="6"/>
  <c r="C109" i="6"/>
  <c r="C107" i="6"/>
  <c r="C204" i="4" s="1"/>
  <c r="C106" i="6"/>
  <c r="M101" i="6"/>
  <c r="I101" i="6"/>
  <c r="C101" i="6"/>
  <c r="M99" i="6"/>
  <c r="M196" i="4"/>
  <c r="L99" i="6"/>
  <c r="H99" i="6"/>
  <c r="G99" i="6"/>
  <c r="F99" i="6"/>
  <c r="E99" i="6"/>
  <c r="D99" i="6"/>
  <c r="C99" i="6"/>
  <c r="M95" i="6"/>
  <c r="L95" i="6"/>
  <c r="K95" i="6"/>
  <c r="I95" i="6"/>
  <c r="H95" i="6"/>
  <c r="G95" i="6"/>
  <c r="F95" i="6"/>
  <c r="E95" i="6"/>
  <c r="D95" i="6"/>
  <c r="C95" i="6"/>
  <c r="M90" i="6"/>
  <c r="L90" i="6"/>
  <c r="K90" i="6"/>
  <c r="J90" i="6"/>
  <c r="I90" i="6"/>
  <c r="H90" i="6"/>
  <c r="G90" i="6"/>
  <c r="F90" i="6"/>
  <c r="E90" i="6"/>
  <c r="D90" i="6"/>
  <c r="C90" i="6"/>
  <c r="M89" i="6"/>
  <c r="L89" i="6"/>
  <c r="K89" i="6"/>
  <c r="J89" i="6"/>
  <c r="I89" i="6"/>
  <c r="H89" i="6"/>
  <c r="G89" i="6"/>
  <c r="F89" i="6"/>
  <c r="E89" i="6"/>
  <c r="D89" i="6"/>
  <c r="C89" i="6"/>
  <c r="D88" i="6"/>
  <c r="C88" i="6"/>
  <c r="K84" i="6"/>
  <c r="I84" i="6"/>
  <c r="H84" i="6"/>
  <c r="G84" i="6"/>
  <c r="F84" i="6"/>
  <c r="E84" i="6"/>
  <c r="D84" i="6"/>
  <c r="C84" i="6"/>
  <c r="M81" i="6"/>
  <c r="M178" i="4" s="1"/>
  <c r="L81" i="6"/>
  <c r="L178" i="4" s="1"/>
  <c r="K81" i="6"/>
  <c r="K178" i="4" s="1"/>
  <c r="J81" i="6"/>
  <c r="J178" i="4" s="1"/>
  <c r="I81" i="6"/>
  <c r="I178" i="4" s="1"/>
  <c r="H81" i="6"/>
  <c r="H178" i="4" s="1"/>
  <c r="G81" i="6"/>
  <c r="F81" i="6"/>
  <c r="E81" i="6"/>
  <c r="E178" i="4" s="1"/>
  <c r="D81" i="6"/>
  <c r="D178" i="4" s="1"/>
  <c r="C81" i="6"/>
  <c r="C178" i="4" s="1"/>
  <c r="H80" i="6"/>
  <c r="H177" i="4" s="1"/>
  <c r="G80" i="6"/>
  <c r="G177" i="4" s="1"/>
  <c r="F80" i="6"/>
  <c r="F177" i="4" s="1"/>
  <c r="E80" i="6"/>
  <c r="D80" i="6"/>
  <c r="C80" i="6"/>
  <c r="C177" i="4" s="1"/>
  <c r="M79" i="6"/>
  <c r="M176" i="4" s="1"/>
  <c r="L79" i="6"/>
  <c r="L176" i="4" s="1"/>
  <c r="K79" i="6"/>
  <c r="K176" i="4" s="1"/>
  <c r="D79" i="6"/>
  <c r="D176" i="4" s="1"/>
  <c r="E79" i="6"/>
  <c r="E176" i="4" s="1"/>
  <c r="F79" i="6"/>
  <c r="F176" i="4" s="1"/>
  <c r="G79" i="6"/>
  <c r="G176" i="4" s="1"/>
  <c r="H79" i="6"/>
  <c r="H176" i="4" s="1"/>
  <c r="I79" i="6"/>
  <c r="I176" i="4" s="1"/>
  <c r="J79" i="6"/>
  <c r="J176" i="4" s="1"/>
  <c r="C79" i="6"/>
  <c r="C176" i="4" s="1"/>
  <c r="H78" i="6"/>
  <c r="H175" i="4" s="1"/>
  <c r="G78" i="6"/>
  <c r="G175" i="4" s="1"/>
  <c r="F78" i="6"/>
  <c r="E78" i="6"/>
  <c r="E175" i="4" s="1"/>
  <c r="D78" i="6"/>
  <c r="D175" i="4" s="1"/>
  <c r="C78" i="6"/>
  <c r="C175" i="4" s="1"/>
  <c r="M76" i="6"/>
  <c r="M173" i="4" s="1"/>
  <c r="L76" i="6"/>
  <c r="L173" i="4" s="1"/>
  <c r="K76" i="6"/>
  <c r="K173" i="4" s="1"/>
  <c r="J76" i="6"/>
  <c r="J173" i="4" s="1"/>
  <c r="I76" i="6"/>
  <c r="I173" i="4" s="1"/>
  <c r="H76" i="6"/>
  <c r="G76" i="6"/>
  <c r="G173" i="4" s="1"/>
  <c r="F76" i="6"/>
  <c r="F173" i="4" s="1"/>
  <c r="E76" i="6"/>
  <c r="E173" i="4" s="1"/>
  <c r="C76" i="6"/>
  <c r="C173" i="4" s="1"/>
  <c r="C75" i="6"/>
  <c r="C172" i="4" s="1"/>
  <c r="C74" i="6"/>
  <c r="C171" i="4" s="1"/>
  <c r="M68" i="6"/>
  <c r="L68" i="6"/>
  <c r="K68" i="6"/>
  <c r="J68" i="6"/>
  <c r="I68" i="6"/>
  <c r="H68" i="6"/>
  <c r="G68" i="6"/>
  <c r="F68" i="6"/>
  <c r="E68" i="6"/>
  <c r="D68" i="6"/>
  <c r="C68" i="6"/>
  <c r="M67" i="6"/>
  <c r="L67" i="6"/>
  <c r="K67" i="6"/>
  <c r="J67" i="6"/>
  <c r="I67" i="6"/>
  <c r="H67" i="6"/>
  <c r="G67" i="6"/>
  <c r="F67" i="6"/>
  <c r="E67" i="6"/>
  <c r="D67" i="6"/>
  <c r="C67" i="6"/>
  <c r="M66" i="6"/>
  <c r="L66" i="6"/>
  <c r="K66" i="6"/>
  <c r="J66" i="6"/>
  <c r="I66" i="6"/>
  <c r="H66" i="6"/>
  <c r="G66" i="6"/>
  <c r="F66" i="6"/>
  <c r="E66" i="6"/>
  <c r="D66" i="6"/>
  <c r="C66" i="6"/>
  <c r="K65" i="6"/>
  <c r="J65" i="6"/>
  <c r="I65" i="6"/>
  <c r="H65" i="6"/>
  <c r="G65" i="6"/>
  <c r="F65" i="6"/>
  <c r="M63" i="6"/>
  <c r="L63" i="6"/>
  <c r="K63" i="6"/>
  <c r="J63" i="6"/>
  <c r="I63" i="6"/>
  <c r="H63" i="6"/>
  <c r="G63" i="6"/>
  <c r="F63" i="6"/>
  <c r="E63" i="6"/>
  <c r="C63" i="6"/>
  <c r="C62" i="6"/>
  <c r="M60" i="6"/>
  <c r="L60" i="6"/>
  <c r="K60" i="6"/>
  <c r="J60" i="6"/>
  <c r="I60" i="6"/>
  <c r="H60" i="6"/>
  <c r="G60" i="6"/>
  <c r="F60" i="6"/>
  <c r="E60" i="6"/>
  <c r="D60" i="6"/>
  <c r="C60" i="6"/>
  <c r="M59" i="6"/>
  <c r="L59" i="6"/>
  <c r="K59" i="6"/>
  <c r="J59" i="6"/>
  <c r="I59" i="6"/>
  <c r="H59" i="6"/>
  <c r="G59" i="6"/>
  <c r="F59" i="6"/>
  <c r="E59" i="6"/>
  <c r="D59" i="6"/>
  <c r="C59" i="6"/>
  <c r="M57" i="6"/>
  <c r="L57" i="6"/>
  <c r="K57" i="6"/>
  <c r="J57" i="6"/>
  <c r="I57" i="6"/>
  <c r="H57" i="6"/>
  <c r="G57" i="6"/>
  <c r="F57" i="6"/>
  <c r="E57" i="6"/>
  <c r="D57" i="6"/>
  <c r="C57" i="6"/>
  <c r="M56" i="6"/>
  <c r="L56" i="6"/>
  <c r="K56" i="6"/>
  <c r="J56" i="6"/>
  <c r="I56" i="6"/>
  <c r="H56" i="6"/>
  <c r="G56" i="6"/>
  <c r="F56" i="6"/>
  <c r="E56" i="6"/>
  <c r="D56" i="6"/>
  <c r="C56" i="6"/>
  <c r="M55" i="6"/>
  <c r="L55" i="6"/>
  <c r="K55" i="6"/>
  <c r="J55" i="6"/>
  <c r="I55" i="6"/>
  <c r="H55" i="6"/>
  <c r="G55" i="6"/>
  <c r="F55" i="6"/>
  <c r="E55" i="6"/>
  <c r="D55" i="6"/>
  <c r="C55" i="6"/>
  <c r="M53" i="6"/>
  <c r="L53" i="6"/>
  <c r="K53" i="6"/>
  <c r="J53" i="6"/>
  <c r="I53" i="6"/>
  <c r="H53" i="6"/>
  <c r="G53" i="6"/>
  <c r="F53" i="6"/>
  <c r="E53" i="6"/>
  <c r="D53" i="6"/>
  <c r="C53" i="6"/>
  <c r="M52" i="6"/>
  <c r="L52" i="6"/>
  <c r="I52" i="6"/>
  <c r="G52" i="6"/>
  <c r="F52" i="6"/>
  <c r="E52" i="6"/>
  <c r="D52" i="6"/>
  <c r="C52" i="6"/>
  <c r="M49" i="6"/>
  <c r="L49" i="6"/>
  <c r="K49" i="6"/>
  <c r="J49" i="6"/>
  <c r="I49" i="6"/>
  <c r="H49" i="6"/>
  <c r="G49" i="6"/>
  <c r="F49" i="6"/>
  <c r="E49" i="6"/>
  <c r="D49" i="6"/>
  <c r="C49" i="6"/>
  <c r="M47" i="6"/>
  <c r="L47" i="6"/>
  <c r="K47" i="6"/>
  <c r="J47" i="6"/>
  <c r="I47" i="6"/>
  <c r="H47" i="6"/>
  <c r="G47" i="6"/>
  <c r="F47" i="6"/>
  <c r="C47" i="6"/>
  <c r="M46" i="6"/>
  <c r="L46" i="6"/>
  <c r="K46" i="6"/>
  <c r="J46" i="6"/>
  <c r="I46" i="6"/>
  <c r="H46" i="6"/>
  <c r="G46" i="6"/>
  <c r="F46" i="6"/>
  <c r="E46" i="6"/>
  <c r="D46" i="6"/>
  <c r="C46" i="6"/>
  <c r="M45" i="6"/>
  <c r="L45" i="6"/>
  <c r="K45" i="6"/>
  <c r="J45" i="6"/>
  <c r="I45" i="6"/>
  <c r="H45" i="6"/>
  <c r="G45" i="6"/>
  <c r="F45" i="6"/>
  <c r="E45" i="6"/>
  <c r="D45" i="6"/>
  <c r="C45" i="6"/>
  <c r="M44" i="6"/>
  <c r="L44" i="6"/>
  <c r="K44" i="6"/>
  <c r="J44" i="6"/>
  <c r="I44" i="6"/>
  <c r="H44" i="6"/>
  <c r="G44" i="6"/>
  <c r="F44" i="6"/>
  <c r="E44" i="6"/>
  <c r="D44" i="6"/>
  <c r="C44" i="6"/>
  <c r="M43" i="6"/>
  <c r="L43" i="6"/>
  <c r="K43" i="6"/>
  <c r="J43" i="6"/>
  <c r="I43" i="6"/>
  <c r="H43" i="6"/>
  <c r="G43" i="6"/>
  <c r="F43" i="6"/>
  <c r="E43" i="6"/>
  <c r="D43" i="6"/>
  <c r="C43" i="6"/>
  <c r="M42" i="6"/>
  <c r="L42" i="6"/>
  <c r="K42" i="6"/>
  <c r="J42" i="6"/>
  <c r="I42" i="6"/>
  <c r="H42" i="6"/>
  <c r="G42" i="6"/>
  <c r="F42" i="6"/>
  <c r="E42" i="6"/>
  <c r="D42" i="6"/>
  <c r="C42" i="6"/>
  <c r="C41" i="6"/>
  <c r="M36" i="6"/>
  <c r="L36" i="6"/>
  <c r="K36" i="6"/>
  <c r="J36" i="6"/>
  <c r="I36" i="6"/>
  <c r="H36" i="6"/>
  <c r="G36" i="6"/>
  <c r="F36" i="6"/>
  <c r="E36" i="6"/>
  <c r="D36" i="6"/>
  <c r="C36" i="6"/>
  <c r="M35" i="6"/>
  <c r="L35" i="6"/>
  <c r="K35" i="6"/>
  <c r="J35" i="6"/>
  <c r="I35" i="6"/>
  <c r="H35" i="6"/>
  <c r="G35" i="6"/>
  <c r="F35" i="6"/>
  <c r="E35" i="6"/>
  <c r="D35" i="6"/>
  <c r="C35" i="6"/>
  <c r="M34" i="6"/>
  <c r="L34" i="6"/>
  <c r="K34" i="6"/>
  <c r="J34" i="6"/>
  <c r="I34" i="6"/>
  <c r="H34" i="6"/>
  <c r="G34" i="6"/>
  <c r="F34" i="6"/>
  <c r="E34" i="6"/>
  <c r="D34" i="6"/>
  <c r="C34" i="6"/>
  <c r="M33" i="6"/>
  <c r="L33" i="6"/>
  <c r="K33" i="6"/>
  <c r="J33" i="6"/>
  <c r="I33" i="6"/>
  <c r="H33" i="6"/>
  <c r="G33" i="6"/>
  <c r="F33" i="6"/>
  <c r="E33" i="6"/>
  <c r="D33" i="6"/>
  <c r="C33" i="6"/>
  <c r="H32" i="6"/>
  <c r="G32" i="6"/>
  <c r="F32" i="6"/>
  <c r="E32" i="6"/>
  <c r="D32" i="6"/>
  <c r="H31" i="6"/>
  <c r="H101" i="4" s="1"/>
  <c r="F31" i="6"/>
  <c r="F101" i="4" s="1"/>
  <c r="C31" i="6"/>
  <c r="C101" i="4" s="1"/>
  <c r="H30" i="6"/>
  <c r="G30" i="6"/>
  <c r="F30" i="6"/>
  <c r="D30" i="6"/>
  <c r="K29" i="6"/>
  <c r="J29" i="6"/>
  <c r="H29" i="6"/>
  <c r="F29" i="6"/>
  <c r="D29" i="6"/>
  <c r="C29" i="6"/>
  <c r="C99" i="4" s="1"/>
  <c r="M25" i="6"/>
  <c r="M107" i="4" s="1"/>
  <c r="L25" i="6"/>
  <c r="K25" i="6"/>
  <c r="J25" i="6"/>
  <c r="I25" i="6"/>
  <c r="I107" i="4" s="1"/>
  <c r="H25" i="6"/>
  <c r="H107" i="4" s="1"/>
  <c r="G25" i="6"/>
  <c r="F25" i="6"/>
  <c r="E25" i="6"/>
  <c r="E107" i="4" s="1"/>
  <c r="D25" i="6"/>
  <c r="C25" i="6"/>
  <c r="M24" i="6"/>
  <c r="L24" i="6"/>
  <c r="L106" i="4" s="1"/>
  <c r="K24" i="6"/>
  <c r="K106" i="4" s="1"/>
  <c r="J24" i="6"/>
  <c r="I24" i="6"/>
  <c r="H24" i="6"/>
  <c r="H106" i="4" s="1"/>
  <c r="G24" i="6"/>
  <c r="F24" i="6"/>
  <c r="E24" i="6"/>
  <c r="D24" i="6"/>
  <c r="D106" i="4" s="1"/>
  <c r="C24" i="6"/>
  <c r="C106" i="4" s="1"/>
  <c r="E23" i="6"/>
  <c r="C23" i="6"/>
  <c r="M22" i="6"/>
  <c r="L22" i="6"/>
  <c r="K22" i="6"/>
  <c r="J22" i="6"/>
  <c r="J104" i="4" s="1"/>
  <c r="I22" i="6"/>
  <c r="I104" i="4" s="1"/>
  <c r="H22" i="6"/>
  <c r="G22" i="6"/>
  <c r="F22" i="6"/>
  <c r="E22" i="6"/>
  <c r="D22" i="6"/>
  <c r="C22" i="6"/>
  <c r="H21" i="6"/>
  <c r="G21" i="6"/>
  <c r="F21" i="6"/>
  <c r="E21" i="6"/>
  <c r="C21" i="6"/>
  <c r="H20" i="6"/>
  <c r="H102" i="4" s="1"/>
  <c r="H25" i="3" s="1"/>
  <c r="H11" i="2" s="1"/>
  <c r="H10" i="1" s="1"/>
  <c r="C20" i="6"/>
  <c r="C102" i="4" s="1"/>
  <c r="C19" i="6"/>
  <c r="M18" i="6"/>
  <c r="J18" i="6"/>
  <c r="H18" i="6"/>
  <c r="G18" i="6"/>
  <c r="F18" i="6"/>
  <c r="E18" i="6"/>
  <c r="D18" i="6"/>
  <c r="A1" i="6"/>
  <c r="J3370" i="5"/>
  <c r="I3370" i="5"/>
  <c r="H3370" i="5"/>
  <c r="G3370" i="5"/>
  <c r="F3370" i="5"/>
  <c r="E3370" i="5"/>
  <c r="O3370" i="5"/>
  <c r="N3370" i="5"/>
  <c r="M3370" i="5"/>
  <c r="L3370" i="5"/>
  <c r="J3353" i="5"/>
  <c r="I3353" i="5"/>
  <c r="H3353" i="5"/>
  <c r="G3353" i="5"/>
  <c r="F3353" i="5"/>
  <c r="E3353" i="5"/>
  <c r="O3353" i="5"/>
  <c r="N3353" i="5"/>
  <c r="M3353" i="5"/>
  <c r="L3353" i="5"/>
  <c r="O3336" i="5"/>
  <c r="N3336" i="5"/>
  <c r="M3336" i="5"/>
  <c r="L3336" i="5"/>
  <c r="K3336" i="5"/>
  <c r="J3336" i="5"/>
  <c r="I3336" i="5"/>
  <c r="H3336" i="5"/>
  <c r="G3336" i="5"/>
  <c r="F3336" i="5"/>
  <c r="E3336" i="5"/>
  <c r="P3326" i="5"/>
  <c r="Q3326" i="5" s="1"/>
  <c r="R3326" i="5" s="1"/>
  <c r="P3325" i="5"/>
  <c r="Q3325" i="5" s="1"/>
  <c r="R3325" i="5" s="1"/>
  <c r="E3319" i="5"/>
  <c r="P3318" i="5"/>
  <c r="Q3318" i="5" s="1"/>
  <c r="R3318" i="5" s="1"/>
  <c r="P3316" i="5"/>
  <c r="Q3316" i="5" s="1"/>
  <c r="R3316" i="5" s="1"/>
  <c r="P3315" i="5"/>
  <c r="Q3315" i="5" s="1"/>
  <c r="R3315" i="5" s="1"/>
  <c r="P3313" i="5"/>
  <c r="Q3313" i="5" s="1"/>
  <c r="R3313" i="5" s="1"/>
  <c r="P3312" i="5"/>
  <c r="Q3312" i="5" s="1"/>
  <c r="R3312" i="5" s="1"/>
  <c r="P3311" i="5"/>
  <c r="Q3311" i="5" s="1"/>
  <c r="R3311" i="5" s="1"/>
  <c r="P3310" i="5"/>
  <c r="Q3310" i="5" s="1"/>
  <c r="R3310" i="5" s="1"/>
  <c r="P3309" i="5"/>
  <c r="Q3309" i="5" s="1"/>
  <c r="R3309" i="5" s="1"/>
  <c r="J3319" i="5"/>
  <c r="I3319" i="5"/>
  <c r="H3319" i="5"/>
  <c r="G3319" i="5"/>
  <c r="P3304" i="5"/>
  <c r="Q3304" i="5" s="1"/>
  <c r="R3304" i="5" s="1"/>
  <c r="P3303" i="5"/>
  <c r="Q3303" i="5" s="1"/>
  <c r="R3303" i="5" s="1"/>
  <c r="J3302" i="5"/>
  <c r="I3302" i="5"/>
  <c r="H3302" i="5"/>
  <c r="G3302" i="5"/>
  <c r="F3302" i="5"/>
  <c r="E3302" i="5"/>
  <c r="P3300" i="5"/>
  <c r="Q3300" i="5" s="1"/>
  <c r="R3300" i="5" s="1"/>
  <c r="P3286" i="5"/>
  <c r="Q3286" i="5" s="1"/>
  <c r="R3286" i="5" s="1"/>
  <c r="O3285" i="5"/>
  <c r="N3285" i="5"/>
  <c r="M3285" i="5"/>
  <c r="L3285" i="5"/>
  <c r="K3285" i="5"/>
  <c r="J3285" i="5"/>
  <c r="I3285" i="5"/>
  <c r="H3285" i="5"/>
  <c r="G3285" i="5"/>
  <c r="F3285" i="5"/>
  <c r="E3285" i="5"/>
  <c r="P3284" i="5"/>
  <c r="Q3284" i="5" s="1"/>
  <c r="R3284" i="5" s="1"/>
  <c r="P3283" i="5"/>
  <c r="Q3283" i="5" s="1"/>
  <c r="R3283" i="5" s="1"/>
  <c r="P3282" i="5"/>
  <c r="Q3282" i="5" s="1"/>
  <c r="R3282" i="5" s="1"/>
  <c r="P3281" i="5"/>
  <c r="Q3281" i="5" s="1"/>
  <c r="R3281" i="5" s="1"/>
  <c r="P3275" i="5"/>
  <c r="Q3275" i="5" s="1"/>
  <c r="R3275" i="5" s="1"/>
  <c r="P3274" i="5"/>
  <c r="Q3274" i="5" s="1"/>
  <c r="R3274" i="5" s="1"/>
  <c r="P3269" i="5"/>
  <c r="Q3269" i="5" s="1"/>
  <c r="R3269" i="5" s="1"/>
  <c r="E3268" i="5"/>
  <c r="P3264" i="5"/>
  <c r="Q3264" i="5" s="1"/>
  <c r="R3264" i="5" s="1"/>
  <c r="P3259" i="5"/>
  <c r="Q3259" i="5" s="1"/>
  <c r="R3259" i="5" s="1"/>
  <c r="E3251" i="5"/>
  <c r="P3248" i="5"/>
  <c r="Q3248" i="5" s="1"/>
  <c r="R3248" i="5" s="1"/>
  <c r="P3247" i="5"/>
  <c r="Q3247" i="5" s="1"/>
  <c r="R3247" i="5" s="1"/>
  <c r="P3240" i="5"/>
  <c r="Q3240" i="5" s="1"/>
  <c r="R3240" i="5" s="1"/>
  <c r="J3234" i="5"/>
  <c r="I3234" i="5"/>
  <c r="H3234" i="5"/>
  <c r="G3234" i="5"/>
  <c r="F3234" i="5"/>
  <c r="E3234" i="5"/>
  <c r="P3233" i="5"/>
  <c r="Q3233" i="5" s="1"/>
  <c r="R3233" i="5" s="1"/>
  <c r="P3232" i="5"/>
  <c r="Q3232" i="5" s="1"/>
  <c r="R3232" i="5" s="1"/>
  <c r="O3217" i="5"/>
  <c r="N3217" i="5"/>
  <c r="M3217" i="5"/>
  <c r="L3217" i="5"/>
  <c r="K3217" i="5"/>
  <c r="E3217" i="5"/>
  <c r="P3213" i="5"/>
  <c r="Q3213" i="5" s="1"/>
  <c r="R3213" i="5" s="1"/>
  <c r="P3208" i="5"/>
  <c r="Q3208" i="5" s="1"/>
  <c r="R3208" i="5" s="1"/>
  <c r="P3207" i="5"/>
  <c r="Q3207" i="5" s="1"/>
  <c r="R3207" i="5" s="1"/>
  <c r="P3206" i="5"/>
  <c r="Q3206" i="5" s="1"/>
  <c r="R3206" i="5" s="1"/>
  <c r="E151" i="6"/>
  <c r="O3200" i="5"/>
  <c r="N3200" i="5"/>
  <c r="M3200" i="5"/>
  <c r="L3200" i="5"/>
  <c r="K3200" i="5"/>
  <c r="J3200" i="5"/>
  <c r="I3200" i="5"/>
  <c r="H3200" i="5"/>
  <c r="G3200" i="5"/>
  <c r="F3200" i="5"/>
  <c r="E3200" i="5"/>
  <c r="P3196" i="5"/>
  <c r="Q3196" i="5" s="1"/>
  <c r="R3196" i="5" s="1"/>
  <c r="P3190" i="5"/>
  <c r="Q3190" i="5" s="1"/>
  <c r="R3190" i="5" s="1"/>
  <c r="O3183" i="5"/>
  <c r="N3183" i="5"/>
  <c r="M3183" i="5"/>
  <c r="L3183" i="5"/>
  <c r="K3183" i="5"/>
  <c r="J3183" i="5"/>
  <c r="I3183" i="5"/>
  <c r="H3183" i="5"/>
  <c r="G3183" i="5"/>
  <c r="F3183" i="5"/>
  <c r="E3183" i="5"/>
  <c r="P3168" i="5"/>
  <c r="Q3168" i="5" s="1"/>
  <c r="R3168" i="5" s="1"/>
  <c r="O3166" i="5"/>
  <c r="N3166" i="5"/>
  <c r="M3166" i="5"/>
  <c r="L3166" i="5"/>
  <c r="K3166" i="5"/>
  <c r="J3166" i="5"/>
  <c r="I3166" i="5"/>
  <c r="H3166" i="5"/>
  <c r="G3166" i="5"/>
  <c r="F3166" i="5"/>
  <c r="E3166" i="5"/>
  <c r="P3151" i="5"/>
  <c r="Q3151" i="5" s="1"/>
  <c r="R3151" i="5" s="1"/>
  <c r="O3149" i="5"/>
  <c r="N3149" i="5"/>
  <c r="M3149" i="5"/>
  <c r="L3149" i="5"/>
  <c r="K3149" i="5"/>
  <c r="J3149" i="5"/>
  <c r="I3149" i="5"/>
  <c r="H3149" i="5"/>
  <c r="G3149" i="5"/>
  <c r="F3149" i="5"/>
  <c r="E3149" i="5"/>
  <c r="P3134" i="5"/>
  <c r="Q3134" i="5" s="1"/>
  <c r="R3134" i="5" s="1"/>
  <c r="O3132" i="5"/>
  <c r="N3132" i="5"/>
  <c r="M3132" i="5"/>
  <c r="L3132" i="5"/>
  <c r="K3132" i="5"/>
  <c r="J3132" i="5"/>
  <c r="I3132" i="5"/>
  <c r="H3132" i="5"/>
  <c r="G3132" i="5"/>
  <c r="F3132" i="5"/>
  <c r="E3132" i="5"/>
  <c r="P3117" i="5"/>
  <c r="Q3117" i="5" s="1"/>
  <c r="R3117" i="5" s="1"/>
  <c r="O3115" i="5"/>
  <c r="N3115" i="5"/>
  <c r="M3115" i="5"/>
  <c r="L3115" i="5"/>
  <c r="K3115" i="5"/>
  <c r="J3115" i="5"/>
  <c r="I3115" i="5"/>
  <c r="H3115" i="5"/>
  <c r="G3115" i="5"/>
  <c r="F3115" i="5"/>
  <c r="E3115" i="5"/>
  <c r="P3100" i="5"/>
  <c r="Q3100" i="5" s="1"/>
  <c r="R3100" i="5" s="1"/>
  <c r="O3098" i="5"/>
  <c r="N3098" i="5"/>
  <c r="M3098" i="5"/>
  <c r="L3098" i="5"/>
  <c r="K3098" i="5"/>
  <c r="J3098" i="5"/>
  <c r="I3098" i="5"/>
  <c r="H3098" i="5"/>
  <c r="G3098" i="5"/>
  <c r="F3098" i="5"/>
  <c r="E3098" i="5"/>
  <c r="P3094" i="5"/>
  <c r="Q3094" i="5" s="1"/>
  <c r="R3094" i="5" s="1"/>
  <c r="P3083" i="5"/>
  <c r="Q3083" i="5" s="1"/>
  <c r="R3083" i="5" s="1"/>
  <c r="M3081" i="5"/>
  <c r="K3081" i="5"/>
  <c r="J3081" i="5"/>
  <c r="I3081" i="5"/>
  <c r="H3081" i="5"/>
  <c r="G3081" i="5"/>
  <c r="F3081" i="5"/>
  <c r="E3081" i="5"/>
  <c r="O3081" i="5"/>
  <c r="N3081" i="5"/>
  <c r="M3064" i="5"/>
  <c r="L3064" i="5"/>
  <c r="K3064" i="5"/>
  <c r="J3064" i="5"/>
  <c r="I3064" i="5"/>
  <c r="H3064" i="5"/>
  <c r="G3064" i="5"/>
  <c r="F3064" i="5"/>
  <c r="E3064" i="5"/>
  <c r="O3064" i="5"/>
  <c r="M3047" i="5"/>
  <c r="L3047" i="5"/>
  <c r="K3047" i="5"/>
  <c r="J3047" i="5"/>
  <c r="I3047" i="5"/>
  <c r="H3047" i="5"/>
  <c r="G3047" i="5"/>
  <c r="F3047" i="5"/>
  <c r="E3047" i="5"/>
  <c r="P3037" i="5"/>
  <c r="Q3037" i="5" s="1"/>
  <c r="R3037" i="5" s="1"/>
  <c r="O3047" i="5"/>
  <c r="M3030" i="5"/>
  <c r="L3030" i="5"/>
  <c r="K3030" i="5"/>
  <c r="J3030" i="5"/>
  <c r="I3030" i="5"/>
  <c r="H3030" i="5"/>
  <c r="G3030" i="5"/>
  <c r="F3030" i="5"/>
  <c r="E3030" i="5"/>
  <c r="P3026" i="5"/>
  <c r="Q3026" i="5" s="1"/>
  <c r="R3026" i="5" s="1"/>
  <c r="P3021" i="5"/>
  <c r="Q3021" i="5" s="1"/>
  <c r="R3021" i="5" s="1"/>
  <c r="P3020" i="5"/>
  <c r="Q3020" i="5" s="1"/>
  <c r="R3020" i="5" s="1"/>
  <c r="O3030" i="5"/>
  <c r="M3013" i="5"/>
  <c r="L3013" i="5"/>
  <c r="K3013" i="5"/>
  <c r="J3013" i="5"/>
  <c r="I3013" i="5"/>
  <c r="H3013" i="5"/>
  <c r="G3013" i="5"/>
  <c r="F3013" i="5"/>
  <c r="E3013" i="5"/>
  <c r="P3009" i="5"/>
  <c r="Q3009" i="5" s="1"/>
  <c r="R3009" i="5" s="1"/>
  <c r="O2996" i="5"/>
  <c r="L2996" i="5"/>
  <c r="K2996" i="5"/>
  <c r="J2996" i="5"/>
  <c r="I2996" i="5"/>
  <c r="H2996" i="5"/>
  <c r="G2996" i="5"/>
  <c r="F2996" i="5"/>
  <c r="E2996" i="5"/>
  <c r="P2992" i="5"/>
  <c r="Q2992" i="5" s="1"/>
  <c r="R2992" i="5" s="1"/>
  <c r="O2979" i="5"/>
  <c r="N2979" i="5"/>
  <c r="M2979" i="5"/>
  <c r="L2979" i="5"/>
  <c r="K2979" i="5"/>
  <c r="J2979" i="5"/>
  <c r="I2979" i="5"/>
  <c r="H2979" i="5"/>
  <c r="G2979" i="5"/>
  <c r="F2979" i="5"/>
  <c r="E2979" i="5"/>
  <c r="P2963" i="5"/>
  <c r="Q2963" i="5" s="1"/>
  <c r="R2963" i="5" s="1"/>
  <c r="O2962" i="5"/>
  <c r="N2962" i="5"/>
  <c r="M2962" i="5"/>
  <c r="L2962" i="5"/>
  <c r="K2962" i="5"/>
  <c r="J2962" i="5"/>
  <c r="I2962" i="5"/>
  <c r="H2962" i="5"/>
  <c r="G2962" i="5"/>
  <c r="F2962" i="5"/>
  <c r="E2962" i="5"/>
  <c r="P2958" i="5"/>
  <c r="Q2958" i="5" s="1"/>
  <c r="R2958" i="5" s="1"/>
  <c r="P2946" i="5"/>
  <c r="Q2946" i="5" s="1"/>
  <c r="R2946" i="5" s="1"/>
  <c r="O2945" i="5"/>
  <c r="N2945" i="5"/>
  <c r="M2945" i="5"/>
  <c r="L2945" i="5"/>
  <c r="K2945" i="5"/>
  <c r="J2945" i="5"/>
  <c r="I2945" i="5"/>
  <c r="H2945" i="5"/>
  <c r="G2945" i="5"/>
  <c r="F2945" i="5"/>
  <c r="E2945" i="5"/>
  <c r="P2929" i="5"/>
  <c r="Q2929" i="5" s="1"/>
  <c r="R2929" i="5" s="1"/>
  <c r="O2928" i="5"/>
  <c r="N2928" i="5"/>
  <c r="M2928" i="5"/>
  <c r="L2928" i="5"/>
  <c r="K2928" i="5"/>
  <c r="J2928" i="5"/>
  <c r="I2928" i="5"/>
  <c r="H2928" i="5"/>
  <c r="G2928" i="5"/>
  <c r="F2928" i="5"/>
  <c r="E2928" i="5"/>
  <c r="P2924" i="5"/>
  <c r="Q2924" i="5" s="1"/>
  <c r="R2924" i="5" s="1"/>
  <c r="P2912" i="5"/>
  <c r="Q2912" i="5" s="1"/>
  <c r="R2912" i="5" s="1"/>
  <c r="O2911" i="5"/>
  <c r="N2911" i="5"/>
  <c r="M2911" i="5"/>
  <c r="L2911" i="5"/>
  <c r="K2911" i="5"/>
  <c r="J2911" i="5"/>
  <c r="I2911" i="5"/>
  <c r="H2911" i="5"/>
  <c r="G2911" i="5"/>
  <c r="F2911" i="5"/>
  <c r="E2911" i="5"/>
  <c r="P2901" i="5"/>
  <c r="Q2901" i="5" s="1"/>
  <c r="R2901" i="5" s="1"/>
  <c r="P2900" i="5"/>
  <c r="Q2900" i="5" s="1"/>
  <c r="R2900" i="5" s="1"/>
  <c r="O2894" i="5"/>
  <c r="N2894" i="5"/>
  <c r="M2894" i="5"/>
  <c r="L2894" i="5"/>
  <c r="K2894" i="5"/>
  <c r="J2894" i="5"/>
  <c r="I2894" i="5"/>
  <c r="H2894" i="5"/>
  <c r="G2894" i="5"/>
  <c r="F2894" i="5"/>
  <c r="E2894" i="5"/>
  <c r="P2891" i="5"/>
  <c r="Q2891" i="5" s="1"/>
  <c r="R2891" i="5" s="1"/>
  <c r="P2890" i="5"/>
  <c r="Q2890" i="5" s="1"/>
  <c r="R2890" i="5" s="1"/>
  <c r="P2884" i="5"/>
  <c r="Q2884" i="5" s="1"/>
  <c r="R2884" i="5" s="1"/>
  <c r="O2877" i="5"/>
  <c r="N2877" i="5"/>
  <c r="M2877" i="5"/>
  <c r="L2877" i="5"/>
  <c r="K2877" i="5"/>
  <c r="J2877" i="5"/>
  <c r="I2877" i="5"/>
  <c r="H2877" i="5"/>
  <c r="G2877" i="5"/>
  <c r="F2877" i="5"/>
  <c r="E2877" i="5"/>
  <c r="P2867" i="5"/>
  <c r="Q2867" i="5" s="1"/>
  <c r="R2867" i="5" s="1"/>
  <c r="P2864" i="5"/>
  <c r="Q2864" i="5" s="1"/>
  <c r="R2864" i="5" s="1"/>
  <c r="O2860" i="5"/>
  <c r="N2860" i="5"/>
  <c r="M2860" i="5"/>
  <c r="L2860" i="5"/>
  <c r="K2860" i="5"/>
  <c r="J2860" i="5"/>
  <c r="I2860" i="5"/>
  <c r="H2860" i="5"/>
  <c r="G2860" i="5"/>
  <c r="F2860" i="5"/>
  <c r="E2860" i="5"/>
  <c r="P2847" i="5"/>
  <c r="Q2847" i="5" s="1"/>
  <c r="R2847" i="5" s="1"/>
  <c r="O2843" i="5"/>
  <c r="N2843" i="5"/>
  <c r="M2843" i="5"/>
  <c r="L2843" i="5"/>
  <c r="K2843" i="5"/>
  <c r="J2843" i="5"/>
  <c r="I2843" i="5"/>
  <c r="H2843" i="5"/>
  <c r="G2843" i="5"/>
  <c r="F2843" i="5"/>
  <c r="E2843" i="5"/>
  <c r="P2830" i="5"/>
  <c r="Q2830" i="5" s="1"/>
  <c r="R2830" i="5" s="1"/>
  <c r="O2826" i="5"/>
  <c r="J2826" i="5"/>
  <c r="I2826" i="5"/>
  <c r="H2826" i="5"/>
  <c r="G2826" i="5"/>
  <c r="F2826" i="5"/>
  <c r="E2826" i="5"/>
  <c r="O2809" i="5"/>
  <c r="N2809" i="5"/>
  <c r="M2809" i="5"/>
  <c r="L2809" i="5"/>
  <c r="K2809" i="5"/>
  <c r="J2809" i="5"/>
  <c r="I2809" i="5"/>
  <c r="H2809" i="5"/>
  <c r="G2809" i="5"/>
  <c r="F2809" i="5"/>
  <c r="E2809" i="5"/>
  <c r="P2796" i="5"/>
  <c r="Q2796" i="5" s="1"/>
  <c r="R2796" i="5" s="1"/>
  <c r="O2792" i="5"/>
  <c r="N2792" i="5"/>
  <c r="M2792" i="5"/>
  <c r="L2792" i="5"/>
  <c r="K2792" i="5"/>
  <c r="J2792" i="5"/>
  <c r="I2792" i="5"/>
  <c r="H2792" i="5"/>
  <c r="G2792" i="5"/>
  <c r="F2792" i="5"/>
  <c r="E2792" i="5"/>
  <c r="P2779" i="5"/>
  <c r="Q2779" i="5" s="1"/>
  <c r="R2779" i="5" s="1"/>
  <c r="O2775" i="5"/>
  <c r="N2775" i="5"/>
  <c r="M2775" i="5"/>
  <c r="L2775" i="5"/>
  <c r="K2775" i="5"/>
  <c r="J2775" i="5"/>
  <c r="I2775" i="5"/>
  <c r="H2775" i="5"/>
  <c r="G2775" i="5"/>
  <c r="F2775" i="5"/>
  <c r="E2775" i="5"/>
  <c r="P2762" i="5"/>
  <c r="Q2762" i="5" s="1"/>
  <c r="R2762" i="5" s="1"/>
  <c r="E2758" i="5"/>
  <c r="P2743" i="5"/>
  <c r="Q2743" i="5" s="1"/>
  <c r="R2743" i="5" s="1"/>
  <c r="E2726" i="5"/>
  <c r="P2714" i="5"/>
  <c r="Q2714" i="5" s="1"/>
  <c r="R2714" i="5" s="1"/>
  <c r="E2709" i="5"/>
  <c r="L2707" i="5"/>
  <c r="K2707" i="5"/>
  <c r="E2707" i="5"/>
  <c r="P2703" i="5"/>
  <c r="Q2703" i="5" s="1"/>
  <c r="R2703" i="5" s="1"/>
  <c r="O2707" i="5"/>
  <c r="N2707" i="5"/>
  <c r="M2707" i="5"/>
  <c r="O2690" i="5"/>
  <c r="N2690" i="5"/>
  <c r="M2690" i="5"/>
  <c r="L2690" i="5"/>
  <c r="K2690" i="5"/>
  <c r="E2690" i="5"/>
  <c r="P2686" i="5"/>
  <c r="Q2686" i="5" s="1"/>
  <c r="R2686" i="5" s="1"/>
  <c r="P2675" i="5"/>
  <c r="Q2675" i="5" s="1"/>
  <c r="R2675" i="5" s="1"/>
  <c r="P2655" i="5"/>
  <c r="Q2655" i="5" s="1"/>
  <c r="R2655" i="5" s="1"/>
  <c r="P2654" i="5"/>
  <c r="Q2654" i="5" s="1"/>
  <c r="R2654" i="5" s="1"/>
  <c r="P2636" i="5"/>
  <c r="Q2636" i="5" s="1"/>
  <c r="R2636" i="5" s="1"/>
  <c r="I2622" i="5"/>
  <c r="E2622" i="5"/>
  <c r="P2621" i="5"/>
  <c r="Q2621" i="5" s="1"/>
  <c r="R2621" i="5" s="1"/>
  <c r="P2619" i="5"/>
  <c r="Q2619" i="5" s="1"/>
  <c r="R2619" i="5" s="1"/>
  <c r="P2618" i="5"/>
  <c r="Q2618" i="5" s="1"/>
  <c r="R2618" i="5" s="1"/>
  <c r="P2611" i="5"/>
  <c r="Q2611" i="5" s="1"/>
  <c r="R2611" i="5" s="1"/>
  <c r="P2607" i="5"/>
  <c r="Q2607" i="5" s="1"/>
  <c r="R2607" i="5" s="1"/>
  <c r="O2622" i="5"/>
  <c r="N2622" i="5"/>
  <c r="M2622" i="5"/>
  <c r="L2622" i="5"/>
  <c r="K2622" i="5"/>
  <c r="H2622" i="5"/>
  <c r="G2622" i="5"/>
  <c r="O2605" i="5"/>
  <c r="N2605" i="5"/>
  <c r="M2605" i="5"/>
  <c r="L2605" i="5"/>
  <c r="K2605" i="5"/>
  <c r="J2605" i="5"/>
  <c r="I2605" i="5"/>
  <c r="H2605" i="5"/>
  <c r="G2605" i="5"/>
  <c r="E2605" i="5"/>
  <c r="P2601" i="5"/>
  <c r="Q2601" i="5" s="1"/>
  <c r="R2601" i="5" s="1"/>
  <c r="P2597" i="5"/>
  <c r="Q2597" i="5" s="1"/>
  <c r="R2597" i="5" s="1"/>
  <c r="P2596" i="5"/>
  <c r="Q2596" i="5" s="1"/>
  <c r="R2596" i="5" s="1"/>
  <c r="P2595" i="5"/>
  <c r="Q2595" i="5" s="1"/>
  <c r="R2595" i="5" s="1"/>
  <c r="E2588" i="5"/>
  <c r="P2584" i="5"/>
  <c r="Q2584" i="5" s="1"/>
  <c r="R2584" i="5" s="1"/>
  <c r="P2577" i="5"/>
  <c r="Q2577" i="5" s="1"/>
  <c r="R2577" i="5" s="1"/>
  <c r="P2570" i="5"/>
  <c r="Q2570" i="5" s="1"/>
  <c r="R2570" i="5" s="1"/>
  <c r="P2568" i="5"/>
  <c r="Q2568" i="5" s="1"/>
  <c r="R2568" i="5" s="1"/>
  <c r="P2560" i="5"/>
  <c r="Q2560" i="5" s="1"/>
  <c r="R2560" i="5" s="1"/>
  <c r="P2550" i="5"/>
  <c r="Q2550" i="5" s="1"/>
  <c r="R2550" i="5" s="1"/>
  <c r="O2537" i="5"/>
  <c r="N2537" i="5"/>
  <c r="M2537" i="5"/>
  <c r="L2537" i="5"/>
  <c r="K2537" i="5"/>
  <c r="J2537" i="5"/>
  <c r="I2537" i="5"/>
  <c r="F2537" i="5"/>
  <c r="G2537" i="5"/>
  <c r="H2537" i="5"/>
  <c r="E2537" i="5"/>
  <c r="P2533" i="5"/>
  <c r="Q2533" i="5" s="1"/>
  <c r="R2533" i="5" s="1"/>
  <c r="P2527" i="5"/>
  <c r="Q2527" i="5" s="1"/>
  <c r="R2527" i="5" s="1"/>
  <c r="P2526" i="5"/>
  <c r="Q2526" i="5" s="1"/>
  <c r="R2526" i="5" s="1"/>
  <c r="E2520" i="5"/>
  <c r="P2516" i="5"/>
  <c r="Q2516" i="5" s="1"/>
  <c r="R2516" i="5" s="1"/>
  <c r="P2509" i="5"/>
  <c r="Q2509" i="5" s="1"/>
  <c r="R2509" i="5" s="1"/>
  <c r="O2503" i="5"/>
  <c r="N2503" i="5"/>
  <c r="M2503" i="5"/>
  <c r="L2503" i="5"/>
  <c r="K2503" i="5"/>
  <c r="E2503" i="5"/>
  <c r="P2488" i="5"/>
  <c r="Q2488" i="5" s="1"/>
  <c r="R2488" i="5" s="1"/>
  <c r="E2486" i="5"/>
  <c r="L111" i="6"/>
  <c r="F111" i="6"/>
  <c r="E111" i="6"/>
  <c r="N2469" i="5"/>
  <c r="M2469" i="5"/>
  <c r="L2469" i="5"/>
  <c r="K2469" i="5"/>
  <c r="E2469" i="5"/>
  <c r="P2459" i="5"/>
  <c r="Q2459" i="5" s="1"/>
  <c r="R2459" i="5" s="1"/>
  <c r="E2452" i="5"/>
  <c r="P2441" i="5"/>
  <c r="Q2441" i="5" s="1"/>
  <c r="R2441" i="5" s="1"/>
  <c r="E2435" i="5"/>
  <c r="P2431" i="5"/>
  <c r="Q2431" i="5" s="1"/>
  <c r="R2431" i="5" s="1"/>
  <c r="N2435" i="5"/>
  <c r="M2435" i="5"/>
  <c r="L2435" i="5"/>
  <c r="K2435" i="5"/>
  <c r="P2422" i="5"/>
  <c r="Q2422" i="5" s="1"/>
  <c r="R2422" i="5" s="1"/>
  <c r="E2418" i="5"/>
  <c r="P2414" i="5"/>
  <c r="Q2414" i="5" s="1"/>
  <c r="R2414" i="5" s="1"/>
  <c r="O2418" i="5"/>
  <c r="P2402" i="5"/>
  <c r="Q2402" i="5" s="1"/>
  <c r="R2402" i="5" s="1"/>
  <c r="E2401" i="5"/>
  <c r="P2392" i="5"/>
  <c r="Q2392" i="5" s="1"/>
  <c r="R2392" i="5" s="1"/>
  <c r="P2391" i="5"/>
  <c r="Q2391" i="5" s="1"/>
  <c r="R2391" i="5" s="1"/>
  <c r="P2385" i="5"/>
  <c r="Q2385" i="5" s="1"/>
  <c r="R2385" i="5" s="1"/>
  <c r="K2384" i="5"/>
  <c r="H2384" i="5"/>
  <c r="F2384" i="5"/>
  <c r="G2384" i="5"/>
  <c r="I2384" i="5"/>
  <c r="J2384" i="5"/>
  <c r="L2384" i="5"/>
  <c r="M2384" i="5"/>
  <c r="N2384" i="5"/>
  <c r="O2384" i="5"/>
  <c r="E2384" i="5"/>
  <c r="L101" i="6"/>
  <c r="O2367" i="5"/>
  <c r="N2367" i="5"/>
  <c r="J2367" i="5"/>
  <c r="I2367" i="5"/>
  <c r="H2367" i="5"/>
  <c r="G2367" i="5"/>
  <c r="F2367" i="5"/>
  <c r="E2367" i="5"/>
  <c r="P2363" i="5"/>
  <c r="Q2363" i="5" s="1"/>
  <c r="R2363" i="5" s="1"/>
  <c r="P2360" i="5"/>
  <c r="Q2360" i="5" s="1"/>
  <c r="R2360" i="5" s="1"/>
  <c r="P2359" i="5"/>
  <c r="Q2359" i="5" s="1"/>
  <c r="R2359" i="5" s="1"/>
  <c r="P2358" i="5"/>
  <c r="Q2358" i="5" s="1"/>
  <c r="R2358" i="5" s="1"/>
  <c r="P2357" i="5"/>
  <c r="Q2357" i="5" s="1"/>
  <c r="R2357" i="5" s="1"/>
  <c r="J99" i="6"/>
  <c r="P2354" i="5"/>
  <c r="Q2354" i="5" s="1"/>
  <c r="R2354" i="5" s="1"/>
  <c r="L2350" i="5"/>
  <c r="K2350" i="5"/>
  <c r="P2340" i="5"/>
  <c r="Q2340" i="5" s="1"/>
  <c r="R2340" i="5" s="1"/>
  <c r="E2337" i="5"/>
  <c r="E2320" i="5"/>
  <c r="E2333" i="5" s="1"/>
  <c r="E2316" i="5"/>
  <c r="O2299" i="5"/>
  <c r="N2299" i="5"/>
  <c r="M2299" i="5"/>
  <c r="F2299" i="5"/>
  <c r="G2299" i="5"/>
  <c r="H2299" i="5"/>
  <c r="I2299" i="5"/>
  <c r="J2299" i="5"/>
  <c r="K2299" i="5"/>
  <c r="L2299" i="5"/>
  <c r="E2299" i="5"/>
  <c r="P2284" i="5"/>
  <c r="Q2284" i="5" s="1"/>
  <c r="R2284" i="5" s="1"/>
  <c r="F2282" i="5"/>
  <c r="E2282" i="5"/>
  <c r="P2278" i="5"/>
  <c r="Q2278" i="5" s="1"/>
  <c r="R2278" i="5" s="1"/>
  <c r="P2272" i="5"/>
  <c r="Q2272" i="5" s="1"/>
  <c r="R2272" i="5" s="1"/>
  <c r="L88" i="6"/>
  <c r="O2265" i="5"/>
  <c r="M2265" i="5"/>
  <c r="L2265" i="5"/>
  <c r="K2265" i="5"/>
  <c r="J2265" i="5"/>
  <c r="I2265" i="5"/>
  <c r="H2265" i="5"/>
  <c r="G2265" i="5"/>
  <c r="F2265" i="5"/>
  <c r="E2265" i="5"/>
  <c r="O2231" i="5"/>
  <c r="N2231" i="5"/>
  <c r="E2231" i="5"/>
  <c r="M2231" i="5"/>
  <c r="L2231" i="5"/>
  <c r="K2231" i="5"/>
  <c r="J2231" i="5"/>
  <c r="I2231" i="5"/>
  <c r="H2231" i="5"/>
  <c r="G2231" i="5"/>
  <c r="E2214" i="5"/>
  <c r="O2214" i="5"/>
  <c r="N2214" i="5"/>
  <c r="M2214" i="5"/>
  <c r="L2214" i="5"/>
  <c r="K2214" i="5"/>
  <c r="J2214" i="5"/>
  <c r="I2214" i="5"/>
  <c r="H2214" i="5"/>
  <c r="G2214" i="5"/>
  <c r="P2196" i="5"/>
  <c r="Q2196" i="5" s="1"/>
  <c r="R2196" i="5" s="1"/>
  <c r="P2194" i="5"/>
  <c r="Q2194" i="5" s="1"/>
  <c r="R2194" i="5" s="1"/>
  <c r="P2193" i="5"/>
  <c r="Q2193" i="5" s="1"/>
  <c r="R2193" i="5" s="1"/>
  <c r="P2189" i="5"/>
  <c r="Q2189" i="5" s="1"/>
  <c r="R2189" i="5" s="1"/>
  <c r="P2188" i="5"/>
  <c r="Q2188" i="5" s="1"/>
  <c r="R2188" i="5" s="1"/>
  <c r="P2187" i="5"/>
  <c r="Q2187" i="5" s="1"/>
  <c r="R2187" i="5" s="1"/>
  <c r="P2186" i="5"/>
  <c r="Q2186" i="5" s="1"/>
  <c r="R2186" i="5" s="1"/>
  <c r="N2197" i="5"/>
  <c r="M2197" i="5"/>
  <c r="L2197" i="5"/>
  <c r="K2197" i="5"/>
  <c r="J2197" i="5"/>
  <c r="I2197" i="5"/>
  <c r="H2197" i="5"/>
  <c r="G2197" i="5"/>
  <c r="O2179" i="5"/>
  <c r="N2179" i="5"/>
  <c r="M2179" i="5"/>
  <c r="L2179" i="5"/>
  <c r="K2179" i="5"/>
  <c r="J2179" i="5"/>
  <c r="I2179" i="5"/>
  <c r="H2179" i="5"/>
  <c r="G2179" i="5"/>
  <c r="F2179" i="5"/>
  <c r="E2179" i="5"/>
  <c r="P2165" i="5"/>
  <c r="Q2165" i="5" s="1"/>
  <c r="R2165" i="5" s="1"/>
  <c r="P2164" i="5"/>
  <c r="Q2164" i="5" s="1"/>
  <c r="R2164" i="5" s="1"/>
  <c r="E2162" i="5"/>
  <c r="P2159" i="5"/>
  <c r="Q2159" i="5" s="1"/>
  <c r="R2159" i="5" s="1"/>
  <c r="P2158" i="5"/>
  <c r="Q2158" i="5" s="1"/>
  <c r="R2158" i="5" s="1"/>
  <c r="P2152" i="5"/>
  <c r="Q2152" i="5" s="1"/>
  <c r="R2152" i="5" s="1"/>
  <c r="N2162" i="5"/>
  <c r="E2145" i="5"/>
  <c r="P2142" i="5"/>
  <c r="Q2142" i="5" s="1"/>
  <c r="R2142" i="5" s="1"/>
  <c r="P2141" i="5"/>
  <c r="Q2141" i="5" s="1"/>
  <c r="R2141" i="5" s="1"/>
  <c r="P2135" i="5"/>
  <c r="Q2135" i="5" s="1"/>
  <c r="R2135" i="5" s="1"/>
  <c r="L2128" i="5"/>
  <c r="K2128" i="5"/>
  <c r="G2128" i="5"/>
  <c r="E2128" i="5"/>
  <c r="P2125" i="5"/>
  <c r="Q2125" i="5" s="1"/>
  <c r="R2125" i="5" s="1"/>
  <c r="P2124" i="5"/>
  <c r="Q2124" i="5" s="1"/>
  <c r="R2124" i="5" s="1"/>
  <c r="P2120" i="5"/>
  <c r="Q2120" i="5" s="1"/>
  <c r="R2120" i="5" s="1"/>
  <c r="P2119" i="5"/>
  <c r="Q2119" i="5" s="1"/>
  <c r="R2119" i="5" s="1"/>
  <c r="P2118" i="5"/>
  <c r="Q2118" i="5" s="1"/>
  <c r="R2118" i="5" s="1"/>
  <c r="E2111" i="5"/>
  <c r="P2108" i="5"/>
  <c r="Q2108" i="5" s="1"/>
  <c r="R2108" i="5" s="1"/>
  <c r="P2107" i="5"/>
  <c r="Q2107" i="5" s="1"/>
  <c r="R2107" i="5" s="1"/>
  <c r="P2102" i="5"/>
  <c r="Q2102" i="5" s="1"/>
  <c r="R2102" i="5" s="1"/>
  <c r="M78" i="6"/>
  <c r="M175" i="4" s="1"/>
  <c r="L78" i="6"/>
  <c r="L175" i="4" s="1"/>
  <c r="K78" i="6"/>
  <c r="K175" i="4" s="1"/>
  <c r="J78" i="6"/>
  <c r="J175" i="4" s="1"/>
  <c r="E2094" i="5"/>
  <c r="P2092" i="5"/>
  <c r="Q2092" i="5" s="1"/>
  <c r="R2092" i="5" s="1"/>
  <c r="P2090" i="5"/>
  <c r="Q2090" i="5" s="1"/>
  <c r="R2090" i="5" s="1"/>
  <c r="P2084" i="5"/>
  <c r="Q2084" i="5" s="1"/>
  <c r="R2084" i="5" s="1"/>
  <c r="L2077" i="5"/>
  <c r="K2077" i="5"/>
  <c r="E2077" i="5"/>
  <c r="P2073" i="5"/>
  <c r="Q2073" i="5" s="1"/>
  <c r="R2073" i="5" s="1"/>
  <c r="P2068" i="5"/>
  <c r="Q2068" i="5" s="1"/>
  <c r="R2068" i="5" s="1"/>
  <c r="P2067" i="5"/>
  <c r="Q2067" i="5" s="1"/>
  <c r="R2067" i="5" s="1"/>
  <c r="O2077" i="5"/>
  <c r="N2077" i="5"/>
  <c r="M2077" i="5"/>
  <c r="O2060" i="5"/>
  <c r="N2060" i="5"/>
  <c r="M2060" i="5"/>
  <c r="F2060" i="5"/>
  <c r="G2060" i="5"/>
  <c r="H2060" i="5"/>
  <c r="I2060" i="5"/>
  <c r="J2060" i="5"/>
  <c r="K2060" i="5"/>
  <c r="L2060" i="5"/>
  <c r="E2060" i="5"/>
  <c r="P2059" i="5"/>
  <c r="Q2059" i="5" s="1"/>
  <c r="R2059" i="5" s="1"/>
  <c r="P2056" i="5"/>
  <c r="Q2056" i="5" s="1"/>
  <c r="R2056" i="5" s="1"/>
  <c r="P2049" i="5"/>
  <c r="Q2049" i="5" s="1"/>
  <c r="R2049" i="5" s="1"/>
  <c r="O2026" i="5"/>
  <c r="N2026" i="5"/>
  <c r="M2026" i="5"/>
  <c r="L2026" i="5"/>
  <c r="K2026" i="5"/>
  <c r="J2026" i="5"/>
  <c r="I2026" i="5"/>
  <c r="H2026" i="5"/>
  <c r="G2026" i="5"/>
  <c r="F2026" i="5"/>
  <c r="E2026" i="5"/>
  <c r="P2022" i="5"/>
  <c r="Q2022" i="5" s="1"/>
  <c r="R2022" i="5" s="1"/>
  <c r="P2015" i="5"/>
  <c r="Q2015" i="5" s="1"/>
  <c r="R2015" i="5" s="1"/>
  <c r="O2009" i="5"/>
  <c r="N2009" i="5"/>
  <c r="M2009" i="5"/>
  <c r="L2009" i="5"/>
  <c r="K2009" i="5"/>
  <c r="J2009" i="5"/>
  <c r="I2009" i="5"/>
  <c r="H2009" i="5"/>
  <c r="G2009" i="5"/>
  <c r="F2009" i="5"/>
  <c r="E2009" i="5"/>
  <c r="P2006" i="5"/>
  <c r="Q2006" i="5" s="1"/>
  <c r="R2006" i="5" s="1"/>
  <c r="P2005" i="5"/>
  <c r="Q2005" i="5" s="1"/>
  <c r="R2005" i="5" s="1"/>
  <c r="P1998" i="5"/>
  <c r="Q1998" i="5" s="1"/>
  <c r="R1998" i="5" s="1"/>
  <c r="N1992" i="5"/>
  <c r="M1992" i="5"/>
  <c r="L1992" i="5"/>
  <c r="K1992" i="5"/>
  <c r="E1992" i="5"/>
  <c r="P1988" i="5"/>
  <c r="Q1988" i="5" s="1"/>
  <c r="R1988" i="5" s="1"/>
  <c r="O1992" i="5"/>
  <c r="J1992" i="5"/>
  <c r="I1992" i="5"/>
  <c r="H1992" i="5"/>
  <c r="G1992" i="5"/>
  <c r="M1975" i="5"/>
  <c r="K1975" i="5"/>
  <c r="P1974" i="5"/>
  <c r="Q1974" i="5" s="1"/>
  <c r="R1974" i="5" s="1"/>
  <c r="P1973" i="5"/>
  <c r="Q1973" i="5" s="1"/>
  <c r="R1973" i="5" s="1"/>
  <c r="P1971" i="5"/>
  <c r="Q1971" i="5" s="1"/>
  <c r="R1971" i="5" s="1"/>
  <c r="P1964" i="5"/>
  <c r="Q1964" i="5" s="1"/>
  <c r="R1964" i="5" s="1"/>
  <c r="E1962" i="5"/>
  <c r="P1960" i="5"/>
  <c r="Q1960" i="5" s="1"/>
  <c r="R1960" i="5" s="1"/>
  <c r="H1975" i="5"/>
  <c r="E1956" i="5"/>
  <c r="P1953" i="5"/>
  <c r="Q1953" i="5" s="1"/>
  <c r="R1953" i="5" s="1"/>
  <c r="P1952" i="5"/>
  <c r="Q1952" i="5" s="1"/>
  <c r="R1952" i="5" s="1"/>
  <c r="P1948" i="5"/>
  <c r="Q1948" i="5" s="1"/>
  <c r="R1948" i="5" s="1"/>
  <c r="P1947" i="5"/>
  <c r="Q1947" i="5" s="1"/>
  <c r="R1947" i="5" s="1"/>
  <c r="P1946" i="5"/>
  <c r="Q1946" i="5" s="1"/>
  <c r="R1946" i="5" s="1"/>
  <c r="P1945" i="5"/>
  <c r="Q1945" i="5" s="1"/>
  <c r="R1945" i="5" s="1"/>
  <c r="O1956" i="5"/>
  <c r="N1956" i="5"/>
  <c r="M1956" i="5"/>
  <c r="L1956" i="5"/>
  <c r="K1956" i="5"/>
  <c r="J1956" i="5"/>
  <c r="I1956" i="5"/>
  <c r="H1956" i="5"/>
  <c r="G1956" i="5"/>
  <c r="P1942" i="5"/>
  <c r="Q1942" i="5" s="1"/>
  <c r="R1942" i="5" s="1"/>
  <c r="P1939" i="5"/>
  <c r="Q1939" i="5" s="1"/>
  <c r="R1939" i="5" s="1"/>
  <c r="P1938" i="5"/>
  <c r="Q1938" i="5" s="1"/>
  <c r="R1938" i="5" s="1"/>
  <c r="O1937" i="5"/>
  <c r="N1937" i="5"/>
  <c r="M1937" i="5"/>
  <c r="L1937" i="5"/>
  <c r="K1937" i="5"/>
  <c r="J1937" i="5"/>
  <c r="E1937" i="5"/>
  <c r="P1933" i="5"/>
  <c r="Q1933" i="5" s="1"/>
  <c r="R1933" i="5" s="1"/>
  <c r="O1903" i="5"/>
  <c r="N1903" i="5"/>
  <c r="M1903" i="5"/>
  <c r="L1903" i="5"/>
  <c r="K1903" i="5"/>
  <c r="J1903" i="5"/>
  <c r="I1903" i="5"/>
  <c r="H1903" i="5"/>
  <c r="G1903" i="5"/>
  <c r="F1903" i="5"/>
  <c r="E1903" i="5"/>
  <c r="P1892" i="5"/>
  <c r="Q1892" i="5" s="1"/>
  <c r="R1892" i="5" s="1"/>
  <c r="P1888" i="5"/>
  <c r="Q1888" i="5" s="1"/>
  <c r="R1888" i="5" s="1"/>
  <c r="P1887" i="5"/>
  <c r="Q1887" i="5" s="1"/>
  <c r="R1887" i="5" s="1"/>
  <c r="O1886" i="5"/>
  <c r="N1886" i="5"/>
  <c r="M1886" i="5"/>
  <c r="L1886" i="5"/>
  <c r="K1886" i="5"/>
  <c r="J1886" i="5"/>
  <c r="I1886" i="5"/>
  <c r="H1886" i="5"/>
  <c r="G1886" i="5"/>
  <c r="F1886" i="5"/>
  <c r="E1886" i="5"/>
  <c r="P1884" i="5"/>
  <c r="Q1884" i="5" s="1"/>
  <c r="R1884" i="5" s="1"/>
  <c r="P1875" i="5"/>
  <c r="Q1875" i="5" s="1"/>
  <c r="R1875" i="5" s="1"/>
  <c r="O1869" i="5"/>
  <c r="N1869" i="5"/>
  <c r="M1869" i="5"/>
  <c r="L1869" i="5"/>
  <c r="K1869" i="5"/>
  <c r="J1869" i="5"/>
  <c r="I1869" i="5"/>
  <c r="H1869" i="5"/>
  <c r="G1869" i="5"/>
  <c r="F1869" i="5"/>
  <c r="E1869" i="5"/>
  <c r="P1868" i="5"/>
  <c r="Q1868" i="5" s="1"/>
  <c r="R1868" i="5" s="1"/>
  <c r="P1865" i="5"/>
  <c r="Q1865" i="5" s="1"/>
  <c r="R1865" i="5" s="1"/>
  <c r="P1858" i="5"/>
  <c r="Q1858" i="5" s="1"/>
  <c r="R1858" i="5" s="1"/>
  <c r="P1856" i="5"/>
  <c r="Q1856" i="5" s="1"/>
  <c r="R1856" i="5" s="1"/>
  <c r="P1853" i="5"/>
  <c r="Q1853" i="5" s="1"/>
  <c r="R1853" i="5" s="1"/>
  <c r="E1852" i="5"/>
  <c r="P1851" i="5"/>
  <c r="Q1851" i="5" s="1"/>
  <c r="R1851" i="5" s="1"/>
  <c r="P1850" i="5"/>
  <c r="Q1850" i="5" s="1"/>
  <c r="R1850" i="5" s="1"/>
  <c r="P1848" i="5"/>
  <c r="Q1848" i="5" s="1"/>
  <c r="R1848" i="5" s="1"/>
  <c r="P1847" i="5"/>
  <c r="Q1847" i="5" s="1"/>
  <c r="R1847" i="5" s="1"/>
  <c r="P1844" i="5"/>
  <c r="Q1844" i="5" s="1"/>
  <c r="R1844" i="5" s="1"/>
  <c r="P1842" i="5"/>
  <c r="Q1842" i="5" s="1"/>
  <c r="R1842" i="5" s="1"/>
  <c r="P1839" i="5"/>
  <c r="Q1839" i="5" s="1"/>
  <c r="R1839" i="5" s="1"/>
  <c r="N1852" i="5"/>
  <c r="O1835" i="5"/>
  <c r="N1835" i="5"/>
  <c r="M1835" i="5"/>
  <c r="L1835" i="5"/>
  <c r="K1835" i="5"/>
  <c r="J1835" i="5"/>
  <c r="I1835" i="5"/>
  <c r="H1835" i="5"/>
  <c r="G1835" i="5"/>
  <c r="F1835" i="5"/>
  <c r="E1835" i="5"/>
  <c r="P1833" i="5"/>
  <c r="Q1833" i="5" s="1"/>
  <c r="R1833" i="5" s="1"/>
  <c r="P1832" i="5"/>
  <c r="Q1832" i="5" s="1"/>
  <c r="R1832" i="5" s="1"/>
  <c r="P1831" i="5"/>
  <c r="Q1831" i="5" s="1"/>
  <c r="R1831" i="5" s="1"/>
  <c r="P1822" i="5"/>
  <c r="Q1822" i="5" s="1"/>
  <c r="R1822" i="5" s="1"/>
  <c r="O1818" i="5"/>
  <c r="N1818" i="5"/>
  <c r="M1818" i="5"/>
  <c r="L1818" i="5"/>
  <c r="K1818" i="5"/>
  <c r="J1818" i="5"/>
  <c r="I1818" i="5"/>
  <c r="H1818" i="5"/>
  <c r="G1818" i="5"/>
  <c r="F1818" i="5"/>
  <c r="E1818" i="5"/>
  <c r="P1816" i="5"/>
  <c r="Q1816" i="5" s="1"/>
  <c r="R1816" i="5" s="1"/>
  <c r="P1807" i="5"/>
  <c r="Q1807" i="5" s="1"/>
  <c r="R1807" i="5" s="1"/>
  <c r="O1801" i="5"/>
  <c r="N1801" i="5"/>
  <c r="L1801" i="5"/>
  <c r="I1801" i="5"/>
  <c r="H1801" i="5"/>
  <c r="G1801" i="5"/>
  <c r="E1801" i="5"/>
  <c r="P1800" i="5"/>
  <c r="Q1800" i="5" s="1"/>
  <c r="R1800" i="5" s="1"/>
  <c r="P1797" i="5"/>
  <c r="Q1797" i="5" s="1"/>
  <c r="R1797" i="5" s="1"/>
  <c r="M1801" i="5"/>
  <c r="K1801" i="5"/>
  <c r="J1801" i="5"/>
  <c r="P1788" i="5"/>
  <c r="Q1788" i="5" s="1"/>
  <c r="R1788" i="5" s="1"/>
  <c r="P1787" i="5"/>
  <c r="Q1787" i="5" s="1"/>
  <c r="R1787" i="5" s="1"/>
  <c r="E1784" i="5"/>
  <c r="P1780" i="5"/>
  <c r="Q1780" i="5" s="1"/>
  <c r="R1780" i="5" s="1"/>
  <c r="M1784" i="5"/>
  <c r="I1784" i="5"/>
  <c r="P1771" i="5"/>
  <c r="Q1771" i="5" s="1"/>
  <c r="R1771" i="5" s="1"/>
  <c r="G1784" i="5"/>
  <c r="E1750" i="5"/>
  <c r="P1746" i="5"/>
  <c r="Q1746" i="5" s="1"/>
  <c r="R1746" i="5" s="1"/>
  <c r="O1733" i="5"/>
  <c r="N1733" i="5"/>
  <c r="M1733" i="5"/>
  <c r="L1733" i="5"/>
  <c r="K1733" i="5"/>
  <c r="E1733" i="5"/>
  <c r="O1716" i="5"/>
  <c r="N1716" i="5"/>
  <c r="M1716" i="5"/>
  <c r="L1716" i="5"/>
  <c r="K1716" i="5"/>
  <c r="I1716" i="5"/>
  <c r="H1716" i="5"/>
  <c r="G1716" i="5"/>
  <c r="F1716" i="5"/>
  <c r="E1716" i="5"/>
  <c r="P1713" i="5"/>
  <c r="Q1713" i="5" s="1"/>
  <c r="R1713" i="5" s="1"/>
  <c r="E1699" i="5"/>
  <c r="P1696" i="5"/>
  <c r="Q1696" i="5" s="1"/>
  <c r="R1696" i="5" s="1"/>
  <c r="M1682" i="5"/>
  <c r="L1682" i="5"/>
  <c r="K1682" i="5"/>
  <c r="P1679" i="5"/>
  <c r="Q1679" i="5" s="1"/>
  <c r="R1679" i="5" s="1"/>
  <c r="P1673" i="5"/>
  <c r="Q1673" i="5" s="1"/>
  <c r="R1673" i="5" s="1"/>
  <c r="P1672" i="5"/>
  <c r="Q1672" i="5" s="1"/>
  <c r="R1672" i="5" s="1"/>
  <c r="P1666" i="5"/>
  <c r="Q1666" i="5" s="1"/>
  <c r="R1666" i="5" s="1"/>
  <c r="O1665" i="5"/>
  <c r="N1665" i="5"/>
  <c r="M1665" i="5"/>
  <c r="L1665" i="5"/>
  <c r="K1665" i="5"/>
  <c r="J1665" i="5"/>
  <c r="I1665" i="5"/>
  <c r="H1665" i="5"/>
  <c r="E1665" i="5"/>
  <c r="P1662" i="5"/>
  <c r="Q1662" i="5" s="1"/>
  <c r="R1662" i="5" s="1"/>
  <c r="P1661" i="5"/>
  <c r="Q1661" i="5" s="1"/>
  <c r="R1661" i="5" s="1"/>
  <c r="P1657" i="5"/>
  <c r="Q1657" i="5" s="1"/>
  <c r="R1657" i="5" s="1"/>
  <c r="P1656" i="5"/>
  <c r="Q1656" i="5" s="1"/>
  <c r="R1656" i="5" s="1"/>
  <c r="P1655" i="5"/>
  <c r="Q1655" i="5" s="1"/>
  <c r="R1655" i="5" s="1"/>
  <c r="P1654" i="5"/>
  <c r="Q1654" i="5" s="1"/>
  <c r="R1654" i="5" s="1"/>
  <c r="P1653" i="5"/>
  <c r="Q1653" i="5" s="1"/>
  <c r="R1653" i="5" s="1"/>
  <c r="P1652" i="5"/>
  <c r="Q1652" i="5" s="1"/>
  <c r="R1652" i="5" s="1"/>
  <c r="O1646" i="5"/>
  <c r="N1646" i="5"/>
  <c r="M1646" i="5"/>
  <c r="L1646" i="5"/>
  <c r="K1646" i="5"/>
  <c r="J1646" i="5"/>
  <c r="I1646" i="5"/>
  <c r="H1646" i="5"/>
  <c r="G1646" i="5"/>
  <c r="E1646" i="5"/>
  <c r="P1642" i="5"/>
  <c r="Q1642" i="5" s="1"/>
  <c r="R1642" i="5" s="1"/>
  <c r="P1638" i="5"/>
  <c r="Q1638" i="5" s="1"/>
  <c r="R1638" i="5" s="1"/>
  <c r="P1637" i="5"/>
  <c r="Q1637" i="5" s="1"/>
  <c r="R1637" i="5" s="1"/>
  <c r="P1636" i="5"/>
  <c r="Q1636" i="5" s="1"/>
  <c r="R1636" i="5" s="1"/>
  <c r="P1635" i="5"/>
  <c r="Q1635" i="5" s="1"/>
  <c r="R1635" i="5" s="1"/>
  <c r="O1629" i="5"/>
  <c r="N1629" i="5"/>
  <c r="M1629" i="5"/>
  <c r="L1629" i="5"/>
  <c r="K1629" i="5"/>
  <c r="J1629" i="5"/>
  <c r="I1629" i="5"/>
  <c r="H1629" i="5"/>
  <c r="G1629" i="5"/>
  <c r="F1629" i="5"/>
  <c r="E1629" i="5"/>
  <c r="P1627" i="5"/>
  <c r="Q1627" i="5" s="1"/>
  <c r="R1627" i="5" s="1"/>
  <c r="P1625" i="5"/>
  <c r="Q1625" i="5" s="1"/>
  <c r="R1625" i="5" s="1"/>
  <c r="P1608" i="5"/>
  <c r="Q1608" i="5" s="1"/>
  <c r="R1608" i="5" s="1"/>
  <c r="P1602" i="5"/>
  <c r="Q1602" i="5" s="1"/>
  <c r="R1602" i="5" s="1"/>
  <c r="P1601" i="5"/>
  <c r="Q1601" i="5" s="1"/>
  <c r="R1601" i="5" s="1"/>
  <c r="P1597" i="5"/>
  <c r="Q1597" i="5" s="1"/>
  <c r="R1597" i="5" s="1"/>
  <c r="O1595" i="5"/>
  <c r="N1595" i="5"/>
  <c r="M1595" i="5"/>
  <c r="L1595" i="5"/>
  <c r="K1595" i="5"/>
  <c r="J1595" i="5"/>
  <c r="I1595" i="5"/>
  <c r="H1595" i="5"/>
  <c r="G1595" i="5"/>
  <c r="F1595" i="5"/>
  <c r="E1595" i="5"/>
  <c r="P1591" i="5"/>
  <c r="Q1591" i="5" s="1"/>
  <c r="R1591" i="5" s="1"/>
  <c r="P1586" i="5"/>
  <c r="Q1586" i="5" s="1"/>
  <c r="R1586" i="5" s="1"/>
  <c r="P1585" i="5"/>
  <c r="Q1585" i="5" s="1"/>
  <c r="R1585" i="5" s="1"/>
  <c r="P1584" i="5"/>
  <c r="Q1584" i="5" s="1"/>
  <c r="R1584" i="5" s="1"/>
  <c r="O1578" i="5"/>
  <c r="N1578" i="5"/>
  <c r="M1578" i="5"/>
  <c r="L1578" i="5"/>
  <c r="K1578" i="5"/>
  <c r="J1578" i="5"/>
  <c r="I1578" i="5"/>
  <c r="H1578" i="5"/>
  <c r="G1578" i="5"/>
  <c r="F1578" i="5"/>
  <c r="E1578" i="5"/>
  <c r="P1577" i="5"/>
  <c r="Q1577" i="5" s="1"/>
  <c r="R1577" i="5" s="1"/>
  <c r="P1576" i="5"/>
  <c r="Q1576" i="5" s="1"/>
  <c r="R1576" i="5" s="1"/>
  <c r="P1567" i="5"/>
  <c r="Q1567" i="5" s="1"/>
  <c r="R1567" i="5" s="1"/>
  <c r="P1562" i="5"/>
  <c r="Q1562" i="5" s="1"/>
  <c r="R1562" i="5" s="1"/>
  <c r="O1561" i="5"/>
  <c r="N1561" i="5"/>
  <c r="M1561" i="5"/>
  <c r="L1561" i="5"/>
  <c r="K1561" i="5"/>
  <c r="J1561" i="5"/>
  <c r="I1561" i="5"/>
  <c r="H1561" i="5"/>
  <c r="G1561" i="5"/>
  <c r="F1561" i="5"/>
  <c r="E1561" i="5"/>
  <c r="P1557" i="5"/>
  <c r="Q1557" i="5" s="1"/>
  <c r="R1557" i="5" s="1"/>
  <c r="P1550" i="5"/>
  <c r="Q1550" i="5" s="1"/>
  <c r="R1550" i="5" s="1"/>
  <c r="E1544" i="5"/>
  <c r="P1540" i="5"/>
  <c r="Q1540" i="5" s="1"/>
  <c r="R1540" i="5" s="1"/>
  <c r="E1527" i="5"/>
  <c r="P1524" i="5"/>
  <c r="Q1524" i="5" s="1"/>
  <c r="R1524" i="5" s="1"/>
  <c r="P1523" i="5"/>
  <c r="Q1523" i="5" s="1"/>
  <c r="R1523" i="5" s="1"/>
  <c r="O1510" i="5"/>
  <c r="N1510" i="5"/>
  <c r="M1510" i="5"/>
  <c r="L1510" i="5"/>
  <c r="K1510" i="5"/>
  <c r="J1510" i="5"/>
  <c r="I1510" i="5"/>
  <c r="H1510" i="5"/>
  <c r="G1510" i="5"/>
  <c r="F1510" i="5"/>
  <c r="E1510" i="5"/>
  <c r="P1509" i="5"/>
  <c r="Q1509" i="5" s="1"/>
  <c r="R1509" i="5" s="1"/>
  <c r="P1508" i="5"/>
  <c r="Q1508" i="5" s="1"/>
  <c r="R1508" i="5" s="1"/>
  <c r="P1507" i="5"/>
  <c r="Q1507" i="5" s="1"/>
  <c r="R1507" i="5" s="1"/>
  <c r="P1506" i="5"/>
  <c r="Q1506" i="5" s="1"/>
  <c r="R1506" i="5" s="1"/>
  <c r="P1500" i="5"/>
  <c r="Q1500" i="5" s="1"/>
  <c r="R1500" i="5" s="1"/>
  <c r="P1499" i="5"/>
  <c r="Q1499" i="5" s="1"/>
  <c r="R1499" i="5" s="1"/>
  <c r="O1493" i="5"/>
  <c r="N1493" i="5"/>
  <c r="M1493" i="5"/>
  <c r="L1493" i="5"/>
  <c r="K1493" i="5"/>
  <c r="J1493" i="5"/>
  <c r="I1493" i="5"/>
  <c r="H1493" i="5"/>
  <c r="G1493" i="5"/>
  <c r="F1493" i="5"/>
  <c r="E1493" i="5"/>
  <c r="P1492" i="5"/>
  <c r="Q1492" i="5" s="1"/>
  <c r="R1492" i="5" s="1"/>
  <c r="P1491" i="5"/>
  <c r="Q1491" i="5" s="1"/>
  <c r="R1491" i="5" s="1"/>
  <c r="P1485" i="5"/>
  <c r="Q1485" i="5" s="1"/>
  <c r="R1485" i="5" s="1"/>
  <c r="P1484" i="5"/>
  <c r="Q1484" i="5" s="1"/>
  <c r="R1484" i="5" s="1"/>
  <c r="P1483" i="5"/>
  <c r="Q1483" i="5" s="1"/>
  <c r="R1483" i="5" s="1"/>
  <c r="P1482" i="5"/>
  <c r="Q1482" i="5" s="1"/>
  <c r="R1482" i="5" s="1"/>
  <c r="O1476" i="5"/>
  <c r="N1476" i="5"/>
  <c r="M1476" i="5"/>
  <c r="L1476" i="5"/>
  <c r="K1476" i="5"/>
  <c r="J1476" i="5"/>
  <c r="I1476" i="5"/>
  <c r="H1476" i="5"/>
  <c r="G1476" i="5"/>
  <c r="F1476" i="5"/>
  <c r="E1476" i="5"/>
  <c r="P1474" i="5"/>
  <c r="Q1474" i="5" s="1"/>
  <c r="R1474" i="5" s="1"/>
  <c r="O1459" i="5"/>
  <c r="N1459" i="5"/>
  <c r="M1459" i="5"/>
  <c r="L1459" i="5"/>
  <c r="K1459" i="5"/>
  <c r="J1459" i="5"/>
  <c r="I1459" i="5"/>
  <c r="H1459" i="5"/>
  <c r="G1459" i="5"/>
  <c r="F1459" i="5"/>
  <c r="E1459" i="5"/>
  <c r="P1458" i="5"/>
  <c r="Q1458" i="5" s="1"/>
  <c r="R1458" i="5" s="1"/>
  <c r="P1455" i="5"/>
  <c r="Q1455" i="5" s="1"/>
  <c r="R1455" i="5" s="1"/>
  <c r="P1444" i="5"/>
  <c r="Q1444" i="5" s="1"/>
  <c r="R1444" i="5" s="1"/>
  <c r="O1442" i="5"/>
  <c r="N1442" i="5"/>
  <c r="M1442" i="5"/>
  <c r="L1442" i="5"/>
  <c r="K1442" i="5"/>
  <c r="J1442" i="5"/>
  <c r="I1442" i="5"/>
  <c r="H1442" i="5"/>
  <c r="G1442" i="5"/>
  <c r="F1442" i="5"/>
  <c r="E1442" i="5"/>
  <c r="P1441" i="5"/>
  <c r="Q1441" i="5" s="1"/>
  <c r="R1441" i="5" s="1"/>
  <c r="P1438" i="5"/>
  <c r="Q1438" i="5" s="1"/>
  <c r="R1438" i="5" s="1"/>
  <c r="P1431" i="5"/>
  <c r="Q1431" i="5" s="1"/>
  <c r="R1431" i="5" s="1"/>
  <c r="P1427" i="5"/>
  <c r="Q1427" i="5" s="1"/>
  <c r="R1427" i="5" s="1"/>
  <c r="O1425" i="5"/>
  <c r="N1425" i="5"/>
  <c r="M1425" i="5"/>
  <c r="L1425" i="5"/>
  <c r="K1425" i="5"/>
  <c r="J1425" i="5"/>
  <c r="I1425" i="5"/>
  <c r="H1425" i="5"/>
  <c r="G1425" i="5"/>
  <c r="F1425" i="5"/>
  <c r="E1425" i="5"/>
  <c r="P1421" i="5"/>
  <c r="Q1421" i="5" s="1"/>
  <c r="R1421" i="5" s="1"/>
  <c r="P1414" i="5"/>
  <c r="Q1414" i="5" s="1"/>
  <c r="R1414" i="5" s="1"/>
  <c r="P1409" i="5"/>
  <c r="Q1409" i="5" s="1"/>
  <c r="R1409" i="5" s="1"/>
  <c r="O1374" i="5"/>
  <c r="N1374" i="5"/>
  <c r="M1374" i="5"/>
  <c r="L1374" i="5"/>
  <c r="K1374" i="5"/>
  <c r="J1374" i="5"/>
  <c r="I1374" i="5"/>
  <c r="H1374" i="5"/>
  <c r="G1374" i="5"/>
  <c r="F1374" i="5"/>
  <c r="E1374" i="5"/>
  <c r="P1373" i="5"/>
  <c r="Q1373" i="5" s="1"/>
  <c r="R1373" i="5" s="1"/>
  <c r="P1372" i="5"/>
  <c r="Q1372" i="5" s="1"/>
  <c r="R1372" i="5" s="1"/>
  <c r="P1370" i="5"/>
  <c r="Q1370" i="5" s="1"/>
  <c r="R1370" i="5" s="1"/>
  <c r="P1363" i="5"/>
  <c r="Q1363" i="5" s="1"/>
  <c r="R1363" i="5" s="1"/>
  <c r="P1361" i="5"/>
  <c r="Q1361" i="5" s="1"/>
  <c r="R1361" i="5" s="1"/>
  <c r="P1358" i="5"/>
  <c r="Q1358" i="5" s="1"/>
  <c r="R1358" i="5" s="1"/>
  <c r="O1357" i="5"/>
  <c r="N1357" i="5"/>
  <c r="M1357" i="5"/>
  <c r="L1357" i="5"/>
  <c r="K1357" i="5"/>
  <c r="J1357" i="5"/>
  <c r="I1357" i="5"/>
  <c r="H1357" i="5"/>
  <c r="G1357" i="5"/>
  <c r="F1357" i="5"/>
  <c r="E1357" i="5"/>
  <c r="P1353" i="5"/>
  <c r="Q1353" i="5" s="1"/>
  <c r="R1353" i="5" s="1"/>
  <c r="P1347" i="5"/>
  <c r="Q1347" i="5" s="1"/>
  <c r="R1347" i="5" s="1"/>
  <c r="P1344" i="5"/>
  <c r="Q1344" i="5" s="1"/>
  <c r="R1344" i="5" s="1"/>
  <c r="P1343" i="5"/>
  <c r="Q1343" i="5" s="1"/>
  <c r="R1343" i="5" s="1"/>
  <c r="E1340" i="5"/>
  <c r="P1330" i="5"/>
  <c r="Q1330" i="5" s="1"/>
  <c r="R1330" i="5" s="1"/>
  <c r="P1329" i="5"/>
  <c r="Q1329" i="5" s="1"/>
  <c r="R1329" i="5" s="1"/>
  <c r="P1327" i="5"/>
  <c r="Q1327" i="5" s="1"/>
  <c r="R1327" i="5" s="1"/>
  <c r="P1325" i="5"/>
  <c r="Q1325" i="5" s="1"/>
  <c r="R1325" i="5" s="1"/>
  <c r="E1323" i="5"/>
  <c r="P1308" i="5"/>
  <c r="Q1308" i="5" s="1"/>
  <c r="R1308" i="5" s="1"/>
  <c r="O1306" i="5"/>
  <c r="N1306" i="5"/>
  <c r="M1306" i="5"/>
  <c r="L1306" i="5"/>
  <c r="K1306" i="5"/>
  <c r="J1306" i="5"/>
  <c r="I1306" i="5"/>
  <c r="H1306" i="5"/>
  <c r="G1306" i="5"/>
  <c r="F1306" i="5"/>
  <c r="E1306" i="5"/>
  <c r="P1292" i="5"/>
  <c r="Q1292" i="5" s="1"/>
  <c r="R1292" i="5" s="1"/>
  <c r="P1291" i="5"/>
  <c r="Q1291" i="5" s="1"/>
  <c r="R1291" i="5" s="1"/>
  <c r="O1289" i="5"/>
  <c r="N1289" i="5"/>
  <c r="M1289" i="5"/>
  <c r="L1289" i="5"/>
  <c r="K1289" i="5"/>
  <c r="J1289" i="5"/>
  <c r="I1289" i="5"/>
  <c r="H1289" i="5"/>
  <c r="G1289" i="5"/>
  <c r="E1289" i="5"/>
  <c r="P1279" i="5"/>
  <c r="Q1279" i="5" s="1"/>
  <c r="R1279" i="5" s="1"/>
  <c r="P1274" i="5"/>
  <c r="Q1274" i="5" s="1"/>
  <c r="R1274" i="5" s="1"/>
  <c r="O1272" i="5"/>
  <c r="N1272" i="5"/>
  <c r="K1272" i="5"/>
  <c r="J1272" i="5"/>
  <c r="I1272" i="5"/>
  <c r="H1272" i="5"/>
  <c r="G1272" i="5"/>
  <c r="F1272" i="5"/>
  <c r="P1271" i="5"/>
  <c r="Q1271" i="5" s="1"/>
  <c r="R1271" i="5" s="1"/>
  <c r="P1270" i="5"/>
  <c r="Q1270" i="5" s="1"/>
  <c r="R1270" i="5" s="1"/>
  <c r="P1269" i="5"/>
  <c r="Q1269" i="5" s="1"/>
  <c r="R1269" i="5" s="1"/>
  <c r="P1267" i="5"/>
  <c r="Q1267" i="5" s="1"/>
  <c r="R1267" i="5" s="1"/>
  <c r="P1260" i="5"/>
  <c r="Q1260" i="5" s="1"/>
  <c r="R1260" i="5" s="1"/>
  <c r="J1254" i="5"/>
  <c r="I1254" i="5"/>
  <c r="H1254" i="5"/>
  <c r="G1254" i="5"/>
  <c r="F1254" i="5"/>
  <c r="E1254" i="5"/>
  <c r="O1254" i="5"/>
  <c r="N1254" i="5"/>
  <c r="M1254" i="5"/>
  <c r="L1254" i="5"/>
  <c r="O1237" i="5"/>
  <c r="E1237" i="5"/>
  <c r="P1233" i="5"/>
  <c r="Q1233" i="5" s="1"/>
  <c r="R1233" i="5" s="1"/>
  <c r="P1226" i="5"/>
  <c r="Q1226" i="5" s="1"/>
  <c r="R1226" i="5" s="1"/>
  <c r="G1237" i="5"/>
  <c r="M1220" i="5"/>
  <c r="I1220" i="5"/>
  <c r="E1220" i="5"/>
  <c r="P1210" i="5"/>
  <c r="Q1210" i="5" s="1"/>
  <c r="R1210" i="5" s="1"/>
  <c r="O1203" i="5"/>
  <c r="N1203" i="5"/>
  <c r="M1203" i="5"/>
  <c r="L1203" i="5"/>
  <c r="K1203" i="5"/>
  <c r="J1203" i="5"/>
  <c r="I1203" i="5"/>
  <c r="H1203" i="5"/>
  <c r="G1203" i="5"/>
  <c r="F1203" i="5"/>
  <c r="E1203" i="5"/>
  <c r="P1200" i="5"/>
  <c r="Q1200" i="5" s="1"/>
  <c r="R1200" i="5" s="1"/>
  <c r="P1199" i="5"/>
  <c r="Q1199" i="5" s="1"/>
  <c r="R1199" i="5" s="1"/>
  <c r="P1190" i="5"/>
  <c r="Q1190" i="5" s="1"/>
  <c r="R1190" i="5" s="1"/>
  <c r="J1186" i="5"/>
  <c r="I1186" i="5"/>
  <c r="H1186" i="5"/>
  <c r="E1186" i="5"/>
  <c r="P1182" i="5"/>
  <c r="Q1182" i="5" s="1"/>
  <c r="R1182" i="5" s="1"/>
  <c r="P1178" i="5"/>
  <c r="Q1178" i="5" s="1"/>
  <c r="R1178" i="5" s="1"/>
  <c r="P1177" i="5"/>
  <c r="Q1177" i="5" s="1"/>
  <c r="R1177" i="5" s="1"/>
  <c r="P1176" i="5"/>
  <c r="Q1176" i="5" s="1"/>
  <c r="R1176" i="5" s="1"/>
  <c r="P1175" i="5"/>
  <c r="Q1175" i="5" s="1"/>
  <c r="R1175" i="5" s="1"/>
  <c r="P1173" i="5"/>
  <c r="Q1173" i="5" s="1"/>
  <c r="R1173" i="5" s="1"/>
  <c r="P1172" i="5"/>
  <c r="Q1172" i="5" s="1"/>
  <c r="R1172" i="5" s="1"/>
  <c r="O1186" i="5"/>
  <c r="E1169" i="5"/>
  <c r="P1168" i="5"/>
  <c r="Q1168" i="5" s="1"/>
  <c r="R1168" i="5" s="1"/>
  <c r="P1166" i="5"/>
  <c r="Q1166" i="5" s="1"/>
  <c r="R1166" i="5" s="1"/>
  <c r="P1165" i="5"/>
  <c r="Q1165" i="5" s="1"/>
  <c r="R1165" i="5" s="1"/>
  <c r="P1164" i="5"/>
  <c r="Q1164" i="5" s="1"/>
  <c r="R1164" i="5" s="1"/>
  <c r="P1163" i="5"/>
  <c r="Q1163" i="5" s="1"/>
  <c r="R1163" i="5" s="1"/>
  <c r="P1162" i="5"/>
  <c r="Q1162" i="5" s="1"/>
  <c r="R1162" i="5" s="1"/>
  <c r="P1161" i="5"/>
  <c r="Q1161" i="5" s="1"/>
  <c r="R1161" i="5" s="1"/>
  <c r="P1160" i="5"/>
  <c r="Q1160" i="5" s="1"/>
  <c r="R1160" i="5" s="1"/>
  <c r="P1159" i="5"/>
  <c r="Q1159" i="5" s="1"/>
  <c r="R1159" i="5" s="1"/>
  <c r="P1158" i="5"/>
  <c r="Q1158" i="5" s="1"/>
  <c r="R1158" i="5" s="1"/>
  <c r="J1152" i="5"/>
  <c r="I1152" i="5"/>
  <c r="H1152" i="5"/>
  <c r="F1152" i="5"/>
  <c r="P1148" i="5"/>
  <c r="Q1148" i="5" s="1"/>
  <c r="R1148" i="5" s="1"/>
  <c r="P1142" i="5"/>
  <c r="Q1142" i="5" s="1"/>
  <c r="R1142" i="5" s="1"/>
  <c r="E1139" i="5"/>
  <c r="M1135" i="5"/>
  <c r="J1135" i="5"/>
  <c r="F1135" i="5"/>
  <c r="P1132" i="5"/>
  <c r="Q1132" i="5" s="1"/>
  <c r="R1132" i="5" s="1"/>
  <c r="P1131" i="5"/>
  <c r="Q1131" i="5" s="1"/>
  <c r="R1131" i="5" s="1"/>
  <c r="P1126" i="5"/>
  <c r="Q1126" i="5" s="1"/>
  <c r="R1126" i="5" s="1"/>
  <c r="P1124" i="5"/>
  <c r="Q1124" i="5" s="1"/>
  <c r="R1124" i="5" s="1"/>
  <c r="E1120" i="5"/>
  <c r="C30" i="6" s="1"/>
  <c r="K1118" i="5"/>
  <c r="J1118" i="5"/>
  <c r="I1118" i="5"/>
  <c r="H1118" i="5"/>
  <c r="G1118" i="5"/>
  <c r="F1118" i="5"/>
  <c r="E1118" i="5"/>
  <c r="P1108" i="5"/>
  <c r="Q1108" i="5" s="1"/>
  <c r="R1108" i="5" s="1"/>
  <c r="O1101" i="5"/>
  <c r="N1101" i="5"/>
  <c r="M1101" i="5"/>
  <c r="L1101" i="5"/>
  <c r="J1101" i="5"/>
  <c r="I1101" i="5"/>
  <c r="H1101" i="5"/>
  <c r="E1101" i="5"/>
  <c r="P1087" i="5"/>
  <c r="Q1087" i="5" s="1"/>
  <c r="R1087" i="5" s="1"/>
  <c r="J1084" i="5"/>
  <c r="H1084" i="5"/>
  <c r="E1084" i="5"/>
  <c r="P1081" i="5"/>
  <c r="Q1081" i="5" s="1"/>
  <c r="R1081" i="5" s="1"/>
  <c r="O1067" i="5"/>
  <c r="N1067" i="5"/>
  <c r="M1067" i="5"/>
  <c r="L1067" i="5"/>
  <c r="K1067" i="5"/>
  <c r="J1067" i="5"/>
  <c r="I1067" i="5"/>
  <c r="H1067" i="5"/>
  <c r="G1067" i="5"/>
  <c r="F1067" i="5"/>
  <c r="E1067" i="5"/>
  <c r="P1053" i="5"/>
  <c r="Q1053" i="5" s="1"/>
  <c r="R1053" i="5" s="1"/>
  <c r="J1050" i="5"/>
  <c r="E1050" i="5"/>
  <c r="P1047" i="5"/>
  <c r="Q1047" i="5" s="1"/>
  <c r="R1047" i="5" s="1"/>
  <c r="O1050" i="5"/>
  <c r="N1050" i="5"/>
  <c r="M1050" i="5"/>
  <c r="L1050" i="5"/>
  <c r="K1050" i="5"/>
  <c r="I1050" i="5"/>
  <c r="H1050" i="5"/>
  <c r="G1050" i="5"/>
  <c r="O1033" i="5"/>
  <c r="N1033" i="5"/>
  <c r="M1033" i="5"/>
  <c r="L1033" i="5"/>
  <c r="K1033" i="5"/>
  <c r="J1033" i="5"/>
  <c r="I1033" i="5"/>
  <c r="H1033" i="5"/>
  <c r="G1033" i="5"/>
  <c r="F1033" i="5"/>
  <c r="E1033" i="5"/>
  <c r="P1030" i="5"/>
  <c r="Q1030" i="5" s="1"/>
  <c r="R1030" i="5" s="1"/>
  <c r="P1014" i="5"/>
  <c r="Q1014" i="5" s="1"/>
  <c r="R1014" i="5" s="1"/>
  <c r="P1012" i="5"/>
  <c r="Q1012" i="5" s="1"/>
  <c r="R1012" i="5" s="1"/>
  <c r="P1007" i="5"/>
  <c r="Q1007" i="5" s="1"/>
  <c r="R1007" i="5" s="1"/>
  <c r="P1005" i="5"/>
  <c r="Q1005" i="5" s="1"/>
  <c r="R1005" i="5" s="1"/>
  <c r="P1004" i="5"/>
  <c r="Q1004" i="5" s="1"/>
  <c r="R1004" i="5" s="1"/>
  <c r="P1000" i="5"/>
  <c r="Q1000" i="5" s="1"/>
  <c r="R1000" i="5" s="1"/>
  <c r="O998" i="5"/>
  <c r="N998" i="5"/>
  <c r="M998" i="5"/>
  <c r="L998" i="5"/>
  <c r="K998" i="5"/>
  <c r="J998" i="5"/>
  <c r="I998" i="5"/>
  <c r="H998" i="5"/>
  <c r="G998" i="5"/>
  <c r="F998" i="5"/>
  <c r="E998" i="5"/>
  <c r="P996" i="5"/>
  <c r="Q996" i="5" s="1"/>
  <c r="R996" i="5" s="1"/>
  <c r="P995" i="5"/>
  <c r="Q995" i="5" s="1"/>
  <c r="R995" i="5" s="1"/>
  <c r="P994" i="5"/>
  <c r="Q994" i="5" s="1"/>
  <c r="R994" i="5" s="1"/>
  <c r="F981" i="5"/>
  <c r="E981" i="5"/>
  <c r="P978" i="5"/>
  <c r="Q978" i="5" s="1"/>
  <c r="R978" i="5" s="1"/>
  <c r="P977" i="5"/>
  <c r="Q977" i="5" s="1"/>
  <c r="R977" i="5" s="1"/>
  <c r="N947" i="5"/>
  <c r="M947" i="5"/>
  <c r="E947" i="5"/>
  <c r="P938" i="5"/>
  <c r="Q938" i="5" s="1"/>
  <c r="R938" i="5" s="1"/>
  <c r="P936" i="5"/>
  <c r="Q936" i="5" s="1"/>
  <c r="R936" i="5" s="1"/>
  <c r="J930" i="5"/>
  <c r="I930" i="5"/>
  <c r="H930" i="5"/>
  <c r="G930" i="5"/>
  <c r="E930" i="5"/>
  <c r="P926" i="5"/>
  <c r="Q926" i="5" s="1"/>
  <c r="R926" i="5" s="1"/>
  <c r="P919" i="5"/>
  <c r="Q919" i="5" s="1"/>
  <c r="R919" i="5" s="1"/>
  <c r="P914" i="5"/>
  <c r="Q914" i="5" s="1"/>
  <c r="R914" i="5" s="1"/>
  <c r="O913" i="5"/>
  <c r="L913" i="5"/>
  <c r="J913" i="5"/>
  <c r="I913" i="5"/>
  <c r="H913" i="5"/>
  <c r="G913" i="5"/>
  <c r="F913" i="5"/>
  <c r="E913" i="5"/>
  <c r="P909" i="5"/>
  <c r="Q909" i="5" s="1"/>
  <c r="R909" i="5" s="1"/>
  <c r="O896" i="5"/>
  <c r="K896" i="5"/>
  <c r="E896" i="5"/>
  <c r="P892" i="5"/>
  <c r="Q892" i="5" s="1"/>
  <c r="R892" i="5" s="1"/>
  <c r="P886" i="5"/>
  <c r="Q886" i="5" s="1"/>
  <c r="R886" i="5" s="1"/>
  <c r="N896" i="5"/>
  <c r="M896" i="5"/>
  <c r="L896" i="5"/>
  <c r="J896" i="5"/>
  <c r="I896" i="5"/>
  <c r="H896" i="5"/>
  <c r="G896" i="5"/>
  <c r="O879" i="5"/>
  <c r="N879" i="5"/>
  <c r="M879" i="5"/>
  <c r="L879" i="5"/>
  <c r="K879" i="5"/>
  <c r="J879" i="5"/>
  <c r="I879" i="5"/>
  <c r="H879" i="5"/>
  <c r="G879" i="5"/>
  <c r="F879" i="5"/>
  <c r="E879" i="5"/>
  <c r="P864" i="5"/>
  <c r="Q864" i="5" s="1"/>
  <c r="R864" i="5" s="1"/>
  <c r="E862" i="5"/>
  <c r="P853" i="5"/>
  <c r="Q853" i="5" s="1"/>
  <c r="R853" i="5" s="1"/>
  <c r="O862" i="5"/>
  <c r="N862" i="5"/>
  <c r="M862" i="5"/>
  <c r="L862" i="5"/>
  <c r="K862" i="5"/>
  <c r="G845" i="5"/>
  <c r="E845" i="5"/>
  <c r="P841" i="5"/>
  <c r="Q841" i="5" s="1"/>
  <c r="R841" i="5" s="1"/>
  <c r="M23" i="6"/>
  <c r="M105" i="4" s="1"/>
  <c r="L23" i="6"/>
  <c r="P838" i="5"/>
  <c r="Q838" i="5" s="1"/>
  <c r="R838" i="5" s="1"/>
  <c r="P836" i="5"/>
  <c r="Q836" i="5" s="1"/>
  <c r="R836" i="5" s="1"/>
  <c r="P835" i="5"/>
  <c r="Q835" i="5" s="1"/>
  <c r="R835" i="5" s="1"/>
  <c r="P834" i="5"/>
  <c r="Q834" i="5" s="1"/>
  <c r="R834" i="5" s="1"/>
  <c r="J828" i="5"/>
  <c r="H828" i="5"/>
  <c r="E828" i="5"/>
  <c r="P825" i="5"/>
  <c r="Q825" i="5" s="1"/>
  <c r="R825" i="5" s="1"/>
  <c r="P823" i="5"/>
  <c r="Q823" i="5" s="1"/>
  <c r="R823" i="5" s="1"/>
  <c r="E810" i="5"/>
  <c r="P809" i="5"/>
  <c r="Q809" i="5" s="1"/>
  <c r="R809" i="5" s="1"/>
  <c r="P806" i="5"/>
  <c r="Q806" i="5" s="1"/>
  <c r="R806" i="5" s="1"/>
  <c r="O793" i="5"/>
  <c r="N793" i="5"/>
  <c r="M793" i="5"/>
  <c r="L793" i="5"/>
  <c r="E793" i="5"/>
  <c r="P792" i="5"/>
  <c r="Q792" i="5" s="1"/>
  <c r="R792" i="5" s="1"/>
  <c r="P789" i="5"/>
  <c r="Q789" i="5" s="1"/>
  <c r="R789" i="5" s="1"/>
  <c r="P782" i="5"/>
  <c r="Q782" i="5" s="1"/>
  <c r="R782" i="5" s="1"/>
  <c r="K793" i="5"/>
  <c r="J793" i="5"/>
  <c r="I793" i="5"/>
  <c r="H793" i="5"/>
  <c r="G793" i="5"/>
  <c r="E776" i="5"/>
  <c r="P775" i="5"/>
  <c r="Q775" i="5" s="1"/>
  <c r="R775" i="5" s="1"/>
  <c r="P774" i="5"/>
  <c r="Q774" i="5" s="1"/>
  <c r="R774" i="5" s="1"/>
  <c r="P772" i="5"/>
  <c r="Q772" i="5" s="1"/>
  <c r="R772" i="5" s="1"/>
  <c r="P767" i="5"/>
  <c r="Q767" i="5" s="1"/>
  <c r="R767" i="5" s="1"/>
  <c r="P766" i="5"/>
  <c r="Q766" i="5" s="1"/>
  <c r="R766" i="5" s="1"/>
  <c r="P765" i="5"/>
  <c r="Q765" i="5" s="1"/>
  <c r="R765" i="5" s="1"/>
  <c r="O776" i="5"/>
  <c r="N776" i="5"/>
  <c r="M776" i="5"/>
  <c r="L776" i="5"/>
  <c r="O759" i="5"/>
  <c r="N759" i="5"/>
  <c r="M759" i="5"/>
  <c r="L759" i="5"/>
  <c r="K759" i="5"/>
  <c r="J759" i="5"/>
  <c r="I759" i="5"/>
  <c r="H759" i="5"/>
  <c r="G759" i="5"/>
  <c r="F759" i="5"/>
  <c r="E759" i="5"/>
  <c r="P758" i="5"/>
  <c r="Q758" i="5" s="1"/>
  <c r="R758" i="5" s="1"/>
  <c r="P756" i="5"/>
  <c r="Q756" i="5" s="1"/>
  <c r="R756" i="5" s="1"/>
  <c r="P755" i="5"/>
  <c r="Q755" i="5" s="1"/>
  <c r="R755" i="5" s="1"/>
  <c r="P748" i="5"/>
  <c r="Q748" i="5" s="1"/>
  <c r="R748" i="5" s="1"/>
  <c r="J742" i="5"/>
  <c r="G742" i="5"/>
  <c r="F742" i="5"/>
  <c r="E742" i="5"/>
  <c r="P741" i="5"/>
  <c r="Q741" i="5" s="1"/>
  <c r="R741" i="5" s="1"/>
  <c r="P740" i="5"/>
  <c r="Q740" i="5" s="1"/>
  <c r="R740" i="5" s="1"/>
  <c r="P738" i="5"/>
  <c r="Q738" i="5" s="1"/>
  <c r="R738" i="5" s="1"/>
  <c r="O742" i="5"/>
  <c r="N742" i="5"/>
  <c r="L742" i="5"/>
  <c r="J725" i="5"/>
  <c r="E725" i="5"/>
  <c r="P724" i="5"/>
  <c r="Q724" i="5" s="1"/>
  <c r="R724" i="5" s="1"/>
  <c r="P723" i="5"/>
  <c r="Q723" i="5" s="1"/>
  <c r="R723" i="5" s="1"/>
  <c r="P721" i="5"/>
  <c r="Q721" i="5" s="1"/>
  <c r="R721" i="5" s="1"/>
  <c r="P715" i="5"/>
  <c r="Q715" i="5" s="1"/>
  <c r="R715" i="5" s="1"/>
  <c r="P714" i="5"/>
  <c r="Q714" i="5" s="1"/>
  <c r="R714" i="5" s="1"/>
  <c r="M725" i="5"/>
  <c r="L725" i="5"/>
  <c r="N708" i="5"/>
  <c r="M708" i="5"/>
  <c r="L708" i="5"/>
  <c r="J708" i="5"/>
  <c r="I708" i="5"/>
  <c r="F708" i="5"/>
  <c r="E708" i="5"/>
  <c r="P704" i="5"/>
  <c r="Q704" i="5" s="1"/>
  <c r="R704" i="5" s="1"/>
  <c r="P695" i="5"/>
  <c r="Q695" i="5" s="1"/>
  <c r="R695" i="5" s="1"/>
  <c r="P693" i="5"/>
  <c r="Q693" i="5" s="1"/>
  <c r="R693" i="5" s="1"/>
  <c r="O708" i="5"/>
  <c r="K640" i="5"/>
  <c r="P636" i="5"/>
  <c r="Q636" i="5" s="1"/>
  <c r="R636" i="5" s="1"/>
  <c r="P631" i="5"/>
  <c r="Q631" i="5" s="1"/>
  <c r="R631" i="5" s="1"/>
  <c r="P630" i="5"/>
  <c r="Q630" i="5" s="1"/>
  <c r="R630" i="5" s="1"/>
  <c r="P626" i="5"/>
  <c r="Q626" i="5" s="1"/>
  <c r="R626" i="5" s="1"/>
  <c r="P623" i="5"/>
  <c r="Q623" i="5" s="1"/>
  <c r="R623" i="5" s="1"/>
  <c r="O622" i="5"/>
  <c r="N622" i="5"/>
  <c r="M622" i="5"/>
  <c r="L622" i="5"/>
  <c r="K622" i="5"/>
  <c r="J622" i="5"/>
  <c r="I622" i="5"/>
  <c r="H622" i="5"/>
  <c r="G622" i="5"/>
  <c r="F622" i="5"/>
  <c r="E622" i="5"/>
  <c r="P620" i="5"/>
  <c r="Q620" i="5" s="1"/>
  <c r="R620" i="5" s="1"/>
  <c r="O605" i="5"/>
  <c r="N605" i="5"/>
  <c r="M605" i="5"/>
  <c r="L605" i="5"/>
  <c r="K605" i="5"/>
  <c r="J605" i="5"/>
  <c r="I605" i="5"/>
  <c r="H605" i="5"/>
  <c r="G605" i="5"/>
  <c r="F605" i="5"/>
  <c r="E605" i="5"/>
  <c r="P595" i="5"/>
  <c r="Q595" i="5" s="1"/>
  <c r="R595" i="5" s="1"/>
  <c r="O588" i="5"/>
  <c r="N588" i="5"/>
  <c r="M588" i="5"/>
  <c r="L588" i="5"/>
  <c r="K588" i="5"/>
  <c r="J588" i="5"/>
  <c r="I588" i="5"/>
  <c r="H588" i="5"/>
  <c r="G588" i="5"/>
  <c r="F588" i="5"/>
  <c r="E588" i="5"/>
  <c r="P577" i="5"/>
  <c r="Q577" i="5" s="1"/>
  <c r="R577" i="5" s="1"/>
  <c r="O571" i="5"/>
  <c r="N571" i="5"/>
  <c r="M571" i="5"/>
  <c r="L571" i="5"/>
  <c r="K571" i="5"/>
  <c r="J571" i="5"/>
  <c r="I571" i="5"/>
  <c r="H571" i="5"/>
  <c r="G571" i="5"/>
  <c r="F571" i="5"/>
  <c r="E571" i="5"/>
  <c r="P570" i="5"/>
  <c r="Q570" i="5" s="1"/>
  <c r="R570" i="5" s="1"/>
  <c r="P569" i="5"/>
  <c r="Q569" i="5" s="1"/>
  <c r="R569" i="5" s="1"/>
  <c r="P567" i="5"/>
  <c r="Q567" i="5" s="1"/>
  <c r="R567" i="5" s="1"/>
  <c r="P560" i="5"/>
  <c r="Q560" i="5" s="1"/>
  <c r="R560" i="5" s="1"/>
  <c r="O554" i="5"/>
  <c r="N554" i="5"/>
  <c r="M554" i="5"/>
  <c r="L554" i="5"/>
  <c r="K554" i="5"/>
  <c r="J554" i="5"/>
  <c r="I554" i="5"/>
  <c r="H554" i="5"/>
  <c r="G554" i="5"/>
  <c r="F554" i="5"/>
  <c r="E554" i="5"/>
  <c r="P553" i="5"/>
  <c r="Q553" i="5" s="1"/>
  <c r="R553" i="5" s="1"/>
  <c r="P550" i="5"/>
  <c r="Q550" i="5" s="1"/>
  <c r="R550" i="5" s="1"/>
  <c r="P538" i="5"/>
  <c r="Q538" i="5" s="1"/>
  <c r="R538" i="5" s="1"/>
  <c r="O537" i="5"/>
  <c r="N537" i="5"/>
  <c r="M537" i="5"/>
  <c r="L537" i="5"/>
  <c r="K537" i="5"/>
  <c r="J537" i="5"/>
  <c r="I537" i="5"/>
  <c r="H537" i="5"/>
  <c r="G537" i="5"/>
  <c r="F537" i="5"/>
  <c r="E537" i="5"/>
  <c r="P534" i="5"/>
  <c r="Q534" i="5" s="1"/>
  <c r="R534" i="5" s="1"/>
  <c r="P529" i="5"/>
  <c r="Q529" i="5" s="1"/>
  <c r="R529" i="5" s="1"/>
  <c r="P528" i="5"/>
  <c r="Q528" i="5" s="1"/>
  <c r="R528" i="5" s="1"/>
  <c r="P527" i="5"/>
  <c r="Q527" i="5" s="1"/>
  <c r="R527" i="5" s="1"/>
  <c r="O503" i="5"/>
  <c r="N503" i="5"/>
  <c r="M503" i="5"/>
  <c r="L503" i="5"/>
  <c r="K503" i="5"/>
  <c r="J503" i="5"/>
  <c r="I503" i="5"/>
  <c r="H503" i="5"/>
  <c r="G503" i="5"/>
  <c r="E503" i="5"/>
  <c r="P502" i="5"/>
  <c r="Q502" i="5" s="1"/>
  <c r="R502" i="5" s="1"/>
  <c r="P499" i="5"/>
  <c r="Q499" i="5" s="1"/>
  <c r="R499" i="5" s="1"/>
  <c r="P492" i="5"/>
  <c r="Q492" i="5" s="1"/>
  <c r="R492" i="5" s="1"/>
  <c r="N486" i="5"/>
  <c r="M486" i="5"/>
  <c r="L486" i="5"/>
  <c r="K486" i="5"/>
  <c r="J486" i="5"/>
  <c r="I486" i="5"/>
  <c r="E486" i="5"/>
  <c r="O452" i="5"/>
  <c r="N452" i="5"/>
  <c r="M452" i="5"/>
  <c r="L452" i="5"/>
  <c r="K452" i="5"/>
  <c r="J452" i="5"/>
  <c r="I452" i="5"/>
  <c r="H452" i="5"/>
  <c r="G452" i="5"/>
  <c r="F452" i="5"/>
  <c r="P450" i="5"/>
  <c r="Q450" i="5" s="1"/>
  <c r="R450" i="5" s="1"/>
  <c r="O435" i="5"/>
  <c r="N435" i="5"/>
  <c r="M435" i="5"/>
  <c r="L435" i="5"/>
  <c r="K435" i="5"/>
  <c r="J435" i="5"/>
  <c r="I435" i="5"/>
  <c r="H435" i="5"/>
  <c r="G435" i="5"/>
  <c r="E435" i="5"/>
  <c r="P432" i="5"/>
  <c r="Q432" i="5" s="1"/>
  <c r="R432" i="5" s="1"/>
  <c r="P431" i="5"/>
  <c r="Q431" i="5" s="1"/>
  <c r="R431" i="5" s="1"/>
  <c r="O418" i="5"/>
  <c r="N418" i="5"/>
  <c r="M418" i="5"/>
  <c r="L418" i="5"/>
  <c r="K418" i="5"/>
  <c r="J418" i="5"/>
  <c r="I418" i="5"/>
  <c r="H418" i="5"/>
  <c r="G418" i="5"/>
  <c r="F418" i="5"/>
  <c r="E418" i="5"/>
  <c r="P416" i="5"/>
  <c r="Q416" i="5" s="1"/>
  <c r="R416" i="5" s="1"/>
  <c r="L331" i="5"/>
  <c r="J331" i="5"/>
  <c r="I331" i="5"/>
  <c r="H331" i="5"/>
  <c r="G331" i="5"/>
  <c r="F331" i="5"/>
  <c r="E331" i="5"/>
  <c r="O331" i="5"/>
  <c r="N331" i="5"/>
  <c r="M331" i="5"/>
  <c r="P320" i="5"/>
  <c r="Q320" i="5" s="1"/>
  <c r="R320" i="5" s="1"/>
  <c r="O314" i="5"/>
  <c r="N314" i="5"/>
  <c r="M314" i="5"/>
  <c r="L314" i="5"/>
  <c r="K314" i="5"/>
  <c r="J314" i="5"/>
  <c r="I314" i="5"/>
  <c r="H314" i="5"/>
  <c r="G314" i="5"/>
  <c r="F314" i="5"/>
  <c r="E314" i="5"/>
  <c r="P304" i="5"/>
  <c r="Q304" i="5" s="1"/>
  <c r="R304" i="5" s="1"/>
  <c r="E297" i="5"/>
  <c r="N280" i="5"/>
  <c r="E280" i="5"/>
  <c r="P276" i="5"/>
  <c r="Q276" i="5" s="1"/>
  <c r="R276" i="5" s="1"/>
  <c r="J280" i="5"/>
  <c r="O246" i="5"/>
  <c r="N246" i="5"/>
  <c r="M246" i="5"/>
  <c r="J246" i="5"/>
  <c r="E246" i="5"/>
  <c r="P242" i="5"/>
  <c r="Q242" i="5" s="1"/>
  <c r="R242" i="5" s="1"/>
  <c r="P236" i="5"/>
  <c r="Q236" i="5" s="1"/>
  <c r="R236" i="5" s="1"/>
  <c r="P233" i="5"/>
  <c r="Q233" i="5" s="1"/>
  <c r="R233" i="5" s="1"/>
  <c r="P232" i="5"/>
  <c r="Q232" i="5" s="1"/>
  <c r="R232" i="5" s="1"/>
  <c r="O229" i="5"/>
  <c r="E229" i="5"/>
  <c r="P225" i="5"/>
  <c r="Q225" i="5" s="1"/>
  <c r="R225" i="5" s="1"/>
  <c r="P219" i="5"/>
  <c r="Q219" i="5" s="1"/>
  <c r="R219" i="5" s="1"/>
  <c r="L212" i="5"/>
  <c r="K212" i="5"/>
  <c r="J212" i="5"/>
  <c r="I212" i="5"/>
  <c r="H212" i="5"/>
  <c r="G212" i="5"/>
  <c r="E212" i="5"/>
  <c r="P208" i="5"/>
  <c r="Q208" i="5" s="1"/>
  <c r="R208" i="5" s="1"/>
  <c r="O212" i="5"/>
  <c r="O195" i="5"/>
  <c r="N195" i="5"/>
  <c r="M195" i="5"/>
  <c r="L195" i="5"/>
  <c r="K195" i="5"/>
  <c r="J195" i="5"/>
  <c r="H195" i="5"/>
  <c r="G195" i="5"/>
  <c r="F195" i="5"/>
  <c r="E195" i="5"/>
  <c r="P194" i="5"/>
  <c r="Q194" i="5" s="1"/>
  <c r="R194" i="5" s="1"/>
  <c r="P191" i="5"/>
  <c r="Q191" i="5" s="1"/>
  <c r="R191" i="5" s="1"/>
  <c r="P185" i="5"/>
  <c r="Q185" i="5" s="1"/>
  <c r="R185" i="5" s="1"/>
  <c r="O178" i="5"/>
  <c r="N178" i="5"/>
  <c r="M178" i="5"/>
  <c r="L178" i="5"/>
  <c r="K178" i="5"/>
  <c r="F178" i="5"/>
  <c r="E178" i="5"/>
  <c r="P174" i="5"/>
  <c r="Q174" i="5" s="1"/>
  <c r="R174" i="5" s="1"/>
  <c r="J178" i="5"/>
  <c r="I178" i="5"/>
  <c r="H178" i="5"/>
  <c r="O161" i="5"/>
  <c r="N161" i="5"/>
  <c r="M161" i="5"/>
  <c r="L161" i="5"/>
  <c r="K161" i="5"/>
  <c r="J161" i="5"/>
  <c r="I161" i="5"/>
  <c r="H161" i="5"/>
  <c r="G161" i="5"/>
  <c r="F161" i="5"/>
  <c r="E161" i="5"/>
  <c r="P159" i="5"/>
  <c r="Q159" i="5" s="1"/>
  <c r="R159" i="5" s="1"/>
  <c r="N144" i="5"/>
  <c r="L144" i="5"/>
  <c r="J144" i="5"/>
  <c r="G144" i="5"/>
  <c r="E144" i="5"/>
  <c r="P143" i="5"/>
  <c r="Q143" i="5" s="1"/>
  <c r="R143" i="5" s="1"/>
  <c r="P140" i="5"/>
  <c r="Q140" i="5" s="1"/>
  <c r="R140" i="5" s="1"/>
  <c r="O144" i="5"/>
  <c r="M144" i="5"/>
  <c r="K144" i="5"/>
  <c r="J127" i="5"/>
  <c r="P125" i="5"/>
  <c r="Q125" i="5" s="1"/>
  <c r="R125" i="5" s="1"/>
  <c r="P123" i="5"/>
  <c r="Q123" i="5" s="1"/>
  <c r="R123" i="5" s="1"/>
  <c r="P118" i="5"/>
  <c r="Q118" i="5" s="1"/>
  <c r="R118" i="5" s="1"/>
  <c r="O127" i="5"/>
  <c r="N127" i="5"/>
  <c r="M127" i="5"/>
  <c r="L127" i="5"/>
  <c r="P105" i="5"/>
  <c r="Q105" i="5" s="1"/>
  <c r="R105" i="5" s="1"/>
  <c r="P99" i="5"/>
  <c r="Q99" i="5" s="1"/>
  <c r="R99" i="5" s="1"/>
  <c r="P88" i="5"/>
  <c r="Q88" i="5" s="1"/>
  <c r="R88" i="5" s="1"/>
  <c r="O75" i="5"/>
  <c r="N75" i="5"/>
  <c r="M75" i="5"/>
  <c r="L75" i="5"/>
  <c r="K75" i="5"/>
  <c r="J75" i="5"/>
  <c r="I75" i="5"/>
  <c r="H75" i="5"/>
  <c r="G75" i="5"/>
  <c r="F75" i="5"/>
  <c r="E75" i="5"/>
  <c r="P73" i="5"/>
  <c r="Q73" i="5" s="1"/>
  <c r="R73" i="5" s="1"/>
  <c r="P72" i="5"/>
  <c r="Q72" i="5" s="1"/>
  <c r="R72" i="5" s="1"/>
  <c r="P71" i="5"/>
  <c r="Q71" i="5" s="1"/>
  <c r="R71" i="5" s="1"/>
  <c r="P65" i="5"/>
  <c r="Q65" i="5" s="1"/>
  <c r="R65" i="5" s="1"/>
  <c r="P64" i="5"/>
  <c r="Q64" i="5" s="1"/>
  <c r="R64" i="5" s="1"/>
  <c r="P53" i="5"/>
  <c r="Q53" i="5" s="1"/>
  <c r="R53" i="5" s="1"/>
  <c r="P47" i="5"/>
  <c r="Q47" i="5" s="1"/>
  <c r="R47" i="5" s="1"/>
  <c r="P36" i="5"/>
  <c r="Q36" i="5" s="1"/>
  <c r="R36" i="5" s="1"/>
  <c r="E23" i="5"/>
  <c r="P19" i="5"/>
  <c r="Q19" i="5" s="1"/>
  <c r="R19" i="5" s="1"/>
  <c r="P16" i="5"/>
  <c r="Q16" i="5" s="1"/>
  <c r="R16" i="5" s="1"/>
  <c r="P15" i="5"/>
  <c r="Q15" i="5" s="1"/>
  <c r="R15" i="5" s="1"/>
  <c r="P14" i="5"/>
  <c r="Q14" i="5" s="1"/>
  <c r="R14" i="5" s="1"/>
  <c r="P13" i="5"/>
  <c r="Q13" i="5" s="1"/>
  <c r="R13" i="5" s="1"/>
  <c r="P12" i="5"/>
  <c r="Q12" i="5" s="1"/>
  <c r="R12" i="5" s="1"/>
  <c r="C1" i="5"/>
  <c r="B1" i="13" s="1"/>
  <c r="C235" i="4"/>
  <c r="M57" i="3"/>
  <c r="M30" i="2" s="1"/>
  <c r="K57" i="3"/>
  <c r="K30" i="2" s="1"/>
  <c r="J57" i="3"/>
  <c r="J30" i="2" s="1"/>
  <c r="G57" i="3"/>
  <c r="G30" i="2" s="1"/>
  <c r="E57" i="3"/>
  <c r="E30" i="2" s="1"/>
  <c r="M56" i="3"/>
  <c r="L56" i="3"/>
  <c r="L29" i="2" s="1"/>
  <c r="K56" i="3"/>
  <c r="K29" i="2" s="1"/>
  <c r="H56" i="3"/>
  <c r="H29" i="2" s="1"/>
  <c r="F56" i="3"/>
  <c r="F29" i="2" s="1"/>
  <c r="M55" i="3"/>
  <c r="M28" i="2" s="1"/>
  <c r="L55" i="3"/>
  <c r="L28" i="2" s="1"/>
  <c r="I55" i="3"/>
  <c r="I28" i="2" s="1"/>
  <c r="G55" i="3"/>
  <c r="G28" i="2" s="1"/>
  <c r="F55" i="3"/>
  <c r="F28" i="2" s="1"/>
  <c r="E55" i="3"/>
  <c r="E28" i="2" s="1"/>
  <c r="M54" i="3"/>
  <c r="M27" i="2" s="1"/>
  <c r="J54" i="3"/>
  <c r="J27" i="2" s="1"/>
  <c r="H54" i="3"/>
  <c r="H27" i="2" s="1"/>
  <c r="E54" i="3"/>
  <c r="E27" i="2" s="1"/>
  <c r="K53" i="3"/>
  <c r="K26" i="2" s="1"/>
  <c r="H53" i="3"/>
  <c r="H26" i="2" s="1"/>
  <c r="G53" i="3"/>
  <c r="G26" i="2" s="1"/>
  <c r="F53" i="3"/>
  <c r="F26" i="2" s="1"/>
  <c r="L52" i="3"/>
  <c r="L25" i="2" s="1"/>
  <c r="J52" i="3"/>
  <c r="J25" i="2" s="1"/>
  <c r="H52" i="3"/>
  <c r="H25" i="2" s="1"/>
  <c r="G52" i="3"/>
  <c r="G25" i="2" s="1"/>
  <c r="M51" i="3"/>
  <c r="M24" i="2" s="1"/>
  <c r="K51" i="3"/>
  <c r="K24" i="2" s="1"/>
  <c r="H51" i="3"/>
  <c r="H24" i="2" s="1"/>
  <c r="E51" i="3"/>
  <c r="E24" i="2" s="1"/>
  <c r="L49" i="3"/>
  <c r="L22" i="2" s="1"/>
  <c r="J49" i="3"/>
  <c r="J22" i="2" s="1"/>
  <c r="I49" i="3"/>
  <c r="I22" i="2" s="1"/>
  <c r="F49" i="3"/>
  <c r="F22" i="2" s="1"/>
  <c r="K48" i="3"/>
  <c r="K21" i="2" s="1"/>
  <c r="G48" i="3"/>
  <c r="G21" i="2" s="1"/>
  <c r="E48" i="3"/>
  <c r="E21" i="2" s="1"/>
  <c r="L220" i="4"/>
  <c r="J220" i="4"/>
  <c r="M219" i="4"/>
  <c r="K219" i="4"/>
  <c r="C216" i="4"/>
  <c r="C39" i="3" s="1"/>
  <c r="M215" i="4"/>
  <c r="K215" i="4"/>
  <c r="M201" i="4"/>
  <c r="K201" i="4"/>
  <c r="I201" i="4"/>
  <c r="H201" i="4"/>
  <c r="G200" i="4"/>
  <c r="E200" i="4"/>
  <c r="F199" i="4"/>
  <c r="M198" i="4"/>
  <c r="L196" i="4"/>
  <c r="D196" i="4"/>
  <c r="L201" i="4"/>
  <c r="L46" i="3" s="1"/>
  <c r="J201" i="4"/>
  <c r="J46" i="3" s="1"/>
  <c r="G201" i="4"/>
  <c r="F201" i="4"/>
  <c r="E201" i="4"/>
  <c r="E46" i="3" s="1"/>
  <c r="D201" i="4"/>
  <c r="D46" i="3" s="1"/>
  <c r="C201" i="4"/>
  <c r="M200" i="4"/>
  <c r="L200" i="4"/>
  <c r="K200" i="4"/>
  <c r="K45" i="3" s="1"/>
  <c r="J200" i="4"/>
  <c r="I200" i="4"/>
  <c r="H200" i="4"/>
  <c r="H45" i="3" s="1"/>
  <c r="F200" i="4"/>
  <c r="D200" i="4"/>
  <c r="D45" i="3" s="1"/>
  <c r="C200" i="4"/>
  <c r="C45" i="3" s="1"/>
  <c r="M199" i="4"/>
  <c r="M44" i="3" s="1"/>
  <c r="L199" i="4"/>
  <c r="L44" i="3" s="1"/>
  <c r="K199" i="4"/>
  <c r="J199" i="4"/>
  <c r="J44" i="3" s="1"/>
  <c r="I199" i="4"/>
  <c r="I44" i="3" s="1"/>
  <c r="H199" i="4"/>
  <c r="H44" i="3" s="1"/>
  <c r="G199" i="4"/>
  <c r="G44" i="3" s="1"/>
  <c r="E199" i="4"/>
  <c r="E44" i="3" s="1"/>
  <c r="D199" i="4"/>
  <c r="C199" i="4"/>
  <c r="L198" i="4"/>
  <c r="K198" i="4"/>
  <c r="J198" i="4"/>
  <c r="I198" i="4"/>
  <c r="H198" i="4"/>
  <c r="G198" i="4"/>
  <c r="F198" i="4"/>
  <c r="E198" i="4"/>
  <c r="D198" i="4"/>
  <c r="C198" i="4"/>
  <c r="M197" i="4"/>
  <c r="L197" i="4"/>
  <c r="K197" i="4"/>
  <c r="J197" i="4"/>
  <c r="I197" i="4"/>
  <c r="H197" i="4"/>
  <c r="G197" i="4"/>
  <c r="F197" i="4"/>
  <c r="E197" i="4"/>
  <c r="D197" i="4"/>
  <c r="C197" i="4"/>
  <c r="K196" i="4"/>
  <c r="J196" i="4"/>
  <c r="I196" i="4"/>
  <c r="H196" i="4"/>
  <c r="G196" i="4"/>
  <c r="F196" i="4"/>
  <c r="E196" i="4"/>
  <c r="C196" i="4"/>
  <c r="M195" i="4"/>
  <c r="M37" i="3" s="1"/>
  <c r="L195" i="4"/>
  <c r="L37" i="3" s="1"/>
  <c r="K195" i="4"/>
  <c r="K37" i="3" s="1"/>
  <c r="J195" i="4"/>
  <c r="J37" i="3" s="1"/>
  <c r="I195" i="4"/>
  <c r="I37" i="3" s="1"/>
  <c r="H195" i="4"/>
  <c r="H37" i="3" s="1"/>
  <c r="G195" i="4"/>
  <c r="G37" i="3" s="1"/>
  <c r="F195" i="4"/>
  <c r="F37" i="3" s="1"/>
  <c r="E195" i="4"/>
  <c r="E37" i="3" s="1"/>
  <c r="D195" i="4"/>
  <c r="D37" i="3" s="1"/>
  <c r="C195" i="4"/>
  <c r="C37" i="3" s="1"/>
  <c r="L194" i="4"/>
  <c r="L38" i="3" s="1"/>
  <c r="L9" i="2" s="1"/>
  <c r="L11" i="1" s="1"/>
  <c r="K194" i="4"/>
  <c r="K38" i="3" s="1"/>
  <c r="K9" i="2" s="1"/>
  <c r="K11" i="1" s="1"/>
  <c r="J194" i="4"/>
  <c r="J38" i="3" s="1"/>
  <c r="J9" i="2" s="1"/>
  <c r="J11" i="1" s="1"/>
  <c r="I194" i="4"/>
  <c r="I38" i="3" s="1"/>
  <c r="I9" i="2" s="1"/>
  <c r="I11" i="1" s="1"/>
  <c r="H194" i="4"/>
  <c r="H38" i="3" s="1"/>
  <c r="H9" i="2" s="1"/>
  <c r="H11" i="1" s="1"/>
  <c r="G194" i="4"/>
  <c r="G38" i="3" s="1"/>
  <c r="G9" i="2" s="1"/>
  <c r="G11" i="1" s="1"/>
  <c r="F194" i="4"/>
  <c r="F38" i="3" s="1"/>
  <c r="F9" i="2" s="1"/>
  <c r="F11" i="1" s="1"/>
  <c r="E194" i="4"/>
  <c r="E38" i="3" s="1"/>
  <c r="E9" i="2" s="1"/>
  <c r="E11" i="1" s="1"/>
  <c r="D194" i="4"/>
  <c r="D38" i="3" s="1"/>
  <c r="D9" i="2" s="1"/>
  <c r="M193" i="4"/>
  <c r="L193" i="4"/>
  <c r="K193" i="4"/>
  <c r="J193" i="4"/>
  <c r="I193" i="4"/>
  <c r="H193" i="4"/>
  <c r="G193" i="4"/>
  <c r="F193" i="4"/>
  <c r="E193" i="4"/>
  <c r="D193" i="4"/>
  <c r="C193" i="4"/>
  <c r="M190" i="4"/>
  <c r="L190" i="4"/>
  <c r="K190" i="4"/>
  <c r="J190" i="4"/>
  <c r="I190" i="4"/>
  <c r="H190" i="4"/>
  <c r="G190" i="4"/>
  <c r="F190" i="4"/>
  <c r="E190" i="4"/>
  <c r="D190" i="4"/>
  <c r="C190" i="4"/>
  <c r="M189" i="4"/>
  <c r="L189" i="4"/>
  <c r="K189" i="4"/>
  <c r="J189" i="4"/>
  <c r="I189" i="4"/>
  <c r="H189" i="4"/>
  <c r="G189" i="4"/>
  <c r="F189" i="4"/>
  <c r="E189" i="4"/>
  <c r="D189" i="4"/>
  <c r="C189" i="4"/>
  <c r="M188" i="4"/>
  <c r="L188" i="4"/>
  <c r="K188" i="4"/>
  <c r="J188" i="4"/>
  <c r="I188" i="4"/>
  <c r="H188" i="4"/>
  <c r="G188" i="4"/>
  <c r="F188" i="4"/>
  <c r="E188" i="4"/>
  <c r="D188" i="4"/>
  <c r="C188" i="4"/>
  <c r="M187" i="4"/>
  <c r="L187" i="4"/>
  <c r="K187" i="4"/>
  <c r="J187" i="4"/>
  <c r="I187" i="4"/>
  <c r="H187" i="4"/>
  <c r="G187" i="4"/>
  <c r="F187" i="4"/>
  <c r="E187" i="4"/>
  <c r="D187" i="4"/>
  <c r="C187" i="4"/>
  <c r="M186" i="4"/>
  <c r="L186" i="4"/>
  <c r="K186" i="4"/>
  <c r="J186" i="4"/>
  <c r="I186" i="4"/>
  <c r="H186" i="4"/>
  <c r="G186" i="4"/>
  <c r="F186" i="4"/>
  <c r="E186" i="4"/>
  <c r="D186" i="4"/>
  <c r="C186" i="4"/>
  <c r="M185" i="4"/>
  <c r="L185" i="4"/>
  <c r="K185" i="4"/>
  <c r="J185" i="4"/>
  <c r="I185" i="4"/>
  <c r="H185" i="4"/>
  <c r="G185" i="4"/>
  <c r="F185" i="4"/>
  <c r="E185" i="4"/>
  <c r="D185" i="4"/>
  <c r="C185" i="4"/>
  <c r="M184" i="4"/>
  <c r="L184" i="4"/>
  <c r="K184" i="4"/>
  <c r="J184" i="4"/>
  <c r="I184" i="4"/>
  <c r="H184" i="4"/>
  <c r="G184" i="4"/>
  <c r="F184" i="4"/>
  <c r="E184" i="4"/>
  <c r="D184" i="4"/>
  <c r="C184" i="4"/>
  <c r="M182" i="4"/>
  <c r="L182" i="4"/>
  <c r="K182" i="4"/>
  <c r="J182" i="4"/>
  <c r="I182" i="4"/>
  <c r="H182" i="4"/>
  <c r="G182" i="4"/>
  <c r="F182" i="4"/>
  <c r="E182" i="4"/>
  <c r="D182" i="4"/>
  <c r="C182" i="4"/>
  <c r="M181" i="4"/>
  <c r="L181" i="4"/>
  <c r="K181" i="4"/>
  <c r="J181" i="4"/>
  <c r="I181" i="4"/>
  <c r="H181" i="4"/>
  <c r="G181" i="4"/>
  <c r="F181" i="4"/>
  <c r="E181" i="4"/>
  <c r="D181" i="4"/>
  <c r="C181" i="4"/>
  <c r="M179" i="4"/>
  <c r="L179" i="4"/>
  <c r="K179" i="4"/>
  <c r="J179" i="4"/>
  <c r="I179" i="4"/>
  <c r="H179" i="4"/>
  <c r="G179" i="4"/>
  <c r="F179" i="4"/>
  <c r="F132" i="4"/>
  <c r="F144" i="4"/>
  <c r="F155" i="4"/>
  <c r="F167" i="4"/>
  <c r="E179" i="4"/>
  <c r="D179" i="4"/>
  <c r="C179" i="4"/>
  <c r="I72" i="4"/>
  <c r="I119" i="4"/>
  <c r="I131" i="4"/>
  <c r="I143" i="4"/>
  <c r="I154" i="4"/>
  <c r="I166" i="4"/>
  <c r="G178" i="4"/>
  <c r="F178" i="4"/>
  <c r="E177" i="4"/>
  <c r="E71" i="4"/>
  <c r="E118" i="4"/>
  <c r="E165" i="4"/>
  <c r="E14" i="4"/>
  <c r="E14" i="3" s="1"/>
  <c r="D177" i="4"/>
  <c r="M70" i="4"/>
  <c r="M117" i="4"/>
  <c r="M129" i="4"/>
  <c r="M141" i="4"/>
  <c r="M152" i="4"/>
  <c r="M164" i="4"/>
  <c r="I70" i="4"/>
  <c r="I117" i="4"/>
  <c r="I129" i="4"/>
  <c r="I141" i="4"/>
  <c r="I152" i="4"/>
  <c r="I164" i="4"/>
  <c r="G70" i="4"/>
  <c r="G117" i="4"/>
  <c r="G129" i="4"/>
  <c r="G141" i="4"/>
  <c r="G152" i="4"/>
  <c r="G164" i="4"/>
  <c r="F70" i="4"/>
  <c r="F117" i="4"/>
  <c r="F129" i="4"/>
  <c r="F141" i="4"/>
  <c r="F152" i="4"/>
  <c r="F164" i="4"/>
  <c r="D70" i="4"/>
  <c r="D117" i="4"/>
  <c r="D129" i="4"/>
  <c r="D141" i="4"/>
  <c r="D152" i="4"/>
  <c r="D164" i="4"/>
  <c r="M68" i="4"/>
  <c r="M127" i="4"/>
  <c r="M139" i="4"/>
  <c r="I68" i="4"/>
  <c r="I127" i="4"/>
  <c r="H68" i="4"/>
  <c r="H127" i="4"/>
  <c r="G68" i="4"/>
  <c r="G127" i="4"/>
  <c r="G139" i="4"/>
  <c r="H173" i="4"/>
  <c r="M170" i="4"/>
  <c r="L170" i="4"/>
  <c r="L19" i="3" s="1"/>
  <c r="K170" i="4"/>
  <c r="K19" i="3" s="1"/>
  <c r="J170" i="4"/>
  <c r="J19" i="3" s="1"/>
  <c r="I170" i="4"/>
  <c r="I19" i="3" s="1"/>
  <c r="H170" i="4"/>
  <c r="H19" i="3" s="1"/>
  <c r="G170" i="4"/>
  <c r="G19" i="3" s="1"/>
  <c r="F170" i="4"/>
  <c r="F19" i="3" s="1"/>
  <c r="E170" i="4"/>
  <c r="D170" i="4"/>
  <c r="D19" i="3" s="1"/>
  <c r="C170" i="4"/>
  <c r="M167" i="4"/>
  <c r="L167" i="4"/>
  <c r="K167" i="4"/>
  <c r="J167" i="4"/>
  <c r="I167" i="4"/>
  <c r="H167" i="4"/>
  <c r="G167" i="4"/>
  <c r="E167" i="4"/>
  <c r="D167" i="4"/>
  <c r="C167" i="4"/>
  <c r="M166" i="4"/>
  <c r="L166" i="4"/>
  <c r="K166" i="4"/>
  <c r="J166" i="4"/>
  <c r="H166" i="4"/>
  <c r="G166" i="4"/>
  <c r="F166" i="4"/>
  <c r="E166" i="4"/>
  <c r="D166" i="4"/>
  <c r="C166" i="4"/>
  <c r="M165" i="4"/>
  <c r="L165" i="4"/>
  <c r="K165" i="4"/>
  <c r="J165" i="4"/>
  <c r="I165" i="4"/>
  <c r="H165" i="4"/>
  <c r="G165" i="4"/>
  <c r="F165" i="4"/>
  <c r="D165" i="4"/>
  <c r="C165" i="4"/>
  <c r="L164" i="4"/>
  <c r="K164" i="4"/>
  <c r="J164" i="4"/>
  <c r="H164" i="4"/>
  <c r="E164" i="4"/>
  <c r="C164" i="4"/>
  <c r="M163" i="4"/>
  <c r="L163" i="4"/>
  <c r="K163" i="4"/>
  <c r="J163" i="4"/>
  <c r="I163" i="4"/>
  <c r="H163" i="4"/>
  <c r="G163" i="4"/>
  <c r="F163" i="4"/>
  <c r="E163" i="4"/>
  <c r="D163" i="4"/>
  <c r="M161" i="4"/>
  <c r="L161" i="4"/>
  <c r="K161" i="4"/>
  <c r="J161" i="4"/>
  <c r="I161" i="4"/>
  <c r="H161" i="4"/>
  <c r="G161" i="4"/>
  <c r="F161" i="4"/>
  <c r="E161" i="4"/>
  <c r="D161" i="4"/>
  <c r="M160" i="4"/>
  <c r="L160" i="4"/>
  <c r="K160" i="4"/>
  <c r="J160" i="4"/>
  <c r="I160" i="4"/>
  <c r="H160" i="4"/>
  <c r="G160" i="4"/>
  <c r="F160" i="4"/>
  <c r="E160" i="4"/>
  <c r="D160" i="4"/>
  <c r="C160" i="4"/>
  <c r="M159" i="4"/>
  <c r="L159" i="4"/>
  <c r="K159" i="4"/>
  <c r="J159" i="4"/>
  <c r="I159" i="4"/>
  <c r="H159" i="4"/>
  <c r="G159" i="4"/>
  <c r="F159" i="4"/>
  <c r="E159" i="4"/>
  <c r="D159" i="4"/>
  <c r="C159" i="4"/>
  <c r="M158" i="4"/>
  <c r="L158" i="4"/>
  <c r="K158" i="4"/>
  <c r="J158" i="4"/>
  <c r="I158" i="4"/>
  <c r="I22" i="3" s="1"/>
  <c r="H158" i="4"/>
  <c r="G158" i="4"/>
  <c r="F158" i="4"/>
  <c r="E158" i="4"/>
  <c r="D158" i="4"/>
  <c r="C158" i="4"/>
  <c r="M155" i="4"/>
  <c r="L155" i="4"/>
  <c r="K155" i="4"/>
  <c r="J155" i="4"/>
  <c r="I155" i="4"/>
  <c r="H155" i="4"/>
  <c r="G155" i="4"/>
  <c r="E155" i="4"/>
  <c r="D155" i="4"/>
  <c r="C155" i="4"/>
  <c r="M154" i="4"/>
  <c r="L154" i="4"/>
  <c r="K154" i="4"/>
  <c r="J154" i="4"/>
  <c r="H154" i="4"/>
  <c r="G154" i="4"/>
  <c r="F154" i="4"/>
  <c r="E154" i="4"/>
  <c r="D154" i="4"/>
  <c r="C154" i="4"/>
  <c r="M153" i="4"/>
  <c r="L153" i="4"/>
  <c r="K153" i="4"/>
  <c r="I153" i="4"/>
  <c r="G153" i="4"/>
  <c r="F153" i="4"/>
  <c r="C153" i="4"/>
  <c r="L152" i="4"/>
  <c r="K152" i="4"/>
  <c r="J152" i="4"/>
  <c r="H152" i="4"/>
  <c r="E152" i="4"/>
  <c r="C152" i="4"/>
  <c r="M151" i="4"/>
  <c r="L151" i="4"/>
  <c r="K151" i="4"/>
  <c r="J151" i="4"/>
  <c r="I151" i="4"/>
  <c r="H151" i="4"/>
  <c r="G151" i="4"/>
  <c r="F151" i="4"/>
  <c r="E151" i="4"/>
  <c r="D151" i="4"/>
  <c r="M149" i="4"/>
  <c r="L149" i="4"/>
  <c r="K149" i="4"/>
  <c r="J149" i="4"/>
  <c r="I149" i="4"/>
  <c r="H149" i="4"/>
  <c r="G149" i="4"/>
  <c r="F149" i="4"/>
  <c r="E149" i="4"/>
  <c r="D149" i="4"/>
  <c r="C149" i="4"/>
  <c r="J147" i="4"/>
  <c r="I147" i="4"/>
  <c r="H147" i="4"/>
  <c r="G147" i="4"/>
  <c r="F147" i="4"/>
  <c r="E147" i="4"/>
  <c r="D147" i="4"/>
  <c r="C147" i="4"/>
  <c r="M146" i="4"/>
  <c r="L146" i="4"/>
  <c r="K146" i="4"/>
  <c r="J146" i="4"/>
  <c r="I146" i="4"/>
  <c r="H146" i="4"/>
  <c r="G146" i="4"/>
  <c r="F146" i="4"/>
  <c r="E146" i="4"/>
  <c r="D146" i="4"/>
  <c r="C146" i="4"/>
  <c r="M144" i="4"/>
  <c r="L144" i="4"/>
  <c r="K144" i="4"/>
  <c r="J144" i="4"/>
  <c r="I144" i="4"/>
  <c r="H144" i="4"/>
  <c r="G144" i="4"/>
  <c r="E144" i="4"/>
  <c r="D144" i="4"/>
  <c r="C144" i="4"/>
  <c r="M143" i="4"/>
  <c r="L143" i="4"/>
  <c r="K143" i="4"/>
  <c r="J143" i="4"/>
  <c r="H143" i="4"/>
  <c r="G143" i="4"/>
  <c r="F143" i="4"/>
  <c r="E143" i="4"/>
  <c r="D143" i="4"/>
  <c r="C143" i="4"/>
  <c r="L141" i="4"/>
  <c r="K141" i="4"/>
  <c r="J141" i="4"/>
  <c r="H141" i="4"/>
  <c r="E141" i="4"/>
  <c r="C141" i="4"/>
  <c r="C139" i="4"/>
  <c r="M138" i="4"/>
  <c r="L138" i="4"/>
  <c r="K138" i="4"/>
  <c r="J138" i="4"/>
  <c r="I138" i="4"/>
  <c r="H138" i="4"/>
  <c r="G138" i="4"/>
  <c r="F138" i="4"/>
  <c r="E138" i="4"/>
  <c r="D138" i="4"/>
  <c r="C138" i="4"/>
  <c r="M137" i="4"/>
  <c r="L137" i="4"/>
  <c r="K137" i="4"/>
  <c r="J137" i="4"/>
  <c r="I137" i="4"/>
  <c r="H137" i="4"/>
  <c r="G137" i="4"/>
  <c r="F137" i="4"/>
  <c r="E137" i="4"/>
  <c r="D137" i="4"/>
  <c r="C137" i="4"/>
  <c r="M136" i="4"/>
  <c r="L136" i="4"/>
  <c r="K136" i="4"/>
  <c r="J136" i="4"/>
  <c r="I136" i="4"/>
  <c r="H136" i="4"/>
  <c r="G136" i="4"/>
  <c r="F136" i="4"/>
  <c r="E136" i="4"/>
  <c r="D136" i="4"/>
  <c r="C136" i="4"/>
  <c r="M135" i="4"/>
  <c r="M21" i="3" s="1"/>
  <c r="L135" i="4"/>
  <c r="L21" i="3" s="1"/>
  <c r="K135" i="4"/>
  <c r="K21" i="3" s="1"/>
  <c r="J135" i="4"/>
  <c r="J21" i="3" s="1"/>
  <c r="I135" i="4"/>
  <c r="I21" i="3" s="1"/>
  <c r="H135" i="4"/>
  <c r="H21" i="3" s="1"/>
  <c r="G135" i="4"/>
  <c r="G21" i="3" s="1"/>
  <c r="F135" i="4"/>
  <c r="F21" i="3" s="1"/>
  <c r="E135" i="4"/>
  <c r="E21" i="3" s="1"/>
  <c r="D135" i="4"/>
  <c r="C135" i="4"/>
  <c r="C21" i="3" s="1"/>
  <c r="M134" i="4"/>
  <c r="L134" i="4"/>
  <c r="K134" i="4"/>
  <c r="J134" i="4"/>
  <c r="I134" i="4"/>
  <c r="H134" i="4"/>
  <c r="G134" i="4"/>
  <c r="F134" i="4"/>
  <c r="E134" i="4"/>
  <c r="D134" i="4"/>
  <c r="C134" i="4"/>
  <c r="M132" i="4"/>
  <c r="L132" i="4"/>
  <c r="K132" i="4"/>
  <c r="J132" i="4"/>
  <c r="I132" i="4"/>
  <c r="H132" i="4"/>
  <c r="G132" i="4"/>
  <c r="E132" i="4"/>
  <c r="D132" i="4"/>
  <c r="C132" i="4"/>
  <c r="M131" i="4"/>
  <c r="L131" i="4"/>
  <c r="K131" i="4"/>
  <c r="J131" i="4"/>
  <c r="H131" i="4"/>
  <c r="G131" i="4"/>
  <c r="F131" i="4"/>
  <c r="E131" i="4"/>
  <c r="D131" i="4"/>
  <c r="C131" i="4"/>
  <c r="M130" i="4"/>
  <c r="L130" i="4"/>
  <c r="K130" i="4"/>
  <c r="J130" i="4"/>
  <c r="I130" i="4"/>
  <c r="H130" i="4"/>
  <c r="G130" i="4"/>
  <c r="F130" i="4"/>
  <c r="C130" i="4"/>
  <c r="L129" i="4"/>
  <c r="K129" i="4"/>
  <c r="J129" i="4"/>
  <c r="H129" i="4"/>
  <c r="E129" i="4"/>
  <c r="C129" i="4"/>
  <c r="M128" i="4"/>
  <c r="L128" i="4"/>
  <c r="K128" i="4"/>
  <c r="J128" i="4"/>
  <c r="I128" i="4"/>
  <c r="H128" i="4"/>
  <c r="G128" i="4"/>
  <c r="F128" i="4"/>
  <c r="E128" i="4"/>
  <c r="D128" i="4"/>
  <c r="C128" i="4"/>
  <c r="L127" i="4"/>
  <c r="K127" i="4"/>
  <c r="J127" i="4"/>
  <c r="F127" i="4"/>
  <c r="E127" i="4"/>
  <c r="D127" i="4"/>
  <c r="C127" i="4"/>
  <c r="M126" i="4"/>
  <c r="L126" i="4"/>
  <c r="K126" i="4"/>
  <c r="E126" i="4"/>
  <c r="D126" i="4"/>
  <c r="C126" i="4"/>
  <c r="M125" i="4"/>
  <c r="M26" i="3" s="1"/>
  <c r="M12" i="2" s="1"/>
  <c r="M12" i="1" s="1"/>
  <c r="L125" i="4"/>
  <c r="L26" i="3" s="1"/>
  <c r="L12" i="2" s="1"/>
  <c r="L12" i="1" s="1"/>
  <c r="K125" i="4"/>
  <c r="K26" i="3" s="1"/>
  <c r="K12" i="2" s="1"/>
  <c r="K12" i="1" s="1"/>
  <c r="J125" i="4"/>
  <c r="J26" i="3" s="1"/>
  <c r="J12" i="2" s="1"/>
  <c r="J12" i="1" s="1"/>
  <c r="I125" i="4"/>
  <c r="I26" i="3" s="1"/>
  <c r="I12" i="2" s="1"/>
  <c r="I12" i="1" s="1"/>
  <c r="H125" i="4"/>
  <c r="H26" i="3" s="1"/>
  <c r="H12" i="2" s="1"/>
  <c r="H12" i="1" s="1"/>
  <c r="G125" i="4"/>
  <c r="G26" i="3" s="1"/>
  <c r="G12" i="2" s="1"/>
  <c r="G12" i="1" s="1"/>
  <c r="F125" i="4"/>
  <c r="F26" i="3" s="1"/>
  <c r="F12" i="2" s="1"/>
  <c r="F12" i="1" s="1"/>
  <c r="E125" i="4"/>
  <c r="E26" i="3" s="1"/>
  <c r="E12" i="2" s="1"/>
  <c r="E12" i="1" s="1"/>
  <c r="D125" i="4"/>
  <c r="D26" i="3" s="1"/>
  <c r="C125" i="4"/>
  <c r="C26" i="3" s="1"/>
  <c r="C12" i="2" s="1"/>
  <c r="C12" i="1" s="1"/>
  <c r="M124" i="4"/>
  <c r="L124" i="4"/>
  <c r="K124" i="4"/>
  <c r="J124" i="4"/>
  <c r="I124" i="4"/>
  <c r="H124" i="4"/>
  <c r="G124" i="4"/>
  <c r="F124" i="4"/>
  <c r="E124" i="4"/>
  <c r="D124" i="4"/>
  <c r="C124" i="4"/>
  <c r="F123" i="4"/>
  <c r="C123" i="4"/>
  <c r="M119" i="4"/>
  <c r="L119" i="4"/>
  <c r="K119" i="4"/>
  <c r="J119" i="4"/>
  <c r="H119" i="4"/>
  <c r="G119" i="4"/>
  <c r="F119" i="4"/>
  <c r="E119" i="4"/>
  <c r="D119" i="4"/>
  <c r="C119" i="4"/>
  <c r="M118" i="4"/>
  <c r="L118" i="4"/>
  <c r="K118" i="4"/>
  <c r="J118" i="4"/>
  <c r="I118" i="4"/>
  <c r="H118" i="4"/>
  <c r="G118" i="4"/>
  <c r="F118" i="4"/>
  <c r="D118" i="4"/>
  <c r="C118" i="4"/>
  <c r="L117" i="4"/>
  <c r="K117" i="4"/>
  <c r="J117" i="4"/>
  <c r="H117" i="4"/>
  <c r="E117" i="4"/>
  <c r="C117" i="4"/>
  <c r="M116" i="4"/>
  <c r="L116" i="4"/>
  <c r="K116" i="4"/>
  <c r="J116" i="4"/>
  <c r="I116" i="4"/>
  <c r="H116" i="4"/>
  <c r="G116" i="4"/>
  <c r="F116" i="4"/>
  <c r="E116" i="4"/>
  <c r="D116" i="4"/>
  <c r="C116" i="4"/>
  <c r="M114" i="4"/>
  <c r="L114" i="4"/>
  <c r="K114" i="4"/>
  <c r="J114" i="4"/>
  <c r="I114" i="4"/>
  <c r="H114" i="4"/>
  <c r="G114" i="4"/>
  <c r="F114" i="4"/>
  <c r="E114" i="4"/>
  <c r="D114" i="4"/>
  <c r="C114" i="4"/>
  <c r="C112" i="4"/>
  <c r="C111" i="4"/>
  <c r="N81" i="4"/>
  <c r="O81" i="4" s="1"/>
  <c r="P81" i="4" s="1"/>
  <c r="N78" i="4"/>
  <c r="N77" i="4"/>
  <c r="C77" i="4"/>
  <c r="C20" i="3" s="1"/>
  <c r="K72" i="4"/>
  <c r="J72" i="4"/>
  <c r="H72" i="4"/>
  <c r="G72" i="4"/>
  <c r="C72" i="4"/>
  <c r="M71" i="4"/>
  <c r="L71" i="4"/>
  <c r="K71" i="4"/>
  <c r="J71" i="4"/>
  <c r="I71" i="4"/>
  <c r="H71" i="4"/>
  <c r="G71" i="4"/>
  <c r="F71" i="4"/>
  <c r="D71" i="4"/>
  <c r="C71" i="4"/>
  <c r="L70" i="4"/>
  <c r="K70" i="4"/>
  <c r="J70" i="4"/>
  <c r="H70" i="4"/>
  <c r="E70" i="4"/>
  <c r="C70" i="4"/>
  <c r="M69" i="4"/>
  <c r="L69" i="4"/>
  <c r="K69" i="4"/>
  <c r="J69" i="4"/>
  <c r="I69" i="4"/>
  <c r="H69" i="4"/>
  <c r="G69" i="4"/>
  <c r="F69" i="4"/>
  <c r="E69" i="4"/>
  <c r="D69" i="4"/>
  <c r="C69" i="4"/>
  <c r="L68" i="4"/>
  <c r="K68" i="4"/>
  <c r="J68" i="4"/>
  <c r="F68" i="4"/>
  <c r="E68" i="4"/>
  <c r="D68" i="4"/>
  <c r="C68" i="4"/>
  <c r="C46" i="4"/>
  <c r="C45" i="4"/>
  <c r="L10" i="3"/>
  <c r="K10" i="3"/>
  <c r="J10" i="3"/>
  <c r="I10" i="3"/>
  <c r="H10" i="3"/>
  <c r="G10" i="3"/>
  <c r="F10" i="3"/>
  <c r="D10" i="3"/>
  <c r="M9" i="3"/>
  <c r="L9" i="3"/>
  <c r="I9" i="3"/>
  <c r="G9" i="3"/>
  <c r="E9" i="3"/>
  <c r="D9" i="3"/>
  <c r="C9" i="3"/>
  <c r="M27" i="4"/>
  <c r="L27" i="4"/>
  <c r="K27" i="4"/>
  <c r="J27" i="4"/>
  <c r="I27" i="4"/>
  <c r="H27" i="4"/>
  <c r="G27" i="4"/>
  <c r="F27" i="4"/>
  <c r="E27" i="4"/>
  <c r="D27" i="4"/>
  <c r="C27" i="4"/>
  <c r="M26" i="4"/>
  <c r="L26" i="4"/>
  <c r="L15" i="4"/>
  <c r="K26" i="4"/>
  <c r="J26" i="4"/>
  <c r="I26" i="4"/>
  <c r="H26" i="4"/>
  <c r="G26" i="4"/>
  <c r="F26" i="4"/>
  <c r="E26" i="4"/>
  <c r="E15" i="4"/>
  <c r="E56" i="3"/>
  <c r="E29" i="2" s="1"/>
  <c r="D26" i="4"/>
  <c r="D15" i="4"/>
  <c r="C26" i="4"/>
  <c r="M24" i="4"/>
  <c r="L24" i="4"/>
  <c r="K24" i="4"/>
  <c r="J24" i="4"/>
  <c r="I24" i="4"/>
  <c r="H24" i="4"/>
  <c r="G24" i="4"/>
  <c r="F24" i="4"/>
  <c r="E24" i="4"/>
  <c r="D24" i="4"/>
  <c r="C24" i="4"/>
  <c r="M23" i="4"/>
  <c r="L23" i="4"/>
  <c r="K23" i="4"/>
  <c r="J23" i="4"/>
  <c r="I23" i="4"/>
  <c r="H23" i="4"/>
  <c r="G23" i="4"/>
  <c r="F23" i="4"/>
  <c r="D23" i="4"/>
  <c r="C23" i="4"/>
  <c r="M19" i="4"/>
  <c r="F19" i="4"/>
  <c r="C19" i="4"/>
  <c r="C8" i="3" s="1"/>
  <c r="M16" i="4"/>
  <c r="L16" i="4"/>
  <c r="L57" i="3"/>
  <c r="L30" i="2" s="1"/>
  <c r="K16" i="4"/>
  <c r="J16" i="4"/>
  <c r="I16" i="4"/>
  <c r="H16" i="4"/>
  <c r="H57" i="3"/>
  <c r="H30" i="2" s="1"/>
  <c r="G16" i="4"/>
  <c r="F16" i="4"/>
  <c r="E16" i="4"/>
  <c r="D16" i="4"/>
  <c r="C16" i="4"/>
  <c r="M15" i="4"/>
  <c r="K15" i="4"/>
  <c r="J15" i="4"/>
  <c r="I15" i="4"/>
  <c r="H15" i="4"/>
  <c r="G15" i="4"/>
  <c r="G56" i="3"/>
  <c r="G29" i="2" s="1"/>
  <c r="F15" i="4"/>
  <c r="C15" i="4"/>
  <c r="M14" i="4"/>
  <c r="M14" i="3" s="1"/>
  <c r="L14" i="4"/>
  <c r="L14" i="3" s="1"/>
  <c r="K14" i="4"/>
  <c r="K14" i="3" s="1"/>
  <c r="J14" i="4"/>
  <c r="J14" i="3" s="1"/>
  <c r="I14" i="4"/>
  <c r="I14" i="3" s="1"/>
  <c r="H14" i="4"/>
  <c r="H14" i="3" s="1"/>
  <c r="G14" i="4"/>
  <c r="G14" i="3" s="1"/>
  <c r="F14" i="4"/>
  <c r="F14" i="3" s="1"/>
  <c r="D14" i="4"/>
  <c r="D14" i="3" s="1"/>
  <c r="C14" i="4"/>
  <c r="C14" i="3" s="1"/>
  <c r="M13" i="4"/>
  <c r="L13" i="4"/>
  <c r="K13" i="4"/>
  <c r="J13" i="4"/>
  <c r="I13" i="4"/>
  <c r="H13" i="4"/>
  <c r="G13" i="4"/>
  <c r="F13" i="4"/>
  <c r="E13" i="4"/>
  <c r="D13" i="4"/>
  <c r="C13" i="4"/>
  <c r="M11" i="4"/>
  <c r="M11" i="3" s="1"/>
  <c r="L11" i="4"/>
  <c r="L11" i="3" s="1"/>
  <c r="K11" i="4"/>
  <c r="K11" i="3" s="1"/>
  <c r="J11" i="4"/>
  <c r="J11" i="3" s="1"/>
  <c r="I11" i="4"/>
  <c r="I11" i="3" s="1"/>
  <c r="H11" i="4"/>
  <c r="H11" i="3" s="1"/>
  <c r="G11" i="4"/>
  <c r="F11" i="4"/>
  <c r="E11" i="4"/>
  <c r="E11" i="3" s="1"/>
  <c r="D11" i="4"/>
  <c r="D11" i="3" s="1"/>
  <c r="C11" i="4"/>
  <c r="A1" i="4"/>
  <c r="I57" i="3"/>
  <c r="I30" i="2" s="1"/>
  <c r="F57" i="3"/>
  <c r="F30" i="2" s="1"/>
  <c r="D57" i="3"/>
  <c r="D30" i="2" s="1"/>
  <c r="J56" i="3"/>
  <c r="J29" i="2" s="1"/>
  <c r="I56" i="3"/>
  <c r="I29" i="2" s="1"/>
  <c r="D56" i="3"/>
  <c r="K55" i="3"/>
  <c r="K28" i="2" s="1"/>
  <c r="J55" i="3"/>
  <c r="J28" i="2" s="1"/>
  <c r="H55" i="3"/>
  <c r="H28" i="2" s="1"/>
  <c r="D55" i="3"/>
  <c r="L54" i="3"/>
  <c r="L27" i="2" s="1"/>
  <c r="K54" i="3"/>
  <c r="K27" i="2" s="1"/>
  <c r="I54" i="3"/>
  <c r="I27" i="2" s="1"/>
  <c r="G54" i="3"/>
  <c r="G27" i="2" s="1"/>
  <c r="D54" i="3"/>
  <c r="D27" i="2" s="1"/>
  <c r="M53" i="3"/>
  <c r="M26" i="2" s="1"/>
  <c r="L53" i="3"/>
  <c r="L26" i="2" s="1"/>
  <c r="J53" i="3"/>
  <c r="J26" i="2" s="1"/>
  <c r="I53" i="3"/>
  <c r="I26" i="2" s="1"/>
  <c r="E53" i="3"/>
  <c r="E26" i="2" s="1"/>
  <c r="D53" i="3"/>
  <c r="M52" i="3"/>
  <c r="M25" i="2" s="1"/>
  <c r="K52" i="3"/>
  <c r="K25" i="2" s="1"/>
  <c r="I52" i="3"/>
  <c r="I25" i="2" s="1"/>
  <c r="F52" i="3"/>
  <c r="F25" i="2" s="1"/>
  <c r="E52" i="3"/>
  <c r="E25" i="2" s="1"/>
  <c r="D52" i="3"/>
  <c r="D25" i="2" s="1"/>
  <c r="L51" i="3"/>
  <c r="L24" i="2" s="1"/>
  <c r="I51" i="3"/>
  <c r="I24" i="2" s="1"/>
  <c r="G51" i="3"/>
  <c r="G24" i="2" s="1"/>
  <c r="F51" i="3"/>
  <c r="F24" i="2" s="1"/>
  <c r="D51" i="3"/>
  <c r="D24" i="2" s="1"/>
  <c r="M49" i="3"/>
  <c r="M22" i="2" s="1"/>
  <c r="H49" i="3"/>
  <c r="H22" i="2" s="1"/>
  <c r="G49" i="3"/>
  <c r="G22" i="2" s="1"/>
  <c r="E49" i="3"/>
  <c r="E22" i="2" s="1"/>
  <c r="D49" i="3"/>
  <c r="D22" i="2" s="1"/>
  <c r="L48" i="3"/>
  <c r="J48" i="3"/>
  <c r="J21" i="2" s="1"/>
  <c r="I48" i="3"/>
  <c r="I21" i="2" s="1"/>
  <c r="H48" i="3"/>
  <c r="F48" i="3"/>
  <c r="F21" i="2" s="1"/>
  <c r="D48" i="3"/>
  <c r="D21" i="2" s="1"/>
  <c r="M20" i="3"/>
  <c r="L20" i="3"/>
  <c r="K20" i="3"/>
  <c r="J20" i="3"/>
  <c r="I20" i="3"/>
  <c r="H20" i="3"/>
  <c r="G20" i="3"/>
  <c r="F20" i="3"/>
  <c r="E20" i="3"/>
  <c r="D20" i="3"/>
  <c r="M19" i="3"/>
  <c r="E19" i="3"/>
  <c r="M29" i="2"/>
  <c r="M10" i="3"/>
  <c r="E10" i="3"/>
  <c r="H9" i="3"/>
  <c r="F9" i="3"/>
  <c r="A1" i="3"/>
  <c r="A1" i="2"/>
  <c r="N75" i="4"/>
  <c r="D235" i="4"/>
  <c r="K127" i="5"/>
  <c r="I144" i="5"/>
  <c r="F280" i="5"/>
  <c r="K331" i="5"/>
  <c r="P327" i="5"/>
  <c r="Q327" i="5" s="1"/>
  <c r="R327" i="5" s="1"/>
  <c r="F435" i="5"/>
  <c r="P433" i="5"/>
  <c r="Q433" i="5" s="1"/>
  <c r="R433" i="5" s="1"/>
  <c r="F503" i="5"/>
  <c r="P490" i="5"/>
  <c r="Q490" i="5" s="1"/>
  <c r="R490" i="5" s="1"/>
  <c r="K708" i="5"/>
  <c r="K725" i="5"/>
  <c r="F793" i="5"/>
  <c r="P777" i="5"/>
  <c r="Q777" i="5" s="1"/>
  <c r="R777" i="5" s="1"/>
  <c r="L828" i="5"/>
  <c r="K20" i="6"/>
  <c r="K102" i="4" s="1"/>
  <c r="I19" i="6"/>
  <c r="J19" i="6"/>
  <c r="K19" i="6"/>
  <c r="L19" i="6"/>
  <c r="N845" i="5"/>
  <c r="M19" i="6"/>
  <c r="O845" i="5"/>
  <c r="F862" i="5"/>
  <c r="P847" i="5"/>
  <c r="Q847" i="5" s="1"/>
  <c r="R847" i="5" s="1"/>
  <c r="E19" i="6"/>
  <c r="G862" i="5"/>
  <c r="F19" i="6"/>
  <c r="F100" i="4" s="1"/>
  <c r="H862" i="5"/>
  <c r="G19" i="6"/>
  <c r="G100" i="4" s="1"/>
  <c r="I862" i="5"/>
  <c r="H19" i="6"/>
  <c r="H100" i="4" s="1"/>
  <c r="J862" i="5"/>
  <c r="F896" i="5"/>
  <c r="P881" i="5"/>
  <c r="Q881" i="5" s="1"/>
  <c r="R881" i="5" s="1"/>
  <c r="I18" i="6"/>
  <c r="K913" i="5"/>
  <c r="P897" i="5"/>
  <c r="Q897" i="5" s="1"/>
  <c r="R897" i="5" s="1"/>
  <c r="K18" i="6"/>
  <c r="K99" i="4" s="1"/>
  <c r="M913" i="5"/>
  <c r="L18" i="6"/>
  <c r="N913" i="5"/>
  <c r="D21" i="6"/>
  <c r="F930" i="5"/>
  <c r="P917" i="5"/>
  <c r="Q917" i="5" s="1"/>
  <c r="R917" i="5" s="1"/>
  <c r="I21" i="6"/>
  <c r="K930" i="5"/>
  <c r="J21" i="6"/>
  <c r="L930" i="5"/>
  <c r="K21" i="6"/>
  <c r="M930" i="5"/>
  <c r="L21" i="6"/>
  <c r="N930" i="5"/>
  <c r="M21" i="6"/>
  <c r="O930" i="5"/>
  <c r="P1002" i="5"/>
  <c r="Q1002" i="5" s="1"/>
  <c r="R1002" i="5" s="1"/>
  <c r="P1016" i="5"/>
  <c r="F1050" i="5"/>
  <c r="P1035" i="5"/>
  <c r="Q1035" i="5" s="1"/>
  <c r="R1035" i="5" s="1"/>
  <c r="L31" i="6"/>
  <c r="L101" i="4" s="1"/>
  <c r="N1084" i="5"/>
  <c r="M31" i="6"/>
  <c r="M101" i="4" s="1"/>
  <c r="O1084" i="5"/>
  <c r="I30" i="6"/>
  <c r="K1101" i="5"/>
  <c r="J30" i="6"/>
  <c r="L1118" i="5"/>
  <c r="P1103" i="5"/>
  <c r="Q1103" i="5" s="1"/>
  <c r="R1103" i="5" s="1"/>
  <c r="K30" i="6"/>
  <c r="M1118" i="5"/>
  <c r="L30" i="6"/>
  <c r="N1118" i="5"/>
  <c r="M30" i="6"/>
  <c r="O1118" i="5"/>
  <c r="L29" i="6"/>
  <c r="N1135" i="5"/>
  <c r="F41" i="6"/>
  <c r="H1169" i="5"/>
  <c r="K1169" i="5"/>
  <c r="L1169" i="5"/>
  <c r="O1169" i="5"/>
  <c r="F1237" i="5"/>
  <c r="K1254" i="5"/>
  <c r="P1240" i="5"/>
  <c r="Q1240" i="5" s="1"/>
  <c r="R1240" i="5" s="1"/>
  <c r="P1514" i="5"/>
  <c r="Q1514" i="5" s="1"/>
  <c r="R1514" i="5" s="1"/>
  <c r="P1516" i="5"/>
  <c r="Q1516" i="5" s="1"/>
  <c r="R1516" i="5" s="1"/>
  <c r="P1533" i="5"/>
  <c r="Q1533" i="5" s="1"/>
  <c r="R1533" i="5" s="1"/>
  <c r="P1596" i="5"/>
  <c r="Q1596" i="5" s="1"/>
  <c r="R1596" i="5" s="1"/>
  <c r="D65" i="6"/>
  <c r="F1646" i="5"/>
  <c r="P1633" i="5"/>
  <c r="Q1633" i="5" s="1"/>
  <c r="R1633" i="5" s="1"/>
  <c r="F1665" i="5"/>
  <c r="P1650" i="5"/>
  <c r="Q1650" i="5" s="1"/>
  <c r="R1650" i="5" s="1"/>
  <c r="E65" i="6"/>
  <c r="G1665" i="5"/>
  <c r="P1669" i="5"/>
  <c r="L65" i="6"/>
  <c r="N1682" i="5"/>
  <c r="M65" i="6"/>
  <c r="O1682" i="5"/>
  <c r="D62" i="6"/>
  <c r="P1683" i="5"/>
  <c r="Q1683" i="5" s="1"/>
  <c r="R1683" i="5" s="1"/>
  <c r="E62" i="6"/>
  <c r="F62" i="6"/>
  <c r="G62" i="6"/>
  <c r="H62" i="6"/>
  <c r="I62" i="6"/>
  <c r="K1699" i="5"/>
  <c r="J62" i="6"/>
  <c r="L1699" i="5"/>
  <c r="K62" i="6"/>
  <c r="M1699" i="5"/>
  <c r="L62" i="6"/>
  <c r="N1699" i="5"/>
  <c r="M62" i="6"/>
  <c r="O1699" i="5"/>
  <c r="J1716" i="5"/>
  <c r="P1700" i="5"/>
  <c r="Q1700" i="5" s="1"/>
  <c r="R1700" i="5" s="1"/>
  <c r="D63" i="6"/>
  <c r="P1718" i="5"/>
  <c r="Q1718" i="5" s="1"/>
  <c r="R1718" i="5" s="1"/>
  <c r="P1748" i="5"/>
  <c r="Q1748" i="5" s="1"/>
  <c r="R1748" i="5" s="1"/>
  <c r="P1768" i="5"/>
  <c r="Q1768" i="5" s="1"/>
  <c r="R1768" i="5" s="1"/>
  <c r="F1801" i="5"/>
  <c r="P1790" i="5"/>
  <c r="Q1790" i="5" s="1"/>
  <c r="R1790" i="5" s="1"/>
  <c r="K1852" i="5"/>
  <c r="F1956" i="5"/>
  <c r="P1944" i="5"/>
  <c r="Q1944" i="5" s="1"/>
  <c r="R1944" i="5" s="1"/>
  <c r="F1992" i="5"/>
  <c r="P1977" i="5"/>
  <c r="Q1977" i="5" s="1"/>
  <c r="R1977" i="5" s="1"/>
  <c r="I80" i="6"/>
  <c r="I177" i="4" s="1"/>
  <c r="K2094" i="5"/>
  <c r="P2091" i="5"/>
  <c r="Q2091" i="5" s="1"/>
  <c r="R2091" i="5" s="1"/>
  <c r="J80" i="6"/>
  <c r="J177" i="4" s="1"/>
  <c r="J73" i="6"/>
  <c r="J169" i="4" s="1"/>
  <c r="L2094" i="5"/>
  <c r="K80" i="6"/>
  <c r="K177" i="4" s="1"/>
  <c r="L80" i="6"/>
  <c r="L177" i="4" s="1"/>
  <c r="M80" i="6"/>
  <c r="M177" i="4" s="1"/>
  <c r="O2094" i="5"/>
  <c r="I75" i="6"/>
  <c r="I172" i="4" s="1"/>
  <c r="I78" i="6"/>
  <c r="I175" i="4" s="1"/>
  <c r="P2101" i="5"/>
  <c r="Q2101" i="5" s="1"/>
  <c r="R2101" i="5" s="1"/>
  <c r="M2128" i="5"/>
  <c r="P2113" i="5"/>
  <c r="Q2113" i="5" s="1"/>
  <c r="R2113" i="5" s="1"/>
  <c r="L74" i="6"/>
  <c r="L171" i="4" s="1"/>
  <c r="N2128" i="5"/>
  <c r="M74" i="6"/>
  <c r="M171" i="4" s="1"/>
  <c r="O2128" i="5"/>
  <c r="D76" i="6"/>
  <c r="F2128" i="5"/>
  <c r="P2115" i="5"/>
  <c r="Q2115" i="5" s="1"/>
  <c r="R2115" i="5" s="1"/>
  <c r="E73" i="6"/>
  <c r="F73" i="6"/>
  <c r="F169" i="4" s="1"/>
  <c r="H2145" i="5"/>
  <c r="G73" i="6"/>
  <c r="I2145" i="5"/>
  <c r="H73" i="6"/>
  <c r="H169" i="4" s="1"/>
  <c r="J2145" i="5"/>
  <c r="I73" i="6"/>
  <c r="I169" i="4" s="1"/>
  <c r="K2145" i="5"/>
  <c r="L2145" i="5"/>
  <c r="K73" i="6"/>
  <c r="K169" i="4" s="1"/>
  <c r="M2145" i="5"/>
  <c r="L73" i="6"/>
  <c r="N2145" i="5"/>
  <c r="M73" i="6"/>
  <c r="M169" i="4" s="1"/>
  <c r="O2145" i="5"/>
  <c r="P2130" i="5"/>
  <c r="Q2130" i="5" s="1"/>
  <c r="R2130" i="5" s="1"/>
  <c r="F2162" i="5"/>
  <c r="E74" i="6"/>
  <c r="F107" i="6"/>
  <c r="H2162" i="5"/>
  <c r="F2197" i="5"/>
  <c r="F2214" i="5"/>
  <c r="P2200" i="5"/>
  <c r="Q2200" i="5" s="1"/>
  <c r="R2200" i="5" s="1"/>
  <c r="F2231" i="5"/>
  <c r="P2217" i="5"/>
  <c r="Q2217" i="5" s="1"/>
  <c r="R2217" i="5" s="1"/>
  <c r="N2265" i="5"/>
  <c r="J84" i="6"/>
  <c r="L84" i="6"/>
  <c r="E88" i="6"/>
  <c r="G2282" i="5"/>
  <c r="F88" i="6"/>
  <c r="H2282" i="5"/>
  <c r="G88" i="6"/>
  <c r="I2282" i="5"/>
  <c r="H88" i="6"/>
  <c r="H207" i="4" s="1"/>
  <c r="J2282" i="5"/>
  <c r="K2282" i="5"/>
  <c r="M2282" i="5"/>
  <c r="P2303" i="5"/>
  <c r="Q2303" i="5" s="1"/>
  <c r="R2303" i="5" s="1"/>
  <c r="K2316" i="5"/>
  <c r="L2316" i="5"/>
  <c r="M2316" i="5"/>
  <c r="N2316" i="5"/>
  <c r="O2316" i="5"/>
  <c r="E2350" i="5"/>
  <c r="D101" i="6"/>
  <c r="F2350" i="5"/>
  <c r="P2346" i="5"/>
  <c r="Q2346" i="5" s="1"/>
  <c r="R2346" i="5" s="1"/>
  <c r="E101" i="6"/>
  <c r="G2350" i="5"/>
  <c r="F101" i="6"/>
  <c r="H2350" i="5"/>
  <c r="G101" i="6"/>
  <c r="I2350" i="5"/>
  <c r="H101" i="6"/>
  <c r="J2350" i="5"/>
  <c r="J95" i="6"/>
  <c r="L2367" i="5"/>
  <c r="P2351" i="5"/>
  <c r="Q2351" i="5" s="1"/>
  <c r="R2351" i="5" s="1"/>
  <c r="I99" i="6"/>
  <c r="K2367" i="5"/>
  <c r="P2356" i="5"/>
  <c r="Q2356" i="5" s="1"/>
  <c r="R2356" i="5" s="1"/>
  <c r="K99" i="6"/>
  <c r="M2367" i="5"/>
  <c r="P2371" i="5"/>
  <c r="Q2371" i="5" s="1"/>
  <c r="R2371" i="5" s="1"/>
  <c r="P2380" i="5"/>
  <c r="Q2380" i="5" s="1"/>
  <c r="R2380" i="5" s="1"/>
  <c r="J101" i="6"/>
  <c r="K101" i="6"/>
  <c r="D109" i="6"/>
  <c r="P2388" i="5"/>
  <c r="Q2388" i="5" s="1"/>
  <c r="R2388" i="5" s="1"/>
  <c r="E109" i="6"/>
  <c r="M109" i="6"/>
  <c r="O2401" i="5"/>
  <c r="F112" i="6"/>
  <c r="M2401" i="5"/>
  <c r="G109" i="6"/>
  <c r="K109" i="6"/>
  <c r="L109" i="6"/>
  <c r="N2418" i="5"/>
  <c r="P2419" i="5"/>
  <c r="Q2419" i="5" s="1"/>
  <c r="R2419" i="5" s="1"/>
  <c r="I106" i="6"/>
  <c r="K2452" i="5"/>
  <c r="J106" i="6"/>
  <c r="L2452" i="5"/>
  <c r="L106" i="6"/>
  <c r="F2469" i="5"/>
  <c r="D107" i="6"/>
  <c r="D204" i="4" s="1"/>
  <c r="E107" i="6"/>
  <c r="E204" i="4" s="1"/>
  <c r="N2486" i="5"/>
  <c r="D111" i="6"/>
  <c r="I111" i="6"/>
  <c r="F2605" i="5"/>
  <c r="P2589" i="5"/>
  <c r="Q2589" i="5" s="1"/>
  <c r="R2589" i="5" s="1"/>
  <c r="F2622" i="5"/>
  <c r="P2606" i="5"/>
  <c r="Q2606" i="5" s="1"/>
  <c r="R2606" i="5" s="1"/>
  <c r="J2622" i="5"/>
  <c r="P2609" i="5"/>
  <c r="Q2609" i="5" s="1"/>
  <c r="R2609" i="5" s="1"/>
  <c r="P2692" i="5"/>
  <c r="Q2692" i="5" s="1"/>
  <c r="R2692" i="5" s="1"/>
  <c r="P2709" i="5"/>
  <c r="P2715" i="5"/>
  <c r="Q2715" i="5" s="1"/>
  <c r="R2715" i="5" s="1"/>
  <c r="E2741" i="5"/>
  <c r="I131" i="6"/>
  <c r="K2826" i="5"/>
  <c r="P2813" i="5"/>
  <c r="Q2813" i="5" s="1"/>
  <c r="R2813" i="5" s="1"/>
  <c r="J131" i="6"/>
  <c r="L2826" i="5"/>
  <c r="K131" i="6"/>
  <c r="M2826" i="5"/>
  <c r="L131" i="6"/>
  <c r="N2826" i="5"/>
  <c r="K128" i="6"/>
  <c r="M2996" i="5"/>
  <c r="P2980" i="5"/>
  <c r="Q2980" i="5" s="1"/>
  <c r="R2980" i="5" s="1"/>
  <c r="L128" i="6"/>
  <c r="N2996" i="5"/>
  <c r="L140" i="6"/>
  <c r="N3013" i="5"/>
  <c r="P2998" i="5"/>
  <c r="Q2998" i="5" s="1"/>
  <c r="R2998" i="5" s="1"/>
  <c r="M140" i="6"/>
  <c r="O3013" i="5"/>
  <c r="N3030" i="5"/>
  <c r="P3015" i="5"/>
  <c r="Q3015" i="5" s="1"/>
  <c r="R3015" i="5" s="1"/>
  <c r="N3047" i="5"/>
  <c r="P3032" i="5"/>
  <c r="Q3032" i="5" s="1"/>
  <c r="R3032" i="5" s="1"/>
  <c r="N3064" i="5"/>
  <c r="P3049" i="5"/>
  <c r="Q3049" i="5" s="1"/>
  <c r="R3049" i="5" s="1"/>
  <c r="J140" i="6"/>
  <c r="L3081" i="5"/>
  <c r="P3066" i="5"/>
  <c r="Q3066" i="5" s="1"/>
  <c r="R3066" i="5" s="1"/>
  <c r="E150" i="6"/>
  <c r="P3201" i="5"/>
  <c r="Q3201" i="5" s="1"/>
  <c r="R3201" i="5" s="1"/>
  <c r="D151" i="6"/>
  <c r="P3202" i="5"/>
  <c r="Q3202" i="5" s="1"/>
  <c r="R3202" i="5" s="1"/>
  <c r="F151" i="6"/>
  <c r="G151" i="6"/>
  <c r="H151" i="6"/>
  <c r="P3257" i="5"/>
  <c r="Q3257" i="5" s="1"/>
  <c r="R3257" i="5" s="1"/>
  <c r="F3319" i="5"/>
  <c r="P3308" i="5"/>
  <c r="Q3308" i="5" s="1"/>
  <c r="R3308" i="5" s="1"/>
  <c r="K3353" i="5"/>
  <c r="P3338" i="5"/>
  <c r="Q3338" i="5" s="1"/>
  <c r="R3338" i="5" s="1"/>
  <c r="K3370" i="5"/>
  <c r="P3355" i="5"/>
  <c r="Q3355" i="5" s="1"/>
  <c r="R3355" i="5" s="1"/>
  <c r="D36" i="7"/>
  <c r="N36" i="7"/>
  <c r="N22" i="7"/>
  <c r="O22" i="7"/>
  <c r="P22" i="7"/>
  <c r="O36" i="7"/>
  <c r="P36" i="7"/>
  <c r="F53" i="7"/>
  <c r="N39" i="7"/>
  <c r="O39" i="7"/>
  <c r="P39" i="7"/>
  <c r="D53" i="7"/>
  <c r="N53" i="7"/>
  <c r="N43" i="7"/>
  <c r="O43" i="7"/>
  <c r="P43" i="7"/>
  <c r="O53" i="7"/>
  <c r="P53" i="7"/>
  <c r="D70" i="7"/>
  <c r="N70" i="7"/>
  <c r="N55" i="7"/>
  <c r="O55" i="7"/>
  <c r="P55" i="7"/>
  <c r="O70" i="7"/>
  <c r="P70" i="7"/>
  <c r="D87" i="7"/>
  <c r="N87" i="7"/>
  <c r="N71" i="7"/>
  <c r="O71" i="7"/>
  <c r="P71" i="7"/>
  <c r="O87" i="7"/>
  <c r="P87" i="7"/>
  <c r="D104" i="7"/>
  <c r="N104" i="7"/>
  <c r="N89" i="7"/>
  <c r="O89" i="7"/>
  <c r="P89" i="7"/>
  <c r="O104" i="7"/>
  <c r="P104" i="7"/>
  <c r="G127" i="6"/>
  <c r="G215" i="4"/>
  <c r="P2726" i="5"/>
  <c r="Q2726" i="5" s="1"/>
  <c r="R2726" i="5" s="1"/>
  <c r="E215" i="4"/>
  <c r="F2333" i="5"/>
  <c r="D98" i="6"/>
  <c r="D206" i="4" s="1"/>
  <c r="G2333" i="5"/>
  <c r="E98" i="6"/>
  <c r="H2333" i="5"/>
  <c r="F98" i="6"/>
  <c r="I2333" i="5"/>
  <c r="G98" i="6"/>
  <c r="J2333" i="5"/>
  <c r="H98" i="6"/>
  <c r="O2333" i="5"/>
  <c r="L169" i="4"/>
  <c r="I32" i="6"/>
  <c r="P1139" i="5"/>
  <c r="J32" i="6"/>
  <c r="K32" i="6"/>
  <c r="M1152" i="5"/>
  <c r="L32" i="6"/>
  <c r="N1152" i="5"/>
  <c r="M32" i="6"/>
  <c r="M2350" i="5"/>
  <c r="K98" i="6"/>
  <c r="N2350" i="5"/>
  <c r="L98" i="6"/>
  <c r="N86" i="4"/>
  <c r="N85" i="4"/>
  <c r="H75" i="6" l="1"/>
  <c r="H172" i="4" s="1"/>
  <c r="L981" i="5"/>
  <c r="E640" i="5"/>
  <c r="N212" i="5"/>
  <c r="K19" i="4"/>
  <c r="O725" i="5"/>
  <c r="L1186" i="5"/>
  <c r="F104" i="4"/>
  <c r="C105" i="4"/>
  <c r="E88" i="4"/>
  <c r="E98" i="4" s="1"/>
  <c r="J75" i="6"/>
  <c r="J172" i="4" s="1"/>
  <c r="F17" i="6"/>
  <c r="F82" i="4"/>
  <c r="M12" i="6"/>
  <c r="I123" i="4"/>
  <c r="H640" i="5"/>
  <c r="F76" i="4"/>
  <c r="I112" i="6"/>
  <c r="P2061" i="5"/>
  <c r="Q2061" i="5" s="1"/>
  <c r="R2061" i="5" s="1"/>
  <c r="F947" i="5"/>
  <c r="P168" i="5"/>
  <c r="Q168" i="5" s="1"/>
  <c r="R168" i="5" s="1"/>
  <c r="G126" i="4"/>
  <c r="M742" i="5"/>
  <c r="H776" i="5"/>
  <c r="J2486" i="5"/>
  <c r="F88" i="4"/>
  <c r="F98" i="4" s="1"/>
  <c r="J776" i="5"/>
  <c r="H89" i="4"/>
  <c r="H98" i="4" s="1"/>
  <c r="E12" i="6"/>
  <c r="E82" i="4" s="1"/>
  <c r="N725" i="5"/>
  <c r="F1784" i="5"/>
  <c r="G178" i="5"/>
  <c r="P178" i="5" s="1"/>
  <c r="Q178" i="5" s="1"/>
  <c r="R178" i="5" s="1"/>
  <c r="E1975" i="5"/>
  <c r="C174" i="4"/>
  <c r="D98" i="4"/>
  <c r="L207" i="4"/>
  <c r="M640" i="5"/>
  <c r="J31" i="6"/>
  <c r="J101" i="4" s="1"/>
  <c r="C76" i="4"/>
  <c r="C22" i="3" s="1"/>
  <c r="O1975" i="5"/>
  <c r="M174" i="4"/>
  <c r="L139" i="4"/>
  <c r="L246" i="5"/>
  <c r="O280" i="5"/>
  <c r="M981" i="5"/>
  <c r="H1237" i="5"/>
  <c r="I725" i="5"/>
  <c r="G88" i="4"/>
  <c r="G98" i="4" s="1"/>
  <c r="K742" i="5"/>
  <c r="I88" i="4"/>
  <c r="I98" i="4" s="1"/>
  <c r="L16" i="3"/>
  <c r="F105" i="4"/>
  <c r="G99" i="4"/>
  <c r="D19" i="6"/>
  <c r="I246" i="5"/>
  <c r="D99" i="4"/>
  <c r="C203" i="4"/>
  <c r="H208" i="4"/>
  <c r="J13" i="3"/>
  <c r="C50" i="4"/>
  <c r="G111" i="4"/>
  <c r="G121" i="4" s="1"/>
  <c r="O2469" i="5"/>
  <c r="M29" i="6"/>
  <c r="M39" i="6" s="1"/>
  <c r="H123" i="4"/>
  <c r="K147" i="4"/>
  <c r="O86" i="4"/>
  <c r="P86" i="4" s="1"/>
  <c r="I203" i="4"/>
  <c r="I35" i="3" s="1"/>
  <c r="J1169" i="5"/>
  <c r="D94" i="6"/>
  <c r="D149" i="6"/>
  <c r="G105" i="4"/>
  <c r="J2452" i="5"/>
  <c r="K23" i="6"/>
  <c r="K105" i="4" s="1"/>
  <c r="H981" i="5"/>
  <c r="E105" i="4"/>
  <c r="P692" i="5"/>
  <c r="Q692" i="5" s="1"/>
  <c r="R692" i="5" s="1"/>
  <c r="P712" i="5"/>
  <c r="Q712" i="5" s="1"/>
  <c r="R712" i="5" s="1"/>
  <c r="K75" i="6"/>
  <c r="K172" i="4" s="1"/>
  <c r="P1957" i="5"/>
  <c r="Q1957" i="5" s="1"/>
  <c r="R1957" i="5" s="1"/>
  <c r="L107" i="6"/>
  <c r="L204" i="4" s="1"/>
  <c r="H12" i="6"/>
  <c r="H82" i="4" s="1"/>
  <c r="P2543" i="5"/>
  <c r="Q2543" i="5" s="1"/>
  <c r="R2543" i="5" s="1"/>
  <c r="I41" i="6"/>
  <c r="I50" i="6" s="1"/>
  <c r="J981" i="5"/>
  <c r="K104" i="4"/>
  <c r="K28" i="3" s="1"/>
  <c r="M2486" i="5"/>
  <c r="K828" i="5"/>
  <c r="F486" i="5"/>
  <c r="H845" i="5"/>
  <c r="L1784" i="5"/>
  <c r="E106" i="4"/>
  <c r="M106" i="4"/>
  <c r="M30" i="3" s="1"/>
  <c r="J107" i="4"/>
  <c r="F776" i="5"/>
  <c r="H2418" i="5"/>
  <c r="P2418" i="5" s="1"/>
  <c r="Q2418" i="5" s="1"/>
  <c r="R2418" i="5" s="1"/>
  <c r="P2271" i="5"/>
  <c r="Q2271" i="5" s="1"/>
  <c r="R2271" i="5" s="1"/>
  <c r="J123" i="4"/>
  <c r="C104" i="4"/>
  <c r="M111" i="4"/>
  <c r="M121" i="4" s="1"/>
  <c r="K22" i="3"/>
  <c r="L280" i="5"/>
  <c r="G708" i="5"/>
  <c r="I845" i="5"/>
  <c r="F99" i="4"/>
  <c r="E29" i="6"/>
  <c r="E99" i="4" s="1"/>
  <c r="M2094" i="5"/>
  <c r="F725" i="5"/>
  <c r="L1272" i="5"/>
  <c r="K12" i="6"/>
  <c r="O2486" i="5"/>
  <c r="M2452" i="5"/>
  <c r="F2452" i="5"/>
  <c r="I98" i="6"/>
  <c r="I206" i="4" s="1"/>
  <c r="L2111" i="5"/>
  <c r="F1852" i="5"/>
  <c r="K1084" i="5"/>
  <c r="D100" i="4"/>
  <c r="H12" i="4"/>
  <c r="H12" i="3" s="1"/>
  <c r="I19" i="4"/>
  <c r="I28" i="4" s="1"/>
  <c r="L105" i="4"/>
  <c r="J1220" i="5"/>
  <c r="M1272" i="5"/>
  <c r="O2435" i="5"/>
  <c r="P2758" i="5"/>
  <c r="Q2758" i="5" s="1"/>
  <c r="R2758" i="5" s="1"/>
  <c r="I2162" i="5"/>
  <c r="E1135" i="5"/>
  <c r="L12" i="4"/>
  <c r="L17" i="4" s="1"/>
  <c r="E111" i="4"/>
  <c r="E121" i="4" s="1"/>
  <c r="G280" i="5"/>
  <c r="H112" i="6"/>
  <c r="H209" i="4" s="1"/>
  <c r="H43" i="3" s="1"/>
  <c r="F624" i="5"/>
  <c r="D76" i="4" s="1"/>
  <c r="L12" i="6"/>
  <c r="L82" i="4" s="1"/>
  <c r="G107" i="6"/>
  <c r="G204" i="4" s="1"/>
  <c r="F111" i="4"/>
  <c r="F121" i="4" s="1"/>
  <c r="G246" i="5"/>
  <c r="H280" i="5"/>
  <c r="J624" i="5"/>
  <c r="H76" i="4" s="1"/>
  <c r="P2724" i="5"/>
  <c r="K981" i="5"/>
  <c r="I109" i="4"/>
  <c r="I33" i="3" s="1"/>
  <c r="G206" i="4"/>
  <c r="P2741" i="5"/>
  <c r="K280" i="5"/>
  <c r="I34" i="4"/>
  <c r="O78" i="4"/>
  <c r="P78" i="4" s="1"/>
  <c r="C98" i="6"/>
  <c r="C206" i="4" s="1"/>
  <c r="C40" i="3" s="1"/>
  <c r="O981" i="5"/>
  <c r="M109" i="4"/>
  <c r="M33" i="3" s="1"/>
  <c r="N981" i="5"/>
  <c r="L109" i="4"/>
  <c r="L33" i="3" s="1"/>
  <c r="L19" i="2" s="1"/>
  <c r="L19" i="1" s="1"/>
  <c r="K246" i="5"/>
  <c r="I30" i="4"/>
  <c r="I8" i="3" s="1"/>
  <c r="M280" i="5"/>
  <c r="K34" i="4"/>
  <c r="K39" i="4" s="1"/>
  <c r="E206" i="4"/>
  <c r="H104" i="4"/>
  <c r="G123" i="4"/>
  <c r="G133" i="4" s="1"/>
  <c r="J106" i="4"/>
  <c r="J30" i="3" s="1"/>
  <c r="G107" i="4"/>
  <c r="G31" i="3" s="1"/>
  <c r="G17" i="2" s="1"/>
  <c r="G17" i="1" s="1"/>
  <c r="P297" i="5"/>
  <c r="Q297" i="5" s="1"/>
  <c r="R297" i="5" s="1"/>
  <c r="G624" i="5"/>
  <c r="E76" i="4" s="1"/>
  <c r="I624" i="5"/>
  <c r="G76" i="4" s="1"/>
  <c r="D104" i="4"/>
  <c r="L104" i="4"/>
  <c r="C209" i="4"/>
  <c r="K209" i="4"/>
  <c r="K43" i="3" s="1"/>
  <c r="H127" i="6"/>
  <c r="F206" i="4"/>
  <c r="L100" i="4"/>
  <c r="G104" i="4"/>
  <c r="G28" i="3" s="1"/>
  <c r="C207" i="4"/>
  <c r="C41" i="3" s="1"/>
  <c r="I106" i="4"/>
  <c r="F107" i="4"/>
  <c r="F31" i="3" s="1"/>
  <c r="D207" i="4"/>
  <c r="D41" i="3" s="1"/>
  <c r="L206" i="4"/>
  <c r="L40" i="3" s="1"/>
  <c r="M149" i="6"/>
  <c r="H203" i="4"/>
  <c r="H35" i="3" s="1"/>
  <c r="E207" i="4"/>
  <c r="E41" i="3" s="1"/>
  <c r="D13" i="3"/>
  <c r="L13" i="3"/>
  <c r="E104" i="4"/>
  <c r="E28" i="3" s="1"/>
  <c r="M104" i="4"/>
  <c r="F106" i="4"/>
  <c r="F30" i="3" s="1"/>
  <c r="C107" i="4"/>
  <c r="K107" i="4"/>
  <c r="K31" i="3" s="1"/>
  <c r="G208" i="4"/>
  <c r="G42" i="3" s="1"/>
  <c r="L209" i="4"/>
  <c r="L43" i="3" s="1"/>
  <c r="L99" i="4"/>
  <c r="L18" i="3" s="1"/>
  <c r="K100" i="4"/>
  <c r="C14" i="8"/>
  <c r="C18" i="8" s="1"/>
  <c r="G106" i="4"/>
  <c r="D107" i="4"/>
  <c r="L107" i="4"/>
  <c r="E209" i="4"/>
  <c r="M209" i="4"/>
  <c r="M43" i="3" s="1"/>
  <c r="F208" i="4"/>
  <c r="F42" i="3" s="1"/>
  <c r="J100" i="4"/>
  <c r="J23" i="3" s="1"/>
  <c r="C11" i="3"/>
  <c r="H99" i="4"/>
  <c r="I208" i="4"/>
  <c r="F209" i="4"/>
  <c r="K206" i="4"/>
  <c r="K40" i="3" s="1"/>
  <c r="G207" i="4"/>
  <c r="J99" i="4"/>
  <c r="J208" i="4"/>
  <c r="J42" i="3" s="1"/>
  <c r="G209" i="4"/>
  <c r="G43" i="3" s="1"/>
  <c r="D219" i="4"/>
  <c r="N219" i="4" s="1"/>
  <c r="O219" i="4" s="1"/>
  <c r="N122" i="6"/>
  <c r="I105" i="4"/>
  <c r="I94" i="6"/>
  <c r="I207" i="4"/>
  <c r="I41" i="3" s="1"/>
  <c r="I100" i="4"/>
  <c r="M15" i="3"/>
  <c r="M99" i="4"/>
  <c r="C208" i="4"/>
  <c r="C42" i="3" s="1"/>
  <c r="K207" i="4"/>
  <c r="K41" i="3" s="1"/>
  <c r="F207" i="4"/>
  <c r="M100" i="4"/>
  <c r="F15" i="3"/>
  <c r="J16" i="3"/>
  <c r="C100" i="4"/>
  <c r="C23" i="3" s="1"/>
  <c r="D208" i="4"/>
  <c r="L208" i="4"/>
  <c r="L42" i="3" s="1"/>
  <c r="I209" i="4"/>
  <c r="F204" i="4"/>
  <c r="F36" i="3" s="1"/>
  <c r="E208" i="4"/>
  <c r="E42" i="3" s="1"/>
  <c r="M208" i="4"/>
  <c r="M42" i="3" s="1"/>
  <c r="N118" i="6"/>
  <c r="M207" i="4"/>
  <c r="M41" i="3" s="1"/>
  <c r="K138" i="6"/>
  <c r="D16" i="3"/>
  <c r="J39" i="4"/>
  <c r="J45" i="3"/>
  <c r="G46" i="3"/>
  <c r="C50" i="6"/>
  <c r="P2077" i="5"/>
  <c r="Q2077" i="5" s="1"/>
  <c r="R2077" i="5" s="1"/>
  <c r="Q2337" i="5"/>
  <c r="R2337" i="5" s="1"/>
  <c r="J8" i="3"/>
  <c r="F203" i="4"/>
  <c r="F35" i="3" s="1"/>
  <c r="M107" i="6"/>
  <c r="M204" i="4" s="1"/>
  <c r="M36" i="3" s="1"/>
  <c r="J36" i="3"/>
  <c r="L41" i="6"/>
  <c r="C161" i="4"/>
  <c r="C168" i="4" s="1"/>
  <c r="F1084" i="5"/>
  <c r="G1852" i="5"/>
  <c r="I1975" i="5"/>
  <c r="P2436" i="5"/>
  <c r="Q2436" i="5" s="1"/>
  <c r="R2436" i="5" s="1"/>
  <c r="E41" i="6"/>
  <c r="L149" i="6"/>
  <c r="L2486" i="5"/>
  <c r="M8" i="3"/>
  <c r="J28" i="4"/>
  <c r="M16" i="3"/>
  <c r="J111" i="4"/>
  <c r="O2350" i="5"/>
  <c r="P2350" i="5" s="1"/>
  <c r="Q2350" i="5" s="1"/>
  <c r="R2350" i="5" s="1"/>
  <c r="C65" i="6"/>
  <c r="H2452" i="5"/>
  <c r="K74" i="6"/>
  <c r="K171" i="4" s="1"/>
  <c r="F12" i="4"/>
  <c r="F12" i="3" s="1"/>
  <c r="L229" i="5"/>
  <c r="C94" i="6"/>
  <c r="M98" i="6"/>
  <c r="K2418" i="5"/>
  <c r="K845" i="5"/>
  <c r="M72" i="4"/>
  <c r="M32" i="3" s="1"/>
  <c r="M147" i="4"/>
  <c r="N147" i="4" s="1"/>
  <c r="O147" i="4" s="1"/>
  <c r="P147" i="4" s="1"/>
  <c r="K1237" i="5"/>
  <c r="J88" i="6"/>
  <c r="J94" i="6" s="1"/>
  <c r="N2452" i="5"/>
  <c r="N62" i="6"/>
  <c r="O62" i="6" s="1"/>
  <c r="P62" i="6" s="1"/>
  <c r="C16" i="3"/>
  <c r="L25" i="3"/>
  <c r="L11" i="2" s="1"/>
  <c r="L10" i="1" s="1"/>
  <c r="I1135" i="5"/>
  <c r="G1152" i="5"/>
  <c r="P1152" i="5" s="1"/>
  <c r="G12" i="4"/>
  <c r="G12" i="3" s="1"/>
  <c r="J138" i="6"/>
  <c r="H160" i="6"/>
  <c r="J203" i="4"/>
  <c r="J35" i="3" s="1"/>
  <c r="N828" i="5"/>
  <c r="M12" i="4"/>
  <c r="M12" i="3" s="1"/>
  <c r="E30" i="3"/>
  <c r="F828" i="5"/>
  <c r="P134" i="5"/>
  <c r="Q134" i="5" s="1"/>
  <c r="R134" i="5" s="1"/>
  <c r="Q1669" i="5"/>
  <c r="R1669" i="5" s="1"/>
  <c r="D25" i="3"/>
  <c r="D11" i="2" s="1"/>
  <c r="D10" i="1" s="1"/>
  <c r="C160" i="6"/>
  <c r="H725" i="5"/>
  <c r="D169" i="4"/>
  <c r="G160" i="6"/>
  <c r="I42" i="3"/>
  <c r="J109" i="6"/>
  <c r="G28" i="6"/>
  <c r="F16" i="3"/>
  <c r="G45" i="3"/>
  <c r="P418" i="5"/>
  <c r="Q418" i="5" s="1"/>
  <c r="R418" i="5" s="1"/>
  <c r="N115" i="4"/>
  <c r="O115" i="4" s="1"/>
  <c r="P115" i="4" s="1"/>
  <c r="L624" i="5"/>
  <c r="J76" i="4" s="1"/>
  <c r="L203" i="4"/>
  <c r="L35" i="3" s="1"/>
  <c r="N35" i="4"/>
  <c r="O35" i="4" s="1"/>
  <c r="P35" i="4" s="1"/>
  <c r="N70" i="4"/>
  <c r="O70" i="4" s="1"/>
  <c r="P70" i="4" s="1"/>
  <c r="C44" i="3"/>
  <c r="E127" i="6"/>
  <c r="P23" i="5"/>
  <c r="Q23" i="5" s="1"/>
  <c r="R23" i="5" s="1"/>
  <c r="F40" i="3"/>
  <c r="K72" i="6"/>
  <c r="P793" i="5"/>
  <c r="Q793" i="5" s="1"/>
  <c r="R793" i="5" s="1"/>
  <c r="M39" i="4"/>
  <c r="K94" i="6"/>
  <c r="N90" i="6"/>
  <c r="O90" i="6" s="1"/>
  <c r="P90" i="6" s="1"/>
  <c r="D138" i="6"/>
  <c r="C149" i="6"/>
  <c r="P1733" i="5"/>
  <c r="Q1733" i="5" s="1"/>
  <c r="R1733" i="5" s="1"/>
  <c r="N624" i="5"/>
  <c r="L76" i="4" s="1"/>
  <c r="K2162" i="5"/>
  <c r="P862" i="5"/>
  <c r="Q862" i="5" s="1"/>
  <c r="R862" i="5" s="1"/>
  <c r="K32" i="3"/>
  <c r="N146" i="4"/>
  <c r="O146" i="4" s="1"/>
  <c r="P146" i="4" s="1"/>
  <c r="K33" i="3"/>
  <c r="G191" i="4"/>
  <c r="K191" i="4"/>
  <c r="M45" i="3"/>
  <c r="N211" i="4"/>
  <c r="O211" i="4" s="1"/>
  <c r="P211" i="4" s="1"/>
  <c r="F46" i="3"/>
  <c r="P2009" i="5"/>
  <c r="Q2009" i="5" s="1"/>
  <c r="R2009" i="5" s="1"/>
  <c r="K127" i="6"/>
  <c r="O624" i="5"/>
  <c r="M76" i="4" s="1"/>
  <c r="J72" i="6"/>
  <c r="G41" i="6"/>
  <c r="G50" i="6" s="1"/>
  <c r="J12" i="4"/>
  <c r="J17" i="4" s="1"/>
  <c r="P161" i="5"/>
  <c r="Q161" i="5" s="1"/>
  <c r="R161" i="5" s="1"/>
  <c r="P896" i="5"/>
  <c r="Q896" i="5" s="1"/>
  <c r="R896" i="5" s="1"/>
  <c r="P3370" i="5"/>
  <c r="Q3370" i="5" s="1"/>
  <c r="R3370" i="5" s="1"/>
  <c r="C61" i="6"/>
  <c r="D61" i="6"/>
  <c r="E94" i="6"/>
  <c r="E27" i="3"/>
  <c r="F45" i="3"/>
  <c r="P3047" i="5"/>
  <c r="Q3047" i="5" s="1"/>
  <c r="R3047" i="5" s="1"/>
  <c r="P3081" i="5"/>
  <c r="Q3081" i="5" s="1"/>
  <c r="R3081" i="5" s="1"/>
  <c r="O2452" i="5"/>
  <c r="I2452" i="5"/>
  <c r="F50" i="6"/>
  <c r="P2707" i="5"/>
  <c r="Q2707" i="5" s="1"/>
  <c r="R2707" i="5" s="1"/>
  <c r="C17" i="6"/>
  <c r="L30" i="3"/>
  <c r="P212" i="5"/>
  <c r="Q212" i="5" s="1"/>
  <c r="R212" i="5" s="1"/>
  <c r="K13" i="3"/>
  <c r="P2266" i="5"/>
  <c r="Q2266" i="5" s="1"/>
  <c r="R2266" i="5" s="1"/>
  <c r="I45" i="3"/>
  <c r="D31" i="3"/>
  <c r="E220" i="4"/>
  <c r="E224" i="4" s="1"/>
  <c r="P75" i="5"/>
  <c r="Q75" i="5" s="1"/>
  <c r="R75" i="5" s="1"/>
  <c r="G1186" i="5"/>
  <c r="P3217" i="5"/>
  <c r="P3268" i="5"/>
  <c r="Q3268" i="5" s="1"/>
  <c r="R3268" i="5" s="1"/>
  <c r="J24" i="3"/>
  <c r="G75" i="6"/>
  <c r="G172" i="4" s="1"/>
  <c r="H72" i="6"/>
  <c r="J50" i="6"/>
  <c r="I28" i="6"/>
  <c r="P197" i="5"/>
  <c r="Q197" i="5" s="1"/>
  <c r="R197" i="5" s="1"/>
  <c r="J9" i="3"/>
  <c r="I13" i="3"/>
  <c r="K28" i="4"/>
  <c r="N27" i="4"/>
  <c r="O27" i="4" s="1"/>
  <c r="P27" i="4" s="1"/>
  <c r="F144" i="5"/>
  <c r="P144" i="5" s="1"/>
  <c r="Q144" i="5" s="1"/>
  <c r="R144" i="5" s="1"/>
  <c r="K947" i="5"/>
  <c r="P1682" i="5"/>
  <c r="Q1682" i="5" s="1"/>
  <c r="R1682" i="5" s="1"/>
  <c r="G1975" i="5"/>
  <c r="P2214" i="5"/>
  <c r="Q2214" i="5" s="1"/>
  <c r="R2214" i="5" s="1"/>
  <c r="L94" i="6"/>
  <c r="L2162" i="5"/>
  <c r="H19" i="4"/>
  <c r="H28" i="4" s="1"/>
  <c r="N225" i="4"/>
  <c r="O225" i="4" s="1"/>
  <c r="P225" i="4" s="1"/>
  <c r="G486" i="5"/>
  <c r="P1323" i="5"/>
  <c r="Q1323" i="5" s="1"/>
  <c r="R1323" i="5" s="1"/>
  <c r="P1527" i="5"/>
  <c r="Q1527" i="5" s="1"/>
  <c r="R1527" i="5" s="1"/>
  <c r="P1544" i="5"/>
  <c r="Q1544" i="5" s="1"/>
  <c r="R1544" i="5" s="1"/>
  <c r="J39" i="6"/>
  <c r="G106" i="6"/>
  <c r="G203" i="4" s="1"/>
  <c r="G35" i="3" s="1"/>
  <c r="P2397" i="5"/>
  <c r="Q2397" i="5" s="1"/>
  <c r="R2397" i="5" s="1"/>
  <c r="P1837" i="5"/>
  <c r="Q1837" i="5" s="1"/>
  <c r="R1837" i="5" s="1"/>
  <c r="I29" i="6"/>
  <c r="I99" i="4" s="1"/>
  <c r="M20" i="6"/>
  <c r="P503" i="5"/>
  <c r="Q503" i="5" s="1"/>
  <c r="R503" i="5" s="1"/>
  <c r="L15" i="3"/>
  <c r="H32" i="3"/>
  <c r="L32" i="3"/>
  <c r="J33" i="3"/>
  <c r="C19" i="3"/>
  <c r="P435" i="5"/>
  <c r="Q435" i="5" s="1"/>
  <c r="R435" i="5" s="1"/>
  <c r="C138" i="6"/>
  <c r="J149" i="6"/>
  <c r="F160" i="6"/>
  <c r="P92" i="5"/>
  <c r="Q92" i="5" s="1"/>
  <c r="R92" i="5" s="1"/>
  <c r="P109" i="5"/>
  <c r="Q109" i="5" s="1"/>
  <c r="R109" i="5" s="1"/>
  <c r="D72" i="6"/>
  <c r="L39" i="6"/>
  <c r="I138" i="6"/>
  <c r="P2405" i="5"/>
  <c r="Q2405" i="5" s="1"/>
  <c r="R2405" i="5" s="1"/>
  <c r="D112" i="6"/>
  <c r="D209" i="4" s="1"/>
  <c r="O2282" i="5"/>
  <c r="P2282" i="5" s="1"/>
  <c r="Q2282" i="5" s="1"/>
  <c r="R2282" i="5" s="1"/>
  <c r="H215" i="4"/>
  <c r="H224" i="4" s="1"/>
  <c r="P2129" i="5"/>
  <c r="Q2129" i="5" s="1"/>
  <c r="R2129" i="5" s="1"/>
  <c r="N13" i="4"/>
  <c r="O13" i="4" s="1"/>
  <c r="P13" i="4" s="1"/>
  <c r="G23" i="3"/>
  <c r="N93" i="4"/>
  <c r="O93" i="4" s="1"/>
  <c r="P93" i="4" s="1"/>
  <c r="J126" i="4"/>
  <c r="J133" i="4" s="1"/>
  <c r="C145" i="4"/>
  <c r="K18" i="3"/>
  <c r="D44" i="3"/>
  <c r="K44" i="3"/>
  <c r="N212" i="4"/>
  <c r="O212" i="4" s="1"/>
  <c r="P212" i="4" s="1"/>
  <c r="P2435" i="5"/>
  <c r="Q2435" i="5" s="1"/>
  <c r="R2435" i="5" s="1"/>
  <c r="N52" i="6"/>
  <c r="O52" i="6" s="1"/>
  <c r="P52" i="6" s="1"/>
  <c r="C72" i="6"/>
  <c r="N89" i="6"/>
  <c r="O89" i="6" s="1"/>
  <c r="P89" i="6" s="1"/>
  <c r="C35" i="3"/>
  <c r="M127" i="6"/>
  <c r="L27" i="3"/>
  <c r="G72" i="6"/>
  <c r="E160" i="6"/>
  <c r="N2401" i="5"/>
  <c r="F2145" i="5"/>
  <c r="P2145" i="5" s="1"/>
  <c r="Q2145" i="5" s="1"/>
  <c r="R2145" i="5" s="1"/>
  <c r="L845" i="5"/>
  <c r="H16" i="3"/>
  <c r="D191" i="4"/>
  <c r="C28" i="6"/>
  <c r="P2231" i="5"/>
  <c r="Q2231" i="5" s="1"/>
  <c r="R2231" i="5" s="1"/>
  <c r="L50" i="6"/>
  <c r="I1169" i="5"/>
  <c r="D19" i="4"/>
  <c r="N68" i="4"/>
  <c r="O68" i="4" s="1"/>
  <c r="P68" i="4" s="1"/>
  <c r="N71" i="4"/>
  <c r="O71" i="4" s="1"/>
  <c r="P71" i="4" s="1"/>
  <c r="C87" i="4"/>
  <c r="I139" i="4"/>
  <c r="I28" i="3" s="1"/>
  <c r="N179" i="4"/>
  <c r="O179" i="4" s="1"/>
  <c r="P179" i="4" s="1"/>
  <c r="F44" i="3"/>
  <c r="J23" i="6"/>
  <c r="J105" i="4" s="1"/>
  <c r="P2026" i="5"/>
  <c r="Q2026" i="5" s="1"/>
  <c r="R2026" i="5" s="1"/>
  <c r="P2367" i="5"/>
  <c r="Q2367" i="5" s="1"/>
  <c r="R2367" i="5" s="1"/>
  <c r="F171" i="4"/>
  <c r="F23" i="3" s="1"/>
  <c r="C118" i="6"/>
  <c r="C215" i="4" s="1"/>
  <c r="E2724" i="5"/>
  <c r="Q2724" i="5" s="1"/>
  <c r="R2724" i="5" s="1"/>
  <c r="Q2709" i="5"/>
  <c r="R2709" i="5" s="1"/>
  <c r="P3183" i="5"/>
  <c r="Q3183" i="5" s="1"/>
  <c r="R3183" i="5" s="1"/>
  <c r="Q3217" i="5"/>
  <c r="R3217" i="5" s="1"/>
  <c r="F220" i="4"/>
  <c r="F224" i="4" s="1"/>
  <c r="F127" i="6"/>
  <c r="N83" i="4"/>
  <c r="O83" i="4" s="1"/>
  <c r="P83" i="4" s="1"/>
  <c r="N13" i="6"/>
  <c r="O13" i="6" s="1"/>
  <c r="P13" i="6" s="1"/>
  <c r="G94" i="6"/>
  <c r="G41" i="3"/>
  <c r="C32" i="6"/>
  <c r="C39" i="6" s="1"/>
  <c r="E1152" i="5"/>
  <c r="Q1139" i="5"/>
  <c r="R1139" i="5" s="1"/>
  <c r="K657" i="5"/>
  <c r="P657" i="5" s="1"/>
  <c r="Q657" i="5" s="1"/>
  <c r="R657" i="5" s="1"/>
  <c r="I12" i="6"/>
  <c r="I82" i="4" s="1"/>
  <c r="D40" i="3"/>
  <c r="L12" i="3"/>
  <c r="L28" i="4"/>
  <c r="F40" i="5"/>
  <c r="P30" i="5"/>
  <c r="Q30" i="5" s="1"/>
  <c r="R30" i="5" s="1"/>
  <c r="I40" i="3"/>
  <c r="I105" i="6"/>
  <c r="N35" i="6"/>
  <c r="D39" i="6"/>
  <c r="C83" i="6"/>
  <c r="C169" i="4"/>
  <c r="C180" i="4" s="1"/>
  <c r="N78" i="6"/>
  <c r="O78" i="6" s="1"/>
  <c r="P78" i="6" s="1"/>
  <c r="F175" i="4"/>
  <c r="N175" i="4" s="1"/>
  <c r="O175" i="4" s="1"/>
  <c r="P175" i="4" s="1"/>
  <c r="N178" i="4"/>
  <c r="O178" i="4" s="1"/>
  <c r="P178" i="4" s="1"/>
  <c r="N21" i="6"/>
  <c r="O21" i="6" s="1"/>
  <c r="P21" i="6" s="1"/>
  <c r="F22" i="3"/>
  <c r="P1119" i="5"/>
  <c r="Q1119" i="5" s="1"/>
  <c r="R1119" i="5" s="1"/>
  <c r="H1135" i="5"/>
  <c r="P1135" i="5" s="1"/>
  <c r="Q1135" i="5" s="1"/>
  <c r="R1135" i="5" s="1"/>
  <c r="E30" i="6"/>
  <c r="E100" i="4" s="1"/>
  <c r="P1086" i="5"/>
  <c r="Q1086" i="5" s="1"/>
  <c r="R1086" i="5" s="1"/>
  <c r="G1101" i="5"/>
  <c r="P1101" i="5" s="1"/>
  <c r="Q1101" i="5" s="1"/>
  <c r="R1101" i="5" s="1"/>
  <c r="P1070" i="5"/>
  <c r="Q1070" i="5" s="1"/>
  <c r="R1070" i="5" s="1"/>
  <c r="M1084" i="5"/>
  <c r="K31" i="6"/>
  <c r="L2401" i="5"/>
  <c r="J112" i="6"/>
  <c r="J209" i="4" s="1"/>
  <c r="H109" i="6"/>
  <c r="J2418" i="5"/>
  <c r="G2452" i="5"/>
  <c r="E106" i="6"/>
  <c r="E203" i="4" s="1"/>
  <c r="E35" i="3" s="1"/>
  <c r="P2471" i="5"/>
  <c r="Q2471" i="5" s="1"/>
  <c r="R2471" i="5" s="1"/>
  <c r="I107" i="6"/>
  <c r="K2486" i="5"/>
  <c r="P2486" i="5" s="1"/>
  <c r="Q2486" i="5" s="1"/>
  <c r="R2486" i="5" s="1"/>
  <c r="K111" i="6"/>
  <c r="N111" i="6" s="1"/>
  <c r="O111" i="6" s="1"/>
  <c r="P111" i="6" s="1"/>
  <c r="P2476" i="5"/>
  <c r="Q2476" i="5" s="1"/>
  <c r="R2476" i="5" s="1"/>
  <c r="M828" i="5"/>
  <c r="K25" i="3"/>
  <c r="K11" i="2" s="1"/>
  <c r="K10" i="1" s="1"/>
  <c r="P814" i="5"/>
  <c r="Q814" i="5" s="1"/>
  <c r="R814" i="5" s="1"/>
  <c r="H23" i="6"/>
  <c r="J845" i="5"/>
  <c r="P839" i="5"/>
  <c r="Q839" i="5" s="1"/>
  <c r="R839" i="5" s="1"/>
  <c r="I776" i="5"/>
  <c r="P761" i="5"/>
  <c r="Q761" i="5" s="1"/>
  <c r="R761" i="5" s="1"/>
  <c r="D41" i="6"/>
  <c r="F1169" i="5"/>
  <c r="P1154" i="5"/>
  <c r="Q1154" i="5" s="1"/>
  <c r="R1154" i="5" s="1"/>
  <c r="M123" i="4"/>
  <c r="M41" i="6"/>
  <c r="M50" i="6" s="1"/>
  <c r="M1186" i="5"/>
  <c r="P1186" i="5" s="1"/>
  <c r="Q1186" i="5" s="1"/>
  <c r="R1186" i="5" s="1"/>
  <c r="K41" i="6"/>
  <c r="K50" i="6" s="1"/>
  <c r="P1171" i="5"/>
  <c r="Q1171" i="5" s="1"/>
  <c r="R1171" i="5" s="1"/>
  <c r="K123" i="4"/>
  <c r="L1220" i="5"/>
  <c r="P1205" i="5"/>
  <c r="Q1205" i="5" s="1"/>
  <c r="R1205" i="5" s="1"/>
  <c r="H126" i="4"/>
  <c r="P1224" i="5"/>
  <c r="Q1224" i="5" s="1"/>
  <c r="R1224" i="5" s="1"/>
  <c r="J1237" i="5"/>
  <c r="P1699" i="5"/>
  <c r="Q1699" i="5" s="1"/>
  <c r="R1699" i="5" s="1"/>
  <c r="K9" i="3"/>
  <c r="N31" i="4"/>
  <c r="O31" i="4" s="1"/>
  <c r="P31" i="4" s="1"/>
  <c r="N181" i="4"/>
  <c r="O181" i="4" s="1"/>
  <c r="P181" i="4" s="1"/>
  <c r="F191" i="4"/>
  <c r="P709" i="5"/>
  <c r="Q709" i="5" s="1"/>
  <c r="R709" i="5" s="1"/>
  <c r="H742" i="5"/>
  <c r="P726" i="5"/>
  <c r="Q726" i="5" s="1"/>
  <c r="R726" i="5" s="1"/>
  <c r="J947" i="5"/>
  <c r="P947" i="5" s="1"/>
  <c r="Q947" i="5" s="1"/>
  <c r="R947" i="5" s="1"/>
  <c r="P931" i="5"/>
  <c r="Q931" i="5" s="1"/>
  <c r="R931" i="5" s="1"/>
  <c r="H111" i="4"/>
  <c r="I981" i="5"/>
  <c r="P980" i="5"/>
  <c r="Q980" i="5" s="1"/>
  <c r="R980" i="5" s="1"/>
  <c r="G33" i="3"/>
  <c r="F75" i="6"/>
  <c r="F172" i="4" s="1"/>
  <c r="H2094" i="5"/>
  <c r="M75" i="6"/>
  <c r="M172" i="4" s="1"/>
  <c r="M24" i="3" s="1"/>
  <c r="M10" i="2" s="1"/>
  <c r="M9" i="1" s="1"/>
  <c r="O2111" i="5"/>
  <c r="L2333" i="5"/>
  <c r="P2333" i="5" s="1"/>
  <c r="Q2333" i="5" s="1"/>
  <c r="R2333" i="5" s="1"/>
  <c r="J98" i="6"/>
  <c r="P2320" i="5"/>
  <c r="Q2320" i="5" s="1"/>
  <c r="R2320" i="5" s="1"/>
  <c r="F1975" i="5"/>
  <c r="N1975" i="5"/>
  <c r="L1852" i="5"/>
  <c r="J153" i="4"/>
  <c r="P1849" i="5"/>
  <c r="Q1849" i="5" s="1"/>
  <c r="R1849" i="5" s="1"/>
  <c r="J1784" i="5"/>
  <c r="H139" i="4"/>
  <c r="I195" i="5"/>
  <c r="P195" i="5" s="1"/>
  <c r="Q195" i="5" s="1"/>
  <c r="R195" i="5" s="1"/>
  <c r="P180" i="5"/>
  <c r="Q180" i="5" s="1"/>
  <c r="R180" i="5" s="1"/>
  <c r="H246" i="5"/>
  <c r="F8" i="3"/>
  <c r="P270" i="5"/>
  <c r="Q270" i="5" s="1"/>
  <c r="R270" i="5" s="1"/>
  <c r="I280" i="5"/>
  <c r="P3064" i="5"/>
  <c r="Q3064" i="5" s="1"/>
  <c r="R3064" i="5" s="1"/>
  <c r="P2469" i="5"/>
  <c r="Q2469" i="5" s="1"/>
  <c r="R2469" i="5" s="1"/>
  <c r="N100" i="6"/>
  <c r="O100" i="6" s="1"/>
  <c r="P100" i="6" s="1"/>
  <c r="M94" i="6"/>
  <c r="N76" i="6"/>
  <c r="O76" i="6" s="1"/>
  <c r="P76" i="6" s="1"/>
  <c r="N63" i="6"/>
  <c r="O63" i="6" s="1"/>
  <c r="P63" i="6" s="1"/>
  <c r="F72" i="6"/>
  <c r="P1835" i="5"/>
  <c r="Q1835" i="5" s="1"/>
  <c r="R1835" i="5" s="1"/>
  <c r="P1050" i="5"/>
  <c r="Q1050" i="5" s="1"/>
  <c r="R1050" i="5" s="1"/>
  <c r="G16" i="3"/>
  <c r="C24" i="3"/>
  <c r="C10" i="2" s="1"/>
  <c r="C9" i="1" s="1"/>
  <c r="P2537" i="5"/>
  <c r="Q2537" i="5" s="1"/>
  <c r="R2537" i="5" s="1"/>
  <c r="P1340" i="5"/>
  <c r="Q1340" i="5" s="1"/>
  <c r="R1340" i="5" s="1"/>
  <c r="P1136" i="5"/>
  <c r="Q1136" i="5" s="1"/>
  <c r="R1136" i="5" s="1"/>
  <c r="E123" i="4"/>
  <c r="D123" i="4"/>
  <c r="P647" i="5"/>
  <c r="Q647" i="5" s="1"/>
  <c r="R647" i="5" s="1"/>
  <c r="O85" i="4"/>
  <c r="P85" i="4" s="1"/>
  <c r="P2996" i="5"/>
  <c r="Q2996" i="5" s="1"/>
  <c r="R2996" i="5" s="1"/>
  <c r="P1956" i="5"/>
  <c r="Q1956" i="5" s="1"/>
  <c r="R1956" i="5" s="1"/>
  <c r="P1801" i="5"/>
  <c r="Q1801" i="5" s="1"/>
  <c r="R1801" i="5" s="1"/>
  <c r="P1716" i="5"/>
  <c r="Q1716" i="5" s="1"/>
  <c r="R1716" i="5" s="1"/>
  <c r="L28" i="6"/>
  <c r="P2792" i="5"/>
  <c r="Q2792" i="5" s="1"/>
  <c r="R2792" i="5" s="1"/>
  <c r="P2826" i="5"/>
  <c r="Q2826" i="5" s="1"/>
  <c r="R2826" i="5" s="1"/>
  <c r="F28" i="6"/>
  <c r="P2588" i="5"/>
  <c r="Q2588" i="5" s="1"/>
  <c r="R2588" i="5" s="1"/>
  <c r="P2622" i="5"/>
  <c r="Q2622" i="5" s="1"/>
  <c r="R2622" i="5" s="1"/>
  <c r="E36" i="3"/>
  <c r="H50" i="6"/>
  <c r="N19" i="6"/>
  <c r="O19" i="6" s="1"/>
  <c r="P19" i="6" s="1"/>
  <c r="N23" i="4"/>
  <c r="O23" i="4" s="1"/>
  <c r="P23" i="4" s="1"/>
  <c r="N24" i="4"/>
  <c r="O24" i="4" s="1"/>
  <c r="P24" i="4" s="1"/>
  <c r="M13" i="3"/>
  <c r="N26" i="4"/>
  <c r="O26" i="4" s="1"/>
  <c r="P26" i="4" s="1"/>
  <c r="H30" i="3"/>
  <c r="E32" i="3"/>
  <c r="D156" i="4"/>
  <c r="H168" i="4"/>
  <c r="G32" i="3"/>
  <c r="N196" i="4"/>
  <c r="O196" i="4" s="1"/>
  <c r="P196" i="4" s="1"/>
  <c r="D202" i="4"/>
  <c r="P1442" i="5"/>
  <c r="Q1442" i="5" s="1"/>
  <c r="R1442" i="5" s="1"/>
  <c r="N132" i="6"/>
  <c r="O132" i="6" s="1"/>
  <c r="P132" i="6" s="1"/>
  <c r="I160" i="6"/>
  <c r="F845" i="5"/>
  <c r="N176" i="4"/>
  <c r="O176" i="4" s="1"/>
  <c r="P176" i="4" s="1"/>
  <c r="P3353" i="5"/>
  <c r="Q3353" i="5" s="1"/>
  <c r="R3353" i="5" s="1"/>
  <c r="N73" i="6"/>
  <c r="O73" i="6" s="1"/>
  <c r="P73" i="6" s="1"/>
  <c r="P1665" i="5"/>
  <c r="Q1665" i="5" s="1"/>
  <c r="R1665" i="5" s="1"/>
  <c r="P930" i="5"/>
  <c r="Q930" i="5" s="1"/>
  <c r="R930" i="5" s="1"/>
  <c r="G149" i="6"/>
  <c r="D12" i="6"/>
  <c r="D82" i="4" s="1"/>
  <c r="P2605" i="5"/>
  <c r="Q2605" i="5" s="1"/>
  <c r="R2605" i="5" s="1"/>
  <c r="I72" i="6"/>
  <c r="E8" i="3"/>
  <c r="N15" i="4"/>
  <c r="O15" i="4" s="1"/>
  <c r="P15" i="4" s="1"/>
  <c r="L8" i="3"/>
  <c r="N10" i="3"/>
  <c r="C98" i="4"/>
  <c r="K27" i="3"/>
  <c r="N92" i="4"/>
  <c r="O92" i="4" s="1"/>
  <c r="P92" i="4" s="1"/>
  <c r="N94" i="4"/>
  <c r="O94" i="4" s="1"/>
  <c r="P94" i="4" s="1"/>
  <c r="C30" i="3"/>
  <c r="N131" i="4"/>
  <c r="O131" i="4" s="1"/>
  <c r="P131" i="4" s="1"/>
  <c r="D33" i="3"/>
  <c r="F27" i="3"/>
  <c r="J32" i="3"/>
  <c r="H33" i="3"/>
  <c r="N19" i="3"/>
  <c r="N210" i="4"/>
  <c r="O210" i="4" s="1"/>
  <c r="P210" i="4" s="1"/>
  <c r="L45" i="3"/>
  <c r="H46" i="3"/>
  <c r="M46" i="3"/>
  <c r="H149" i="6"/>
  <c r="E50" i="6"/>
  <c r="O75" i="4"/>
  <c r="P75" i="4" s="1"/>
  <c r="G224" i="4"/>
  <c r="P3319" i="5"/>
  <c r="Q3319" i="5" s="1"/>
  <c r="R3319" i="5" s="1"/>
  <c r="P3030" i="5"/>
  <c r="Q3030" i="5" s="1"/>
  <c r="R3030" i="5" s="1"/>
  <c r="K203" i="4"/>
  <c r="K35" i="3" s="1"/>
  <c r="N95" i="6"/>
  <c r="O95" i="6" s="1"/>
  <c r="P95" i="6" s="1"/>
  <c r="P2265" i="5"/>
  <c r="Q2265" i="5" s="1"/>
  <c r="R2265" i="5" s="1"/>
  <c r="P1992" i="5"/>
  <c r="Q1992" i="5" s="1"/>
  <c r="R1992" i="5" s="1"/>
  <c r="P1646" i="5"/>
  <c r="Q1646" i="5" s="1"/>
  <c r="R1646" i="5" s="1"/>
  <c r="P1629" i="5"/>
  <c r="Q1629" i="5" s="1"/>
  <c r="R1629" i="5" s="1"/>
  <c r="J61" i="6"/>
  <c r="I149" i="6"/>
  <c r="J17" i="6"/>
  <c r="N80" i="6"/>
  <c r="O80" i="6" s="1"/>
  <c r="P80" i="6" s="1"/>
  <c r="M17" i="4"/>
  <c r="M28" i="4"/>
  <c r="G105" i="6"/>
  <c r="G169" i="4"/>
  <c r="M203" i="4"/>
  <c r="M35" i="3" s="1"/>
  <c r="E72" i="6"/>
  <c r="P1118" i="5"/>
  <c r="Q1118" i="5" s="1"/>
  <c r="R1118" i="5" s="1"/>
  <c r="N184" i="4"/>
  <c r="O184" i="4" s="1"/>
  <c r="P184" i="4" s="1"/>
  <c r="C191" i="4"/>
  <c r="N189" i="4"/>
  <c r="O189" i="4" s="1"/>
  <c r="P189" i="4" s="1"/>
  <c r="G202" i="4"/>
  <c r="N157" i="4"/>
  <c r="O157" i="4" s="1"/>
  <c r="P157" i="4" s="1"/>
  <c r="G15" i="3"/>
  <c r="N99" i="6"/>
  <c r="O99" i="6" s="1"/>
  <c r="P99" i="6" s="1"/>
  <c r="D173" i="4"/>
  <c r="N173" i="4" s="1"/>
  <c r="O173" i="4" s="1"/>
  <c r="P173" i="4" s="1"/>
  <c r="K57" i="5"/>
  <c r="P57" i="5" s="1"/>
  <c r="Q57" i="5" s="1"/>
  <c r="R57" i="5" s="1"/>
  <c r="P48" i="5"/>
  <c r="Q48" i="5" s="1"/>
  <c r="R48" i="5" s="1"/>
  <c r="I12" i="4"/>
  <c r="H708" i="5"/>
  <c r="P708" i="5" s="1"/>
  <c r="Q708" i="5" s="1"/>
  <c r="R708" i="5" s="1"/>
  <c r="E33" i="3"/>
  <c r="G981" i="5"/>
  <c r="L1975" i="5"/>
  <c r="J28" i="3"/>
  <c r="J1852" i="5"/>
  <c r="H153" i="4"/>
  <c r="H31" i="3" s="1"/>
  <c r="H17" i="2" s="1"/>
  <c r="H17" i="1" s="1"/>
  <c r="H1784" i="5"/>
  <c r="F139" i="4"/>
  <c r="G116" i="5"/>
  <c r="C12" i="4"/>
  <c r="C17" i="4" s="1"/>
  <c r="P214" i="5"/>
  <c r="Q214" i="5" s="1"/>
  <c r="R214" i="5" s="1"/>
  <c r="G229" i="5"/>
  <c r="P229" i="5" s="1"/>
  <c r="Q229" i="5" s="1"/>
  <c r="R229" i="5" s="1"/>
  <c r="F246" i="5"/>
  <c r="P231" i="5"/>
  <c r="Q231" i="5" s="1"/>
  <c r="R231" i="5" s="1"/>
  <c r="P2639" i="5"/>
  <c r="Q2639" i="5" s="1"/>
  <c r="R2639" i="5" s="1"/>
  <c r="N11" i="4"/>
  <c r="O11" i="4" s="1"/>
  <c r="P11" i="4" s="1"/>
  <c r="N32" i="4"/>
  <c r="O32" i="4" s="1"/>
  <c r="P32" i="4" s="1"/>
  <c r="N16" i="4"/>
  <c r="O16" i="4" s="1"/>
  <c r="P16" i="4" s="1"/>
  <c r="L39" i="4"/>
  <c r="I24" i="3"/>
  <c r="I10" i="2" s="1"/>
  <c r="I9" i="1" s="1"/>
  <c r="P913" i="5"/>
  <c r="Q913" i="5" s="1"/>
  <c r="R913" i="5" s="1"/>
  <c r="G13" i="3"/>
  <c r="I15" i="3"/>
  <c r="G28" i="4"/>
  <c r="G74" i="4"/>
  <c r="P2554" i="5"/>
  <c r="Q2554" i="5" s="1"/>
  <c r="R2554" i="5" s="1"/>
  <c r="K8" i="3"/>
  <c r="P314" i="5"/>
  <c r="Q314" i="5" s="1"/>
  <c r="R314" i="5" s="1"/>
  <c r="M40" i="5"/>
  <c r="K12" i="4"/>
  <c r="G725" i="5"/>
  <c r="L105" i="6"/>
  <c r="P3013" i="5"/>
  <c r="Q3013" i="5" s="1"/>
  <c r="R3013" i="5" s="1"/>
  <c r="H24" i="3"/>
  <c r="H10" i="2" s="1"/>
  <c r="H9" i="1" s="1"/>
  <c r="N65" i="6"/>
  <c r="O65" i="6" s="1"/>
  <c r="P65" i="6" s="1"/>
  <c r="N84" i="6"/>
  <c r="O84" i="6" s="1"/>
  <c r="P84" i="6" s="1"/>
  <c r="L138" i="6"/>
  <c r="L72" i="6"/>
  <c r="J74" i="4"/>
  <c r="P1595" i="5"/>
  <c r="Q1595" i="5" s="1"/>
  <c r="R1595" i="5" s="1"/>
  <c r="F39" i="4"/>
  <c r="J640" i="5"/>
  <c r="E31" i="6"/>
  <c r="E101" i="4" s="1"/>
  <c r="G1084" i="5"/>
  <c r="K36" i="3"/>
  <c r="E20" i="6"/>
  <c r="G828" i="5"/>
  <c r="K776" i="5"/>
  <c r="L123" i="4"/>
  <c r="N1220" i="5"/>
  <c r="C31" i="3"/>
  <c r="C156" i="4"/>
  <c r="N200" i="4"/>
  <c r="O200" i="4" s="1"/>
  <c r="I46" i="3"/>
  <c r="P1903" i="5"/>
  <c r="Q1903" i="5" s="1"/>
  <c r="R1903" i="5" s="1"/>
  <c r="L41" i="3"/>
  <c r="P2384" i="5"/>
  <c r="Q2384" i="5" s="1"/>
  <c r="R2384" i="5" s="1"/>
  <c r="P2962" i="5"/>
  <c r="Q2962" i="5" s="1"/>
  <c r="R2962" i="5" s="1"/>
  <c r="P3149" i="5"/>
  <c r="Q3149" i="5" s="1"/>
  <c r="R3149" i="5" s="1"/>
  <c r="D23" i="6"/>
  <c r="D105" i="4" s="1"/>
  <c r="G31" i="6"/>
  <c r="P2520" i="5"/>
  <c r="Q2520" i="5" s="1"/>
  <c r="R2520" i="5" s="1"/>
  <c r="P3251" i="5"/>
  <c r="Q3251" i="5" s="1"/>
  <c r="R3251" i="5" s="1"/>
  <c r="P810" i="5"/>
  <c r="Q810" i="5" s="1"/>
  <c r="R810" i="5" s="1"/>
  <c r="Q2741" i="5"/>
  <c r="R2741" i="5" s="1"/>
  <c r="D127" i="6"/>
  <c r="P1459" i="5"/>
  <c r="Q1459" i="5" s="1"/>
  <c r="R1459" i="5" s="1"/>
  <c r="P2775" i="5"/>
  <c r="Q2775" i="5" s="1"/>
  <c r="R2775" i="5" s="1"/>
  <c r="P3115" i="5"/>
  <c r="Q3115" i="5" s="1"/>
  <c r="R3115" i="5" s="1"/>
  <c r="P3200" i="5"/>
  <c r="Q3200" i="5" s="1"/>
  <c r="R3200" i="5" s="1"/>
  <c r="K160" i="6"/>
  <c r="K16" i="3"/>
  <c r="I74" i="4"/>
  <c r="K156" i="4"/>
  <c r="E156" i="4"/>
  <c r="P1254" i="5"/>
  <c r="Q1254" i="5" s="1"/>
  <c r="R1254" i="5" s="1"/>
  <c r="P1256" i="5"/>
  <c r="Q1256" i="5" s="1"/>
  <c r="R1256" i="5" s="1"/>
  <c r="P1289" i="5"/>
  <c r="Q1289" i="5" s="1"/>
  <c r="R1289" i="5" s="1"/>
  <c r="P1886" i="5"/>
  <c r="Q1886" i="5" s="1"/>
  <c r="R1886" i="5" s="1"/>
  <c r="P2877" i="5"/>
  <c r="Q2877" i="5" s="1"/>
  <c r="R2877" i="5" s="1"/>
  <c r="P2945" i="5"/>
  <c r="Q2945" i="5" s="1"/>
  <c r="R2945" i="5" s="1"/>
  <c r="P2690" i="5"/>
  <c r="Q2690" i="5" s="1"/>
  <c r="R2690" i="5" s="1"/>
  <c r="N114" i="4"/>
  <c r="O114" i="4" s="1"/>
  <c r="P114" i="4" s="1"/>
  <c r="N130" i="4"/>
  <c r="O130" i="4" s="1"/>
  <c r="P130" i="4" s="1"/>
  <c r="L156" i="4"/>
  <c r="N155" i="4"/>
  <c r="O155" i="4" s="1"/>
  <c r="P155" i="4" s="1"/>
  <c r="E191" i="4"/>
  <c r="P1067" i="5"/>
  <c r="Q1067" i="5" s="1"/>
  <c r="R1067" i="5" s="1"/>
  <c r="P1869" i="5"/>
  <c r="Q1869" i="5" s="1"/>
  <c r="R1869" i="5" s="1"/>
  <c r="P2809" i="5"/>
  <c r="Q2809" i="5" s="1"/>
  <c r="R2809" i="5" s="1"/>
  <c r="P3132" i="5"/>
  <c r="Q3132" i="5" s="1"/>
  <c r="R3132" i="5" s="1"/>
  <c r="P3166" i="5"/>
  <c r="Q3166" i="5" s="1"/>
  <c r="R3166" i="5" s="1"/>
  <c r="P3302" i="5"/>
  <c r="Q3302" i="5" s="1"/>
  <c r="R3302" i="5" s="1"/>
  <c r="P691" i="5"/>
  <c r="Q691" i="5" s="1"/>
  <c r="R691" i="5" s="1"/>
  <c r="J15" i="3"/>
  <c r="N137" i="4"/>
  <c r="O137" i="4" s="1"/>
  <c r="P137" i="4" s="1"/>
  <c r="P588" i="5"/>
  <c r="Q588" i="5" s="1"/>
  <c r="R588" i="5" s="1"/>
  <c r="P1033" i="5"/>
  <c r="Q1033" i="5" s="1"/>
  <c r="R1033" i="5" s="1"/>
  <c r="P1561" i="5"/>
  <c r="Q1561" i="5" s="1"/>
  <c r="R1561" i="5" s="1"/>
  <c r="P3336" i="5"/>
  <c r="Q3336" i="5" s="1"/>
  <c r="R3336" i="5" s="1"/>
  <c r="F39" i="6"/>
  <c r="G61" i="6"/>
  <c r="N53" i="6"/>
  <c r="O53" i="6" s="1"/>
  <c r="P53" i="6" s="1"/>
  <c r="N56" i="6"/>
  <c r="O56" i="6" s="1"/>
  <c r="P56" i="6" s="1"/>
  <c r="N81" i="6"/>
  <c r="O81" i="6" s="1"/>
  <c r="P81" i="6" s="1"/>
  <c r="J160" i="6"/>
  <c r="P1750" i="5"/>
  <c r="Q1750" i="5" s="1"/>
  <c r="R1750" i="5" s="1"/>
  <c r="K202" i="4"/>
  <c r="P554" i="5"/>
  <c r="Q554" i="5" s="1"/>
  <c r="R554" i="5" s="1"/>
  <c r="I828" i="5"/>
  <c r="P1493" i="5"/>
  <c r="Q1493" i="5" s="1"/>
  <c r="R1493" i="5" s="1"/>
  <c r="P2060" i="5"/>
  <c r="Q2060" i="5" s="1"/>
  <c r="R2060" i="5" s="1"/>
  <c r="P2860" i="5"/>
  <c r="Q2860" i="5" s="1"/>
  <c r="R2860" i="5" s="1"/>
  <c r="P3285" i="5"/>
  <c r="Q3285" i="5" s="1"/>
  <c r="R3285" i="5" s="1"/>
  <c r="P1773" i="5"/>
  <c r="Q1773" i="5" s="1"/>
  <c r="R1773" i="5" s="1"/>
  <c r="H17" i="6"/>
  <c r="I16" i="3"/>
  <c r="C13" i="3"/>
  <c r="C121" i="4"/>
  <c r="K121" i="4"/>
  <c r="N127" i="4"/>
  <c r="O127" i="4" s="1"/>
  <c r="P127" i="4" s="1"/>
  <c r="N128" i="4"/>
  <c r="O128" i="4" s="1"/>
  <c r="P128" i="4" s="1"/>
  <c r="N136" i="4"/>
  <c r="O136" i="4" s="1"/>
  <c r="P136" i="4" s="1"/>
  <c r="N167" i="4"/>
  <c r="O167" i="4" s="1"/>
  <c r="P167" i="4" s="1"/>
  <c r="D30" i="3"/>
  <c r="N117" i="4"/>
  <c r="O117" i="4" s="1"/>
  <c r="P117" i="4" s="1"/>
  <c r="P2928" i="5"/>
  <c r="Q2928" i="5" s="1"/>
  <c r="R2928" i="5" s="1"/>
  <c r="H39" i="6"/>
  <c r="N47" i="6"/>
  <c r="O47" i="6" s="1"/>
  <c r="P47" i="6" s="1"/>
  <c r="N49" i="6"/>
  <c r="O49" i="6" s="1"/>
  <c r="P49" i="6" s="1"/>
  <c r="F138" i="6"/>
  <c r="P2437" i="5"/>
  <c r="Q2437" i="5" s="1"/>
  <c r="R2437" i="5" s="1"/>
  <c r="K28" i="6"/>
  <c r="N18" i="6"/>
  <c r="O18" i="6" s="1"/>
  <c r="P18" i="6" s="1"/>
  <c r="N103" i="4"/>
  <c r="I27" i="3"/>
  <c r="N177" i="4"/>
  <c r="O177" i="4" s="1"/>
  <c r="P177" i="4" s="1"/>
  <c r="M31" i="3"/>
  <c r="M17" i="2" s="1"/>
  <c r="M17" i="1" s="1"/>
  <c r="E105" i="6"/>
  <c r="N14" i="3"/>
  <c r="O14" i="3" s="1"/>
  <c r="P14" i="3" s="1"/>
  <c r="K105" i="6"/>
  <c r="E171" i="4"/>
  <c r="N101" i="6"/>
  <c r="O101" i="6" s="1"/>
  <c r="P101" i="6" s="1"/>
  <c r="F105" i="6"/>
  <c r="L127" i="6"/>
  <c r="L215" i="4"/>
  <c r="L224" i="4" s="1"/>
  <c r="I127" i="6"/>
  <c r="I220" i="4"/>
  <c r="I224" i="4" s="1"/>
  <c r="E1016" i="5"/>
  <c r="Q1016" i="5" s="1"/>
  <c r="R1016" i="5" s="1"/>
  <c r="G2094" i="5"/>
  <c r="P2080" i="5"/>
  <c r="Q2080" i="5" s="1"/>
  <c r="R2080" i="5" s="1"/>
  <c r="E75" i="6"/>
  <c r="E172" i="4" s="1"/>
  <c r="P2097" i="5"/>
  <c r="Q2097" i="5" s="1"/>
  <c r="R2097" i="5" s="1"/>
  <c r="D75" i="6"/>
  <c r="F2111" i="5"/>
  <c r="L75" i="6"/>
  <c r="N2111" i="5"/>
  <c r="J2162" i="5"/>
  <c r="H74" i="6"/>
  <c r="P2147" i="5"/>
  <c r="Q2147" i="5" s="1"/>
  <c r="R2147" i="5" s="1"/>
  <c r="P484" i="5"/>
  <c r="Q484" i="5" s="1"/>
  <c r="R484" i="5" s="1"/>
  <c r="F72" i="4"/>
  <c r="F32" i="3" s="1"/>
  <c r="H486" i="5"/>
  <c r="P486" i="5" s="1"/>
  <c r="Q486" i="5" s="1"/>
  <c r="R486" i="5" s="1"/>
  <c r="I180" i="4"/>
  <c r="N131" i="6"/>
  <c r="O131" i="6" s="1"/>
  <c r="P131" i="6" s="1"/>
  <c r="F11" i="3"/>
  <c r="D215" i="4"/>
  <c r="H105" i="6"/>
  <c r="F168" i="4"/>
  <c r="N231" i="4"/>
  <c r="O231" i="4" s="1"/>
  <c r="P231" i="4" s="1"/>
  <c r="F54" i="3"/>
  <c r="F27" i="2" s="1"/>
  <c r="F31" i="2" s="1"/>
  <c r="N135" i="4"/>
  <c r="O135" i="4" s="1"/>
  <c r="P135" i="4" s="1"/>
  <c r="D21" i="3"/>
  <c r="N21" i="3" s="1"/>
  <c r="O21" i="3" s="1"/>
  <c r="P21" i="3" s="1"/>
  <c r="D145" i="4"/>
  <c r="N158" i="4"/>
  <c r="O158" i="4" s="1"/>
  <c r="P158" i="4" s="1"/>
  <c r="D168" i="4"/>
  <c r="K168" i="4"/>
  <c r="O122" i="6"/>
  <c r="P122" i="6" s="1"/>
  <c r="E169" i="4"/>
  <c r="I31" i="3"/>
  <c r="D11" i="1"/>
  <c r="C32" i="3"/>
  <c r="C25" i="3"/>
  <c r="C11" i="2" s="1"/>
  <c r="D121" i="4"/>
  <c r="I133" i="4"/>
  <c r="D105" i="6"/>
  <c r="P2316" i="5"/>
  <c r="Q2316" i="5" s="1"/>
  <c r="R2316" i="5" s="1"/>
  <c r="P2128" i="5"/>
  <c r="Q2128" i="5" s="1"/>
  <c r="R2128" i="5" s="1"/>
  <c r="J83" i="6"/>
  <c r="M72" i="6"/>
  <c r="P331" i="5"/>
  <c r="Q331" i="5" s="1"/>
  <c r="R331" i="5" s="1"/>
  <c r="G11" i="3"/>
  <c r="G17" i="4"/>
  <c r="N119" i="4"/>
  <c r="O119" i="4" s="1"/>
  <c r="P119" i="4" s="1"/>
  <c r="D32" i="3"/>
  <c r="K49" i="3"/>
  <c r="K22" i="2" s="1"/>
  <c r="N22" i="2" s="1"/>
  <c r="O22" i="2" s="1"/>
  <c r="P22" i="2" s="1"/>
  <c r="N226" i="4"/>
  <c r="O226" i="4" s="1"/>
  <c r="P226" i="4" s="1"/>
  <c r="N228" i="4"/>
  <c r="O228" i="4" s="1"/>
  <c r="P228" i="4" s="1"/>
  <c r="J51" i="3"/>
  <c r="J24" i="2" s="1"/>
  <c r="J31" i="2" s="1"/>
  <c r="C74" i="4"/>
  <c r="N69" i="4"/>
  <c r="O69" i="4" s="1"/>
  <c r="P69" i="4" s="1"/>
  <c r="O77" i="4"/>
  <c r="P77" i="4" s="1"/>
  <c r="C133" i="4"/>
  <c r="I156" i="4"/>
  <c r="N154" i="4"/>
  <c r="O154" i="4" s="1"/>
  <c r="P154" i="4" s="1"/>
  <c r="I168" i="4"/>
  <c r="M235" i="4"/>
  <c r="M48" i="3"/>
  <c r="N48" i="3" s="1"/>
  <c r="O48" i="3" s="1"/>
  <c r="P48" i="3" s="1"/>
  <c r="E31" i="2"/>
  <c r="N96" i="4"/>
  <c r="O96" i="4" s="1"/>
  <c r="P96" i="4" s="1"/>
  <c r="N149" i="4"/>
  <c r="O149" i="4" s="1"/>
  <c r="P149" i="4" s="1"/>
  <c r="J168" i="4"/>
  <c r="C202" i="4"/>
  <c r="C46" i="3"/>
  <c r="P879" i="5"/>
  <c r="Q879" i="5" s="1"/>
  <c r="R879" i="5" s="1"/>
  <c r="P1357" i="5"/>
  <c r="Q1357" i="5" s="1"/>
  <c r="R1357" i="5" s="1"/>
  <c r="H42" i="3"/>
  <c r="D28" i="4"/>
  <c r="H39" i="4"/>
  <c r="C10" i="3"/>
  <c r="C39" i="4"/>
  <c r="I121" i="4"/>
  <c r="N37" i="3"/>
  <c r="O37" i="3" s="1"/>
  <c r="P37" i="3" s="1"/>
  <c r="J191" i="4"/>
  <c r="N187" i="4"/>
  <c r="O187" i="4" s="1"/>
  <c r="P187" i="4" s="1"/>
  <c r="N25" i="2"/>
  <c r="O25" i="2" s="1"/>
  <c r="P25" i="2" s="1"/>
  <c r="H13" i="3"/>
  <c r="N124" i="4"/>
  <c r="O124" i="4" s="1"/>
  <c r="P124" i="4" s="1"/>
  <c r="N134" i="4"/>
  <c r="O134" i="4" s="1"/>
  <c r="P134" i="4" s="1"/>
  <c r="G58" i="3"/>
  <c r="K15" i="3"/>
  <c r="E16" i="3"/>
  <c r="G27" i="3"/>
  <c r="N161" i="4"/>
  <c r="L191" i="4"/>
  <c r="N190" i="4"/>
  <c r="O190" i="4" s="1"/>
  <c r="P190" i="4" s="1"/>
  <c r="F235" i="4"/>
  <c r="P571" i="5"/>
  <c r="Q571" i="5" s="1"/>
  <c r="R571" i="5" s="1"/>
  <c r="P759" i="5"/>
  <c r="Q759" i="5" s="1"/>
  <c r="R759" i="5" s="1"/>
  <c r="P1203" i="5"/>
  <c r="Q1203" i="5" s="1"/>
  <c r="R1203" i="5" s="1"/>
  <c r="P1476" i="5"/>
  <c r="Q1476" i="5" s="1"/>
  <c r="R1476" i="5" s="1"/>
  <c r="C220" i="4"/>
  <c r="P2503" i="5"/>
  <c r="Q2503" i="5" s="1"/>
  <c r="R2503" i="5" s="1"/>
  <c r="H74" i="4"/>
  <c r="N116" i="4"/>
  <c r="O116" i="4" s="1"/>
  <c r="P116" i="4" s="1"/>
  <c r="N125" i="4"/>
  <c r="O125" i="4" s="1"/>
  <c r="P125" i="4" s="1"/>
  <c r="N129" i="4"/>
  <c r="O129" i="4" s="1"/>
  <c r="P129" i="4" s="1"/>
  <c r="K145" i="4"/>
  <c r="N138" i="4"/>
  <c r="O138" i="4" s="1"/>
  <c r="P138" i="4" s="1"/>
  <c r="L145" i="4"/>
  <c r="N143" i="4"/>
  <c r="O143" i="4" s="1"/>
  <c r="P143" i="4" s="1"/>
  <c r="G156" i="4"/>
  <c r="N151" i="4"/>
  <c r="O151" i="4" s="1"/>
  <c r="P151" i="4" s="1"/>
  <c r="N159" i="4"/>
  <c r="O159" i="4" s="1"/>
  <c r="P159" i="4" s="1"/>
  <c r="N170" i="4"/>
  <c r="O170" i="4" s="1"/>
  <c r="P170" i="4" s="1"/>
  <c r="N164" i="4"/>
  <c r="O164" i="4" s="1"/>
  <c r="P164" i="4" s="1"/>
  <c r="I32" i="3"/>
  <c r="M191" i="4"/>
  <c r="N185" i="4"/>
  <c r="O185" i="4" s="1"/>
  <c r="P185" i="4" s="1"/>
  <c r="I202" i="4"/>
  <c r="N193" i="4"/>
  <c r="O193" i="4" s="1"/>
  <c r="P193" i="4" s="1"/>
  <c r="N201" i="4"/>
  <c r="O201" i="4" s="1"/>
  <c r="P201" i="4" s="1"/>
  <c r="G235" i="4"/>
  <c r="P622" i="5"/>
  <c r="Q622" i="5" s="1"/>
  <c r="R622" i="5" s="1"/>
  <c r="P1306" i="5"/>
  <c r="Q1306" i="5" s="1"/>
  <c r="R1306" i="5" s="1"/>
  <c r="H15" i="3"/>
  <c r="F133" i="4"/>
  <c r="N132" i="4"/>
  <c r="O132" i="4" s="1"/>
  <c r="P132" i="4" s="1"/>
  <c r="J145" i="4"/>
  <c r="G145" i="4"/>
  <c r="E168" i="4"/>
  <c r="N162" i="4"/>
  <c r="O162" i="4" s="1"/>
  <c r="P162" i="4" s="1"/>
  <c r="N163" i="4"/>
  <c r="O163" i="4" s="1"/>
  <c r="P163" i="4" s="1"/>
  <c r="N165" i="4"/>
  <c r="O165" i="4" s="1"/>
  <c r="P165" i="4" s="1"/>
  <c r="H191" i="4"/>
  <c r="N188" i="4"/>
  <c r="O188" i="4" s="1"/>
  <c r="P188" i="4" s="1"/>
  <c r="H235" i="4"/>
  <c r="P605" i="5"/>
  <c r="Q605" i="5" s="1"/>
  <c r="R605" i="5" s="1"/>
  <c r="P1510" i="5"/>
  <c r="Q1510" i="5" s="1"/>
  <c r="R1510" i="5" s="1"/>
  <c r="P1578" i="5"/>
  <c r="Q1578" i="5" s="1"/>
  <c r="R1578" i="5" s="1"/>
  <c r="E39" i="4"/>
  <c r="D74" i="4"/>
  <c r="L121" i="4"/>
  <c r="N118" i="4"/>
  <c r="O118" i="4" s="1"/>
  <c r="P118" i="4" s="1"/>
  <c r="N141" i="4"/>
  <c r="O141" i="4" s="1"/>
  <c r="P141" i="4" s="1"/>
  <c r="N144" i="4"/>
  <c r="O144" i="4" s="1"/>
  <c r="P144" i="4" s="1"/>
  <c r="L168" i="4"/>
  <c r="G168" i="4"/>
  <c r="E31" i="3"/>
  <c r="E17" i="2" s="1"/>
  <c r="E17" i="1" s="1"/>
  <c r="F33" i="3"/>
  <c r="I191" i="4"/>
  <c r="N182" i="4"/>
  <c r="O182" i="4" s="1"/>
  <c r="P182" i="4" s="1"/>
  <c r="N198" i="4"/>
  <c r="O198" i="4" s="1"/>
  <c r="P198" i="4" s="1"/>
  <c r="P537" i="5"/>
  <c r="Q537" i="5" s="1"/>
  <c r="R537" i="5" s="1"/>
  <c r="F13" i="3"/>
  <c r="C28" i="4"/>
  <c r="E74" i="4"/>
  <c r="K74" i="4"/>
  <c r="M133" i="4"/>
  <c r="N152" i="4"/>
  <c r="O152" i="4" s="1"/>
  <c r="P152" i="4" s="1"/>
  <c r="M168" i="4"/>
  <c r="N160" i="4"/>
  <c r="O160" i="4" s="1"/>
  <c r="P160" i="4" s="1"/>
  <c r="N166" i="4"/>
  <c r="O166" i="4" s="1"/>
  <c r="P166" i="4" s="1"/>
  <c r="I30" i="3"/>
  <c r="E202" i="4"/>
  <c r="J235" i="4"/>
  <c r="P452" i="5"/>
  <c r="Q452" i="5" s="1"/>
  <c r="R452" i="5" s="1"/>
  <c r="P998" i="5"/>
  <c r="Q998" i="5" s="1"/>
  <c r="R998" i="5" s="1"/>
  <c r="E13" i="3"/>
  <c r="E28" i="4"/>
  <c r="D15" i="3"/>
  <c r="E145" i="4"/>
  <c r="M145" i="4"/>
  <c r="F156" i="4"/>
  <c r="N195" i="4"/>
  <c r="O195" i="4" s="1"/>
  <c r="P195" i="4" s="1"/>
  <c r="N197" i="4"/>
  <c r="O197" i="4" s="1"/>
  <c r="P197" i="4" s="1"/>
  <c r="K235" i="4"/>
  <c r="P1374" i="5"/>
  <c r="Q1374" i="5" s="1"/>
  <c r="R1374" i="5" s="1"/>
  <c r="P1425" i="5"/>
  <c r="Q1425" i="5" s="1"/>
  <c r="R1425" i="5" s="1"/>
  <c r="H202" i="4"/>
  <c r="K224" i="4"/>
  <c r="M224" i="4"/>
  <c r="I235" i="4"/>
  <c r="N233" i="4"/>
  <c r="O233" i="4" s="1"/>
  <c r="P233" i="4" s="1"/>
  <c r="P2571" i="5"/>
  <c r="Q2571" i="5" s="1"/>
  <c r="R2571" i="5" s="1"/>
  <c r="N199" i="4"/>
  <c r="O199" i="4" s="1"/>
  <c r="P199" i="4" s="1"/>
  <c r="K46" i="3"/>
  <c r="N234" i="4"/>
  <c r="O234" i="4" s="1"/>
  <c r="P234" i="4" s="1"/>
  <c r="P1818" i="5"/>
  <c r="Q1818" i="5" s="1"/>
  <c r="R1818" i="5" s="1"/>
  <c r="P2299" i="5"/>
  <c r="Q2299" i="5" s="1"/>
  <c r="R2299" i="5" s="1"/>
  <c r="N22" i="6"/>
  <c r="O22" i="6" s="1"/>
  <c r="P22" i="6" s="1"/>
  <c r="N144" i="6"/>
  <c r="O144" i="6" s="1"/>
  <c r="P144" i="6" s="1"/>
  <c r="P1006" i="5"/>
  <c r="Q1006" i="5" s="1"/>
  <c r="R1006" i="5" s="1"/>
  <c r="E17" i="6"/>
  <c r="E235" i="4"/>
  <c r="N229" i="4"/>
  <c r="O229" i="4" s="1"/>
  <c r="P229" i="4" s="1"/>
  <c r="P2843" i="5"/>
  <c r="Q2843" i="5" s="1"/>
  <c r="R2843" i="5" s="1"/>
  <c r="P2979" i="5"/>
  <c r="Q2979" i="5" s="1"/>
  <c r="R2979" i="5" s="1"/>
  <c r="P3098" i="5"/>
  <c r="Q3098" i="5" s="1"/>
  <c r="R3098" i="5" s="1"/>
  <c r="P1937" i="5"/>
  <c r="Q1937" i="5" s="1"/>
  <c r="R1937" i="5" s="1"/>
  <c r="P964" i="5"/>
  <c r="Q964" i="5" s="1"/>
  <c r="R964" i="5" s="1"/>
  <c r="F202" i="4"/>
  <c r="E45" i="3"/>
  <c r="N230" i="4"/>
  <c r="O230" i="4" s="1"/>
  <c r="P230" i="4" s="1"/>
  <c r="N232" i="4"/>
  <c r="O232" i="4" s="1"/>
  <c r="P232" i="4" s="1"/>
  <c r="P3234" i="5"/>
  <c r="Q3234" i="5" s="1"/>
  <c r="R3234" i="5" s="1"/>
  <c r="O2182" i="5"/>
  <c r="E2197" i="5"/>
  <c r="J1975" i="5"/>
  <c r="P1962" i="5"/>
  <c r="Q1962" i="5" s="1"/>
  <c r="R1962" i="5" s="1"/>
  <c r="P2179" i="5"/>
  <c r="Q2179" i="5" s="1"/>
  <c r="R2179" i="5" s="1"/>
  <c r="P2911" i="5"/>
  <c r="Q2911" i="5" s="1"/>
  <c r="R2911" i="5" s="1"/>
  <c r="K61" i="6"/>
  <c r="H138" i="6"/>
  <c r="N186" i="4"/>
  <c r="O186" i="4" s="1"/>
  <c r="P186" i="4" s="1"/>
  <c r="L202" i="4"/>
  <c r="J202" i="4"/>
  <c r="L235" i="4"/>
  <c r="P2894" i="5"/>
  <c r="Q2894" i="5" s="1"/>
  <c r="R2894" i="5" s="1"/>
  <c r="P2656" i="5"/>
  <c r="Q2656" i="5" s="1"/>
  <c r="R2656" i="5" s="1"/>
  <c r="N45" i="6"/>
  <c r="O45" i="6" s="1"/>
  <c r="P45" i="6" s="1"/>
  <c r="I61" i="6"/>
  <c r="N57" i="6"/>
  <c r="O57" i="6" s="1"/>
  <c r="P57" i="6" s="1"/>
  <c r="N67" i="6"/>
  <c r="O67" i="6" s="1"/>
  <c r="P67" i="6" s="1"/>
  <c r="N145" i="6"/>
  <c r="O145" i="6" s="1"/>
  <c r="P145" i="6" s="1"/>
  <c r="N155" i="6"/>
  <c r="O155" i="6" s="1"/>
  <c r="P155" i="6" s="1"/>
  <c r="N33" i="6"/>
  <c r="O33" i="6" s="1"/>
  <c r="P33" i="6" s="1"/>
  <c r="N34" i="6"/>
  <c r="O34" i="6" s="1"/>
  <c r="P34" i="6" s="1"/>
  <c r="N42" i="6"/>
  <c r="O42" i="6" s="1"/>
  <c r="P42" i="6" s="1"/>
  <c r="M138" i="6"/>
  <c r="F116" i="5"/>
  <c r="N55" i="6"/>
  <c r="O55" i="6" s="1"/>
  <c r="P55" i="6" s="1"/>
  <c r="L61" i="6"/>
  <c r="N68" i="6"/>
  <c r="O68" i="6" s="1"/>
  <c r="P68" i="6" s="1"/>
  <c r="K149" i="6"/>
  <c r="N24" i="6"/>
  <c r="O24" i="6" s="1"/>
  <c r="P24" i="6" s="1"/>
  <c r="N25" i="6"/>
  <c r="O25" i="6" s="1"/>
  <c r="P25" i="6" s="1"/>
  <c r="N36" i="6"/>
  <c r="O36" i="6" s="1"/>
  <c r="P36" i="6" s="1"/>
  <c r="N43" i="6"/>
  <c r="O43" i="6" s="1"/>
  <c r="P43" i="6" s="1"/>
  <c r="E61" i="6"/>
  <c r="N59" i="6"/>
  <c r="O59" i="6" s="1"/>
  <c r="P59" i="6" s="1"/>
  <c r="N66" i="6"/>
  <c r="O66" i="6" s="1"/>
  <c r="P66" i="6" s="1"/>
  <c r="N110" i="6"/>
  <c r="O110" i="6" s="1"/>
  <c r="P110" i="6" s="1"/>
  <c r="P287" i="5"/>
  <c r="Q287" i="5" s="1"/>
  <c r="R287" i="5" s="1"/>
  <c r="F61" i="6"/>
  <c r="H61" i="6"/>
  <c r="N79" i="6"/>
  <c r="O79" i="6" s="1"/>
  <c r="P79" i="6" s="1"/>
  <c r="G138" i="6"/>
  <c r="E138" i="6"/>
  <c r="N134" i="6"/>
  <c r="O134" i="6" s="1"/>
  <c r="P134" i="6" s="1"/>
  <c r="L160" i="6"/>
  <c r="N112" i="4"/>
  <c r="O112" i="4" s="1"/>
  <c r="P112" i="4" s="1"/>
  <c r="G17" i="6"/>
  <c r="N44" i="6"/>
  <c r="O44" i="6" s="1"/>
  <c r="P44" i="6" s="1"/>
  <c r="N46" i="6"/>
  <c r="O46" i="6" s="1"/>
  <c r="P46" i="6" s="1"/>
  <c r="M61" i="6"/>
  <c r="E149" i="6"/>
  <c r="M160" i="6"/>
  <c r="N154" i="6"/>
  <c r="O154" i="6" s="1"/>
  <c r="P154" i="6" s="1"/>
  <c r="N156" i="6"/>
  <c r="O156" i="6" s="1"/>
  <c r="P156" i="6" s="1"/>
  <c r="J224" i="4"/>
  <c r="O35" i="6"/>
  <c r="P35" i="6" s="1"/>
  <c r="N60" i="6"/>
  <c r="O60" i="6" s="1"/>
  <c r="P60" i="6" s="1"/>
  <c r="N133" i="6"/>
  <c r="O133" i="6" s="1"/>
  <c r="P133" i="6" s="1"/>
  <c r="F149" i="6"/>
  <c r="F94" i="6"/>
  <c r="K30" i="3"/>
  <c r="M27" i="3"/>
  <c r="N150" i="6"/>
  <c r="O150" i="6" s="1"/>
  <c r="P150" i="6" s="1"/>
  <c r="N128" i="6"/>
  <c r="O128" i="6" s="1"/>
  <c r="P128" i="6" s="1"/>
  <c r="H94" i="6"/>
  <c r="N140" i="6"/>
  <c r="O140" i="6" s="1"/>
  <c r="P140" i="6" s="1"/>
  <c r="G36" i="3"/>
  <c r="N32" i="6"/>
  <c r="O32" i="6" s="1"/>
  <c r="P32" i="6" s="1"/>
  <c r="D160" i="6"/>
  <c r="N151" i="6"/>
  <c r="O151" i="6" s="1"/>
  <c r="P151" i="6" s="1"/>
  <c r="D203" i="4"/>
  <c r="I31" i="2"/>
  <c r="E58" i="3"/>
  <c r="I83" i="6"/>
  <c r="N20" i="3"/>
  <c r="O20" i="3" s="1"/>
  <c r="P20" i="3" s="1"/>
  <c r="L74" i="4"/>
  <c r="G31" i="2"/>
  <c r="H58" i="3"/>
  <c r="H21" i="2"/>
  <c r="H31" i="2" s="1"/>
  <c r="N14" i="4"/>
  <c r="O14" i="4" s="1"/>
  <c r="P14" i="4" s="1"/>
  <c r="I58" i="3"/>
  <c r="C15" i="3"/>
  <c r="F28" i="4"/>
  <c r="G39" i="4"/>
  <c r="G8" i="3"/>
  <c r="N97" i="4"/>
  <c r="O97" i="4" s="1"/>
  <c r="P97" i="4" s="1"/>
  <c r="N108" i="4"/>
  <c r="O108" i="4" s="1"/>
  <c r="P108" i="4" s="1"/>
  <c r="D12" i="2"/>
  <c r="N26" i="3"/>
  <c r="O26" i="3" s="1"/>
  <c r="P26" i="3" s="1"/>
  <c r="C29" i="3"/>
  <c r="L58" i="3"/>
  <c r="L21" i="2"/>
  <c r="L31" i="2" s="1"/>
  <c r="E15" i="3"/>
  <c r="N53" i="3"/>
  <c r="O53" i="3" s="1"/>
  <c r="P53" i="3" s="1"/>
  <c r="J127" i="6"/>
  <c r="N30" i="2"/>
  <c r="O30" i="2" s="1"/>
  <c r="P30" i="2" s="1"/>
  <c r="N57" i="3"/>
  <c r="O57" i="3" s="1"/>
  <c r="P57" i="3" s="1"/>
  <c r="D220" i="4"/>
  <c r="N55" i="3"/>
  <c r="O55" i="3" s="1"/>
  <c r="P55" i="3" s="1"/>
  <c r="N56" i="3"/>
  <c r="O56" i="3" s="1"/>
  <c r="P56" i="3" s="1"/>
  <c r="N52" i="3"/>
  <c r="O52" i="3" s="1"/>
  <c r="P52" i="3" s="1"/>
  <c r="D26" i="2"/>
  <c r="D28" i="2"/>
  <c r="N28" i="2" s="1"/>
  <c r="C58" i="3"/>
  <c r="C28" i="2"/>
  <c r="C24" i="2"/>
  <c r="D58" i="3"/>
  <c r="D29" i="2"/>
  <c r="H17" i="4" l="1"/>
  <c r="I23" i="3"/>
  <c r="N51" i="3"/>
  <c r="O51" i="3" s="1"/>
  <c r="P51" i="3" s="1"/>
  <c r="N24" i="2"/>
  <c r="K180" i="4"/>
  <c r="J58" i="3"/>
  <c r="P742" i="5"/>
  <c r="Q742" i="5" s="1"/>
  <c r="R742" i="5" s="1"/>
  <c r="M17" i="6"/>
  <c r="M82" i="4"/>
  <c r="M29" i="3" s="1"/>
  <c r="M15" i="2" s="1"/>
  <c r="M15" i="1" s="1"/>
  <c r="K17" i="6"/>
  <c r="K82" i="4"/>
  <c r="P1272" i="5"/>
  <c r="Q1272" i="5" s="1"/>
  <c r="R1272" i="5" s="1"/>
  <c r="F28" i="3"/>
  <c r="P725" i="5"/>
  <c r="Q725" i="5" s="1"/>
  <c r="R725" i="5" s="1"/>
  <c r="P1784" i="5"/>
  <c r="Q1784" i="5" s="1"/>
  <c r="R1784" i="5" s="1"/>
  <c r="L23" i="3"/>
  <c r="D19" i="2"/>
  <c r="D19" i="1" s="1"/>
  <c r="D18" i="3"/>
  <c r="H133" i="4"/>
  <c r="D42" i="3"/>
  <c r="H18" i="3"/>
  <c r="J12" i="3"/>
  <c r="J17" i="3" s="1"/>
  <c r="H27" i="3"/>
  <c r="F43" i="3"/>
  <c r="F16" i="2" s="1"/>
  <c r="F16" i="1" s="1"/>
  <c r="I39" i="6"/>
  <c r="N88" i="6"/>
  <c r="O88" i="6" s="1"/>
  <c r="P88" i="6" s="1"/>
  <c r="G30" i="3"/>
  <c r="G16" i="2" s="1"/>
  <c r="G16" i="1" s="1"/>
  <c r="N29" i="6"/>
  <c r="O29" i="6" s="1"/>
  <c r="P29" i="6" s="1"/>
  <c r="D28" i="3"/>
  <c r="D14" i="2" s="1"/>
  <c r="D110" i="4"/>
  <c r="N30" i="6"/>
  <c r="O30" i="6" s="1"/>
  <c r="P30" i="6" s="1"/>
  <c r="P2401" i="5"/>
  <c r="Q2401" i="5" s="1"/>
  <c r="R2401" i="5" s="1"/>
  <c r="P981" i="5"/>
  <c r="Q981" i="5" s="1"/>
  <c r="R981" i="5" s="1"/>
  <c r="I145" i="4"/>
  <c r="M156" i="4"/>
  <c r="F17" i="4"/>
  <c r="N12" i="6"/>
  <c r="O12" i="6" s="1"/>
  <c r="P12" i="6" s="1"/>
  <c r="M23" i="3"/>
  <c r="M8" i="2" s="1"/>
  <c r="M8" i="1" s="1"/>
  <c r="M18" i="3"/>
  <c r="D23" i="3"/>
  <c r="E39" i="6"/>
  <c r="M58" i="3"/>
  <c r="L133" i="4"/>
  <c r="O161" i="4"/>
  <c r="P161" i="4" s="1"/>
  <c r="D133" i="4"/>
  <c r="J31" i="3"/>
  <c r="J17" i="2" s="1"/>
  <c r="J17" i="1" s="1"/>
  <c r="P1169" i="5"/>
  <c r="Q1169" i="5" s="1"/>
  <c r="R1169" i="5" s="1"/>
  <c r="F13" i="2"/>
  <c r="F13" i="1" s="1"/>
  <c r="I14" i="2"/>
  <c r="I14" i="1" s="1"/>
  <c r="C105" i="6"/>
  <c r="N112" i="6"/>
  <c r="O112" i="6" s="1"/>
  <c r="P112" i="6" s="1"/>
  <c r="F17" i="2"/>
  <c r="F17" i="1" s="1"/>
  <c r="P845" i="5"/>
  <c r="Q845" i="5" s="1"/>
  <c r="R845" i="5" s="1"/>
  <c r="N106" i="4"/>
  <c r="O106" i="4" s="1"/>
  <c r="P106" i="4" s="1"/>
  <c r="N91" i="4"/>
  <c r="O91" i="4" s="1"/>
  <c r="P91" i="4" s="1"/>
  <c r="L17" i="6"/>
  <c r="L29" i="3"/>
  <c r="L15" i="2" s="1"/>
  <c r="L15" i="1" s="1"/>
  <c r="M180" i="4"/>
  <c r="M18" i="2"/>
  <c r="M18" i="1" s="1"/>
  <c r="D22" i="3"/>
  <c r="F640" i="5"/>
  <c r="P2452" i="5"/>
  <c r="Q2452" i="5" s="1"/>
  <c r="R2452" i="5" s="1"/>
  <c r="K17" i="2"/>
  <c r="K17" i="1" s="1"/>
  <c r="P624" i="5"/>
  <c r="Q624" i="5" s="1"/>
  <c r="R624" i="5" s="1"/>
  <c r="D27" i="3"/>
  <c r="D13" i="2" s="1"/>
  <c r="I39" i="4"/>
  <c r="K83" i="6"/>
  <c r="O10" i="3"/>
  <c r="P10" i="3" s="1"/>
  <c r="M74" i="4"/>
  <c r="I19" i="2"/>
  <c r="I19" i="1" s="1"/>
  <c r="L28" i="3"/>
  <c r="L14" i="2" s="1"/>
  <c r="L14" i="1" s="1"/>
  <c r="N100" i="4"/>
  <c r="O100" i="4" s="1"/>
  <c r="P100" i="4" s="1"/>
  <c r="J110" i="4"/>
  <c r="F110" i="4"/>
  <c r="K23" i="3"/>
  <c r="K8" i="2" s="1"/>
  <c r="K8" i="1" s="1"/>
  <c r="H16" i="2"/>
  <c r="H16" i="1" s="1"/>
  <c r="I13" i="2"/>
  <c r="I13" i="1" s="1"/>
  <c r="G22" i="3"/>
  <c r="I640" i="5"/>
  <c r="M21" i="2"/>
  <c r="M31" i="2" s="1"/>
  <c r="G18" i="2"/>
  <c r="G18" i="1" s="1"/>
  <c r="M17" i="3"/>
  <c r="H28" i="3"/>
  <c r="F180" i="4"/>
  <c r="K133" i="4"/>
  <c r="N169" i="4"/>
  <c r="O169" i="4" s="1"/>
  <c r="P169" i="4" s="1"/>
  <c r="J18" i="3"/>
  <c r="L110" i="4"/>
  <c r="E22" i="3"/>
  <c r="G640" i="5"/>
  <c r="N74" i="6"/>
  <c r="O74" i="6" s="1"/>
  <c r="P74" i="6" s="1"/>
  <c r="P280" i="5"/>
  <c r="Q280" i="5" s="1"/>
  <c r="R280" i="5" s="1"/>
  <c r="N9" i="3"/>
  <c r="O9" i="3" s="1"/>
  <c r="P9" i="3" s="1"/>
  <c r="M28" i="3"/>
  <c r="J28" i="6"/>
  <c r="N104" i="4"/>
  <c r="O104" i="4" s="1"/>
  <c r="P104" i="4" s="1"/>
  <c r="L16" i="2"/>
  <c r="L16" i="1" s="1"/>
  <c r="F145" i="4"/>
  <c r="N111" i="4"/>
  <c r="O111" i="4" s="1"/>
  <c r="P111" i="4" s="1"/>
  <c r="K13" i="2"/>
  <c r="K13" i="1" s="1"/>
  <c r="H145" i="4"/>
  <c r="N139" i="4"/>
  <c r="O139" i="4" s="1"/>
  <c r="P139" i="4" s="1"/>
  <c r="I110" i="4"/>
  <c r="E28" i="6"/>
  <c r="E102" i="4"/>
  <c r="I204" i="4"/>
  <c r="I213" i="4" s="1"/>
  <c r="K39" i="6"/>
  <c r="K101" i="4"/>
  <c r="M206" i="4"/>
  <c r="M213" i="4" s="1"/>
  <c r="N138" i="6"/>
  <c r="O138" i="6" s="1"/>
  <c r="P138" i="6" s="1"/>
  <c r="J105" i="6"/>
  <c r="J206" i="4"/>
  <c r="J40" i="3" s="1"/>
  <c r="H28" i="6"/>
  <c r="H105" i="4"/>
  <c r="J19" i="2"/>
  <c r="J19" i="1" s="1"/>
  <c r="K208" i="4"/>
  <c r="K42" i="3" s="1"/>
  <c r="K47" i="3" s="1"/>
  <c r="N98" i="6"/>
  <c r="O98" i="6" s="1"/>
  <c r="P98" i="6" s="1"/>
  <c r="F8" i="2"/>
  <c r="F8" i="1" s="1"/>
  <c r="L31" i="3"/>
  <c r="L17" i="2" s="1"/>
  <c r="L17" i="1" s="1"/>
  <c r="J156" i="4"/>
  <c r="J207" i="4"/>
  <c r="N207" i="4" s="1"/>
  <c r="O207" i="4" s="1"/>
  <c r="P207" i="4" s="1"/>
  <c r="N107" i="6"/>
  <c r="O107" i="6" s="1"/>
  <c r="P107" i="6" s="1"/>
  <c r="N107" i="4"/>
  <c r="O107" i="4" s="1"/>
  <c r="P107" i="4" s="1"/>
  <c r="G39" i="6"/>
  <c r="N39" i="6" s="1"/>
  <c r="O39" i="6" s="1"/>
  <c r="P39" i="6" s="1"/>
  <c r="G101" i="4"/>
  <c r="G24" i="3" s="1"/>
  <c r="G10" i="2" s="1"/>
  <c r="G9" i="1" s="1"/>
  <c r="N44" i="3"/>
  <c r="O44" i="3" s="1"/>
  <c r="P44" i="3" s="1"/>
  <c r="E14" i="2"/>
  <c r="E14" i="1" s="1"/>
  <c r="D29" i="3"/>
  <c r="J43" i="3"/>
  <c r="J16" i="2" s="1"/>
  <c r="J16" i="1" s="1"/>
  <c r="H206" i="4"/>
  <c r="C103" i="4"/>
  <c r="O103" i="4" s="1"/>
  <c r="P103" i="4" s="1"/>
  <c r="N12" i="2"/>
  <c r="O12" i="2" s="1"/>
  <c r="P12" i="2" s="1"/>
  <c r="D12" i="1"/>
  <c r="N12" i="1" s="1"/>
  <c r="O12" i="1" s="1"/>
  <c r="P12" i="1" s="1"/>
  <c r="H121" i="4"/>
  <c r="M105" i="6"/>
  <c r="M28" i="6"/>
  <c r="M102" i="4"/>
  <c r="M25" i="3" s="1"/>
  <c r="M11" i="2" s="1"/>
  <c r="M10" i="1" s="1"/>
  <c r="H18" i="2"/>
  <c r="H18" i="1" s="1"/>
  <c r="K7" i="2"/>
  <c r="K7" i="1" s="1"/>
  <c r="E19" i="2"/>
  <c r="E19" i="1" s="1"/>
  <c r="F19" i="2"/>
  <c r="F19" i="1" s="1"/>
  <c r="C14" i="2"/>
  <c r="C14" i="1" s="1"/>
  <c r="C19" i="2"/>
  <c r="C19" i="1" s="1"/>
  <c r="N27" i="2"/>
  <c r="O27" i="2" s="1"/>
  <c r="P27" i="2" s="1"/>
  <c r="N127" i="6"/>
  <c r="H19" i="2"/>
  <c r="H19" i="1" s="1"/>
  <c r="N123" i="4"/>
  <c r="O123" i="4" s="1"/>
  <c r="P123" i="4" s="1"/>
  <c r="L18" i="2"/>
  <c r="L18" i="1" s="1"/>
  <c r="H8" i="3"/>
  <c r="H17" i="3" s="1"/>
  <c r="P828" i="5"/>
  <c r="Q828" i="5" s="1"/>
  <c r="R828" i="5" s="1"/>
  <c r="L17" i="3"/>
  <c r="P2094" i="5"/>
  <c r="Q2094" i="5" s="1"/>
  <c r="R2094" i="5" s="1"/>
  <c r="D17" i="6"/>
  <c r="N19" i="4"/>
  <c r="O19" i="4" s="1"/>
  <c r="P19" i="4" s="1"/>
  <c r="J180" i="4"/>
  <c r="P1237" i="5"/>
  <c r="Q1237" i="5" s="1"/>
  <c r="R1237" i="5" s="1"/>
  <c r="C224" i="4"/>
  <c r="J121" i="4"/>
  <c r="D17" i="2"/>
  <c r="D17" i="1" s="1"/>
  <c r="F18" i="2"/>
  <c r="F18" i="1" s="1"/>
  <c r="D18" i="2"/>
  <c r="D18" i="1" s="1"/>
  <c r="C127" i="6"/>
  <c r="N45" i="3"/>
  <c r="O45" i="3" s="1"/>
  <c r="P45" i="3" s="1"/>
  <c r="O118" i="6"/>
  <c r="P118" i="6" s="1"/>
  <c r="E24" i="3"/>
  <c r="E10" i="2" s="1"/>
  <c r="E9" i="1" s="1"/>
  <c r="P1084" i="5"/>
  <c r="Q1084" i="5" s="1"/>
  <c r="R1084" i="5" s="1"/>
  <c r="N49" i="3"/>
  <c r="O49" i="3" s="1"/>
  <c r="P49" i="3" s="1"/>
  <c r="N30" i="4"/>
  <c r="O30" i="4" s="1"/>
  <c r="P30" i="4" s="1"/>
  <c r="C17" i="2"/>
  <c r="C17" i="1" s="1"/>
  <c r="N215" i="4"/>
  <c r="O215" i="4" s="1"/>
  <c r="P215" i="4" s="1"/>
  <c r="E133" i="4"/>
  <c r="K18" i="2"/>
  <c r="K18" i="1" s="1"/>
  <c r="L36" i="3"/>
  <c r="P1220" i="5"/>
  <c r="Q1220" i="5" s="1"/>
  <c r="R1220" i="5" s="1"/>
  <c r="M83" i="6"/>
  <c r="P246" i="5"/>
  <c r="Q246" i="5" s="1"/>
  <c r="R246" i="5" s="1"/>
  <c r="P1852" i="5"/>
  <c r="Q1852" i="5" s="1"/>
  <c r="R1852" i="5" s="1"/>
  <c r="G83" i="6"/>
  <c r="N640" i="5"/>
  <c r="M22" i="3"/>
  <c r="O640" i="5"/>
  <c r="J18" i="2"/>
  <c r="J18" i="1" s="1"/>
  <c r="P40" i="5"/>
  <c r="Q40" i="5" s="1"/>
  <c r="R40" i="5" s="1"/>
  <c r="G19" i="2"/>
  <c r="G19" i="1" s="1"/>
  <c r="J22" i="3"/>
  <c r="L640" i="5"/>
  <c r="K58" i="3"/>
  <c r="N106" i="6"/>
  <c r="O106" i="6" s="1"/>
  <c r="P106" i="6" s="1"/>
  <c r="N20" i="6"/>
  <c r="O20" i="6" s="1"/>
  <c r="P20" i="6" s="1"/>
  <c r="P2162" i="5"/>
  <c r="Q2162" i="5" s="1"/>
  <c r="R2162" i="5" s="1"/>
  <c r="O19" i="3"/>
  <c r="P19" i="3" s="1"/>
  <c r="N72" i="6"/>
  <c r="O72" i="6" s="1"/>
  <c r="P72" i="6" s="1"/>
  <c r="G18" i="3"/>
  <c r="P776" i="5"/>
  <c r="Q776" i="5" s="1"/>
  <c r="R776" i="5" s="1"/>
  <c r="I18" i="3"/>
  <c r="E43" i="3"/>
  <c r="E16" i="2" s="1"/>
  <c r="E16" i="1" s="1"/>
  <c r="N126" i="4"/>
  <c r="O126" i="4" s="1"/>
  <c r="P126" i="4" s="1"/>
  <c r="J10" i="2"/>
  <c r="J9" i="1" s="1"/>
  <c r="P1975" i="5"/>
  <c r="Q1975" i="5" s="1"/>
  <c r="R1975" i="5" s="1"/>
  <c r="H156" i="4"/>
  <c r="N209" i="4"/>
  <c r="O209" i="4" s="1"/>
  <c r="P209" i="4" s="1"/>
  <c r="N99" i="4"/>
  <c r="O99" i="4" s="1"/>
  <c r="P99" i="4" s="1"/>
  <c r="N174" i="4"/>
  <c r="O174" i="4" s="1"/>
  <c r="P174" i="4" s="1"/>
  <c r="M16" i="2"/>
  <c r="M16" i="1" s="1"/>
  <c r="H36" i="3"/>
  <c r="F24" i="3"/>
  <c r="F10" i="2" s="1"/>
  <c r="F9" i="1" s="1"/>
  <c r="J27" i="3"/>
  <c r="Q1152" i="5"/>
  <c r="R1152" i="5" s="1"/>
  <c r="G180" i="4"/>
  <c r="D8" i="3"/>
  <c r="M19" i="2"/>
  <c r="M19" i="1" s="1"/>
  <c r="N109" i="6"/>
  <c r="O109" i="6" s="1"/>
  <c r="P109" i="6" s="1"/>
  <c r="N153" i="4"/>
  <c r="O153" i="4" s="1"/>
  <c r="P153" i="4" s="1"/>
  <c r="I18" i="2"/>
  <c r="I18" i="1" s="1"/>
  <c r="N61" i="6"/>
  <c r="O61" i="6" s="1"/>
  <c r="P61" i="6" s="1"/>
  <c r="F58" i="3"/>
  <c r="N41" i="6"/>
  <c r="O41" i="6" s="1"/>
  <c r="P41" i="6" s="1"/>
  <c r="D50" i="6"/>
  <c r="N50" i="6" s="1"/>
  <c r="O50" i="6" s="1"/>
  <c r="P50" i="6" s="1"/>
  <c r="I17" i="6"/>
  <c r="F83" i="6"/>
  <c r="K31" i="2"/>
  <c r="N54" i="3"/>
  <c r="O54" i="3" s="1"/>
  <c r="P54" i="3" s="1"/>
  <c r="N34" i="4"/>
  <c r="O34" i="4" s="1"/>
  <c r="P34" i="4" s="1"/>
  <c r="G127" i="5"/>
  <c r="E12" i="4"/>
  <c r="N235" i="4"/>
  <c r="O235" i="4" s="1"/>
  <c r="P235" i="4" s="1"/>
  <c r="K14" i="2"/>
  <c r="K14" i="1" s="1"/>
  <c r="F18" i="3"/>
  <c r="F7" i="2" s="1"/>
  <c r="N88" i="4"/>
  <c r="O88" i="4" s="1"/>
  <c r="P88" i="4" s="1"/>
  <c r="D39" i="4"/>
  <c r="N109" i="4"/>
  <c r="O109" i="4" s="1"/>
  <c r="P109" i="4" s="1"/>
  <c r="E83" i="6"/>
  <c r="D28" i="6"/>
  <c r="N23" i="6"/>
  <c r="O23" i="6" s="1"/>
  <c r="P23" i="6" s="1"/>
  <c r="N31" i="6"/>
  <c r="O31" i="6" s="1"/>
  <c r="P31" i="6" s="1"/>
  <c r="I12" i="3"/>
  <c r="I17" i="3" s="1"/>
  <c r="I17" i="4"/>
  <c r="N28" i="4"/>
  <c r="O28" i="4" s="1"/>
  <c r="P28" i="4" s="1"/>
  <c r="N89" i="4"/>
  <c r="O89" i="4" s="1"/>
  <c r="P89" i="4" s="1"/>
  <c r="N46" i="3"/>
  <c r="O46" i="3" s="1"/>
  <c r="P46" i="3" s="1"/>
  <c r="N16" i="3"/>
  <c r="O16" i="3" s="1"/>
  <c r="P16" i="3" s="1"/>
  <c r="F29" i="3"/>
  <c r="F15" i="2" s="1"/>
  <c r="F15" i="1" s="1"/>
  <c r="F87" i="4"/>
  <c r="N32" i="3"/>
  <c r="O32" i="3" s="1"/>
  <c r="P32" i="3" s="1"/>
  <c r="K19" i="2"/>
  <c r="K19" i="1" s="1"/>
  <c r="H87" i="4"/>
  <c r="H22" i="3"/>
  <c r="N208" i="4"/>
  <c r="O208" i="4" s="1"/>
  <c r="P208" i="4" s="1"/>
  <c r="L213" i="4"/>
  <c r="N149" i="6"/>
  <c r="O149" i="6" s="1"/>
  <c r="P149" i="6" s="1"/>
  <c r="N191" i="4"/>
  <c r="O191" i="4" s="1"/>
  <c r="P191" i="4" s="1"/>
  <c r="I43" i="3"/>
  <c r="K17" i="4"/>
  <c r="K12" i="3"/>
  <c r="C12" i="3"/>
  <c r="C15" i="2" s="1"/>
  <c r="J29" i="3"/>
  <c r="N13" i="3"/>
  <c r="O13" i="3" s="1"/>
  <c r="P13" i="3" s="1"/>
  <c r="F127" i="5"/>
  <c r="D12" i="4"/>
  <c r="P116" i="5"/>
  <c r="Q116" i="5" s="1"/>
  <c r="R116" i="5" s="1"/>
  <c r="I17" i="2"/>
  <c r="I17" i="1" s="1"/>
  <c r="P2111" i="5"/>
  <c r="Q2111" i="5" s="1"/>
  <c r="R2111" i="5" s="1"/>
  <c r="F74" i="4"/>
  <c r="N72" i="4"/>
  <c r="O72" i="4" s="1"/>
  <c r="P72" i="4" s="1"/>
  <c r="D172" i="4"/>
  <c r="D83" i="6"/>
  <c r="N75" i="6"/>
  <c r="O75" i="6" s="1"/>
  <c r="P75" i="6" s="1"/>
  <c r="E40" i="3"/>
  <c r="E213" i="4"/>
  <c r="N160" i="6"/>
  <c r="O160" i="6" s="1"/>
  <c r="P160" i="6" s="1"/>
  <c r="E29" i="3"/>
  <c r="N11" i="3"/>
  <c r="O11" i="3" s="1"/>
  <c r="P11" i="3" s="1"/>
  <c r="E23" i="3"/>
  <c r="J8" i="2"/>
  <c r="J8" i="1" s="1"/>
  <c r="G29" i="3"/>
  <c r="G15" i="2" s="1"/>
  <c r="G15" i="1" s="1"/>
  <c r="C43" i="3"/>
  <c r="C16" i="2" s="1"/>
  <c r="C16" i="1" s="1"/>
  <c r="N168" i="4"/>
  <c r="O168" i="4" s="1"/>
  <c r="P168" i="4" s="1"/>
  <c r="G14" i="2"/>
  <c r="G14" i="1" s="1"/>
  <c r="O2197" i="5"/>
  <c r="P2197" i="5" s="1"/>
  <c r="Q2197" i="5" s="1"/>
  <c r="R2197" i="5" s="1"/>
  <c r="M194" i="4"/>
  <c r="P2182" i="5"/>
  <c r="Q2182" i="5" s="1"/>
  <c r="R2182" i="5" s="1"/>
  <c r="E180" i="4"/>
  <c r="E18" i="3"/>
  <c r="H171" i="4"/>
  <c r="H83" i="6"/>
  <c r="N33" i="3"/>
  <c r="O33" i="3" s="1"/>
  <c r="P33" i="3" s="1"/>
  <c r="L172" i="4"/>
  <c r="L83" i="6"/>
  <c r="F17" i="3"/>
  <c r="N220" i="4"/>
  <c r="O220" i="4" s="1"/>
  <c r="P220" i="4" s="1"/>
  <c r="D43" i="3"/>
  <c r="H41" i="3"/>
  <c r="F41" i="3"/>
  <c r="F213" i="4"/>
  <c r="D213" i="4"/>
  <c r="N203" i="4"/>
  <c r="O203" i="4" s="1"/>
  <c r="P203" i="4" s="1"/>
  <c r="D35" i="3"/>
  <c r="G17" i="3"/>
  <c r="G8" i="2"/>
  <c r="G8" i="1" s="1"/>
  <c r="C213" i="4"/>
  <c r="C36" i="3"/>
  <c r="L13" i="2"/>
  <c r="L13" i="1" s="1"/>
  <c r="D36" i="3"/>
  <c r="D31" i="2"/>
  <c r="C10" i="1"/>
  <c r="N15" i="3"/>
  <c r="O15" i="3" s="1"/>
  <c r="P15" i="3" s="1"/>
  <c r="E18" i="2"/>
  <c r="G40" i="3"/>
  <c r="G213" i="4"/>
  <c r="D224" i="4"/>
  <c r="N224" i="4" s="1"/>
  <c r="K16" i="2"/>
  <c r="K16" i="1" s="1"/>
  <c r="C18" i="2"/>
  <c r="N94" i="6"/>
  <c r="O94" i="6" s="1"/>
  <c r="P94" i="6" s="1"/>
  <c r="C31" i="2"/>
  <c r="N26" i="2"/>
  <c r="O26" i="2" s="1"/>
  <c r="P26" i="2" s="1"/>
  <c r="O28" i="2"/>
  <c r="P28" i="2" s="1"/>
  <c r="N29" i="2"/>
  <c r="O29" i="2" s="1"/>
  <c r="P29" i="2" s="1"/>
  <c r="O24" i="2"/>
  <c r="P24" i="2" s="1"/>
  <c r="N82" i="4" l="1"/>
  <c r="O82" i="4" s="1"/>
  <c r="P82" i="4" s="1"/>
  <c r="K87" i="4"/>
  <c r="K29" i="3"/>
  <c r="K15" i="2" s="1"/>
  <c r="K15" i="1" s="1"/>
  <c r="H7" i="2"/>
  <c r="H7" i="1" s="1"/>
  <c r="E7" i="2"/>
  <c r="L8" i="2"/>
  <c r="L8" i="1" s="1"/>
  <c r="N21" i="2"/>
  <c r="O21" i="2" s="1"/>
  <c r="P21" i="2" s="1"/>
  <c r="N74" i="4"/>
  <c r="O74" i="4" s="1"/>
  <c r="P74" i="4" s="1"/>
  <c r="J15" i="2"/>
  <c r="J15" i="1" s="1"/>
  <c r="N156" i="4"/>
  <c r="O156" i="4" s="1"/>
  <c r="P156" i="4" s="1"/>
  <c r="G7" i="2"/>
  <c r="G7" i="1" s="1"/>
  <c r="N30" i="3"/>
  <c r="O30" i="3" s="1"/>
  <c r="P30" i="3" s="1"/>
  <c r="N31" i="2"/>
  <c r="O31" i="2" s="1"/>
  <c r="P31" i="2" s="1"/>
  <c r="N204" i="4"/>
  <c r="O204" i="4" s="1"/>
  <c r="P204" i="4" s="1"/>
  <c r="M7" i="2"/>
  <c r="M7" i="1" s="1"/>
  <c r="N121" i="4"/>
  <c r="O121" i="4" s="1"/>
  <c r="P121" i="4" s="1"/>
  <c r="E87" i="4"/>
  <c r="O127" i="6"/>
  <c r="P127" i="6" s="1"/>
  <c r="M34" i="3"/>
  <c r="D7" i="2"/>
  <c r="N145" i="4"/>
  <c r="O145" i="4" s="1"/>
  <c r="P145" i="4" s="1"/>
  <c r="N133" i="4"/>
  <c r="O133" i="4" s="1"/>
  <c r="P133" i="4" s="1"/>
  <c r="N39" i="4"/>
  <c r="O39" i="4" s="1"/>
  <c r="P39" i="4" s="1"/>
  <c r="N42" i="3"/>
  <c r="O42" i="3" s="1"/>
  <c r="P42" i="3" s="1"/>
  <c r="D87" i="4"/>
  <c r="M14" i="2"/>
  <c r="M14" i="1" s="1"/>
  <c r="M110" i="4"/>
  <c r="P640" i="5"/>
  <c r="Q640" i="5" s="1"/>
  <c r="R640" i="5" s="1"/>
  <c r="N8" i="3"/>
  <c r="O8" i="3" s="1"/>
  <c r="P8" i="3" s="1"/>
  <c r="C17" i="3"/>
  <c r="J7" i="2"/>
  <c r="J7" i="1" s="1"/>
  <c r="N28" i="3"/>
  <c r="O28" i="3" s="1"/>
  <c r="P28" i="3" s="1"/>
  <c r="N58" i="3"/>
  <c r="O58" i="3" s="1"/>
  <c r="P58" i="3" s="1"/>
  <c r="G87" i="4"/>
  <c r="K213" i="4"/>
  <c r="N206" i="4"/>
  <c r="O206" i="4" s="1"/>
  <c r="P206" i="4" s="1"/>
  <c r="O224" i="4"/>
  <c r="P224" i="4" s="1"/>
  <c r="N105" i="6"/>
  <c r="O105" i="6" s="1"/>
  <c r="P105" i="6" s="1"/>
  <c r="N17" i="6"/>
  <c r="O17" i="6" s="1"/>
  <c r="P17" i="6" s="1"/>
  <c r="N101" i="4"/>
  <c r="O101" i="4" s="1"/>
  <c r="P101" i="4" s="1"/>
  <c r="J213" i="4"/>
  <c r="H40" i="3"/>
  <c r="H13" i="2" s="1"/>
  <c r="H13" i="1" s="1"/>
  <c r="J41" i="3"/>
  <c r="N41" i="3" s="1"/>
  <c r="O41" i="3" s="1"/>
  <c r="P41" i="3" s="1"/>
  <c r="K110" i="4"/>
  <c r="K24" i="3"/>
  <c r="H213" i="4"/>
  <c r="G110" i="4"/>
  <c r="C27" i="3"/>
  <c r="C13" i="2" s="1"/>
  <c r="C13" i="1" s="1"/>
  <c r="C110" i="4"/>
  <c r="N28" i="6"/>
  <c r="O28" i="6" s="1"/>
  <c r="P28" i="6" s="1"/>
  <c r="I36" i="3"/>
  <c r="I8" i="2" s="1"/>
  <c r="I8" i="1" s="1"/>
  <c r="E25" i="3"/>
  <c r="N102" i="4"/>
  <c r="O102" i="4" s="1"/>
  <c r="P102" i="4" s="1"/>
  <c r="N31" i="3"/>
  <c r="O31" i="3" s="1"/>
  <c r="P31" i="3" s="1"/>
  <c r="M40" i="3"/>
  <c r="M13" i="2" s="1"/>
  <c r="M13" i="1" s="1"/>
  <c r="E110" i="4"/>
  <c r="H29" i="3"/>
  <c r="H15" i="2" s="1"/>
  <c r="H15" i="1" s="1"/>
  <c r="N105" i="4"/>
  <c r="O105" i="4" s="1"/>
  <c r="P105" i="4" s="1"/>
  <c r="H110" i="4"/>
  <c r="I7" i="2"/>
  <c r="I7" i="1" s="1"/>
  <c r="F7" i="1"/>
  <c r="C7" i="2"/>
  <c r="N19" i="1"/>
  <c r="O19" i="1" s="1"/>
  <c r="P19" i="1" s="1"/>
  <c r="L47" i="3"/>
  <c r="M87" i="4"/>
  <c r="J34" i="3"/>
  <c r="N17" i="2"/>
  <c r="O17" i="2" s="1"/>
  <c r="P17" i="2" s="1"/>
  <c r="F34" i="3"/>
  <c r="N76" i="4"/>
  <c r="O76" i="4" s="1"/>
  <c r="P76" i="4" s="1"/>
  <c r="N27" i="3"/>
  <c r="J87" i="4"/>
  <c r="L87" i="4"/>
  <c r="L22" i="3"/>
  <c r="N17" i="1"/>
  <c r="O17" i="1" s="1"/>
  <c r="P17" i="1" s="1"/>
  <c r="G34" i="3"/>
  <c r="J13" i="2"/>
  <c r="J13" i="1" s="1"/>
  <c r="I87" i="4"/>
  <c r="I29" i="3"/>
  <c r="I34" i="3" s="1"/>
  <c r="K17" i="3"/>
  <c r="P127" i="5"/>
  <c r="Q127" i="5" s="1"/>
  <c r="R127" i="5" s="1"/>
  <c r="N83" i="6"/>
  <c r="O83" i="6" s="1"/>
  <c r="P83" i="6" s="1"/>
  <c r="E12" i="3"/>
  <c r="E17" i="3" s="1"/>
  <c r="E17" i="4"/>
  <c r="N19" i="2"/>
  <c r="O19" i="2" s="1"/>
  <c r="P19" i="2" s="1"/>
  <c r="I16" i="2"/>
  <c r="I16" i="1" s="1"/>
  <c r="N98" i="4"/>
  <c r="O98" i="4" s="1"/>
  <c r="P98" i="4" s="1"/>
  <c r="L24" i="3"/>
  <c r="L180" i="4"/>
  <c r="M38" i="3"/>
  <c r="M202" i="4"/>
  <c r="N202" i="4" s="1"/>
  <c r="O202" i="4" s="1"/>
  <c r="P202" i="4" s="1"/>
  <c r="N194" i="4"/>
  <c r="O194" i="4" s="1"/>
  <c r="P194" i="4" s="1"/>
  <c r="N172" i="4"/>
  <c r="O172" i="4" s="1"/>
  <c r="P172" i="4" s="1"/>
  <c r="D180" i="4"/>
  <c r="D24" i="3"/>
  <c r="H180" i="4"/>
  <c r="H23" i="3"/>
  <c r="N23" i="3" s="1"/>
  <c r="O23" i="3" s="1"/>
  <c r="P23" i="3" s="1"/>
  <c r="D12" i="3"/>
  <c r="N12" i="4"/>
  <c r="O12" i="4" s="1"/>
  <c r="P12" i="4" s="1"/>
  <c r="D17" i="4"/>
  <c r="E8" i="2"/>
  <c r="E8" i="1" s="1"/>
  <c r="N18" i="3"/>
  <c r="O18" i="3" s="1"/>
  <c r="P18" i="3" s="1"/>
  <c r="E13" i="2"/>
  <c r="E13" i="1" s="1"/>
  <c r="E47" i="3"/>
  <c r="N171" i="4"/>
  <c r="O171" i="4" s="1"/>
  <c r="P171" i="4" s="1"/>
  <c r="N43" i="3"/>
  <c r="O43" i="3" s="1"/>
  <c r="P43" i="3" s="1"/>
  <c r="D16" i="2"/>
  <c r="C18" i="1"/>
  <c r="D14" i="1"/>
  <c r="G13" i="2"/>
  <c r="D8" i="2"/>
  <c r="C47" i="3"/>
  <c r="C8" i="2"/>
  <c r="D13" i="1"/>
  <c r="F47" i="3"/>
  <c r="F14" i="2"/>
  <c r="N18" i="2"/>
  <c r="O18" i="2" s="1"/>
  <c r="P18" i="2" s="1"/>
  <c r="E18" i="1"/>
  <c r="N18" i="1" s="1"/>
  <c r="C15" i="1"/>
  <c r="D47" i="3"/>
  <c r="N35" i="3"/>
  <c r="O35" i="3" s="1"/>
  <c r="P35" i="3" s="1"/>
  <c r="H14" i="2"/>
  <c r="G47" i="3"/>
  <c r="N213" i="4" l="1"/>
  <c r="O213" i="4" s="1"/>
  <c r="P213" i="4" s="1"/>
  <c r="N110" i="4"/>
  <c r="O110" i="4" s="1"/>
  <c r="P110" i="4" s="1"/>
  <c r="N36" i="3"/>
  <c r="O36" i="3" s="1"/>
  <c r="P36" i="3" s="1"/>
  <c r="N40" i="3"/>
  <c r="O40" i="3" s="1"/>
  <c r="P40" i="3" s="1"/>
  <c r="H47" i="3"/>
  <c r="O27" i="3"/>
  <c r="P27" i="3" s="1"/>
  <c r="C34" i="3"/>
  <c r="E11" i="2"/>
  <c r="N25" i="3"/>
  <c r="O25" i="3" s="1"/>
  <c r="P25" i="3" s="1"/>
  <c r="K10" i="2"/>
  <c r="K34" i="3"/>
  <c r="N22" i="3"/>
  <c r="O22" i="3" s="1"/>
  <c r="P22" i="3" s="1"/>
  <c r="L7" i="2"/>
  <c r="L7" i="1" s="1"/>
  <c r="J14" i="2"/>
  <c r="J47" i="3"/>
  <c r="I47" i="3"/>
  <c r="E34" i="3"/>
  <c r="C20" i="2"/>
  <c r="C7" i="1"/>
  <c r="N87" i="4"/>
  <c r="O87" i="4" s="1"/>
  <c r="P87" i="4" s="1"/>
  <c r="N13" i="2"/>
  <c r="O13" i="2" s="1"/>
  <c r="P13" i="2" s="1"/>
  <c r="N17" i="4"/>
  <c r="O17" i="4" s="1"/>
  <c r="P17" i="4" s="1"/>
  <c r="N29" i="3"/>
  <c r="O29" i="3" s="1"/>
  <c r="P29" i="3" s="1"/>
  <c r="I15" i="2"/>
  <c r="N180" i="4"/>
  <c r="O180" i="4" s="1"/>
  <c r="P180" i="4" s="1"/>
  <c r="E15" i="2"/>
  <c r="E15" i="1" s="1"/>
  <c r="N12" i="3"/>
  <c r="O12" i="3" s="1"/>
  <c r="P12" i="3" s="1"/>
  <c r="D17" i="3"/>
  <c r="N17" i="3" s="1"/>
  <c r="O17" i="3" s="1"/>
  <c r="P17" i="3" s="1"/>
  <c r="D15" i="2"/>
  <c r="D10" i="2"/>
  <c r="D34" i="3"/>
  <c r="N24" i="3"/>
  <c r="O24" i="3" s="1"/>
  <c r="P24" i="3" s="1"/>
  <c r="E7" i="1"/>
  <c r="H8" i="2"/>
  <c r="H8" i="1" s="1"/>
  <c r="H34" i="3"/>
  <c r="M9" i="2"/>
  <c r="N38" i="3"/>
  <c r="O38" i="3" s="1"/>
  <c r="P38" i="3" s="1"/>
  <c r="M47" i="3"/>
  <c r="O18" i="1"/>
  <c r="P18" i="1" s="1"/>
  <c r="L10" i="2"/>
  <c r="L34" i="3"/>
  <c r="C8" i="1"/>
  <c r="D7" i="1"/>
  <c r="H14" i="1"/>
  <c r="D8" i="1"/>
  <c r="N16" i="2"/>
  <c r="O16" i="2" s="1"/>
  <c r="P16" i="2" s="1"/>
  <c r="D16" i="1"/>
  <c r="N16" i="1" s="1"/>
  <c r="O16" i="1" s="1"/>
  <c r="P16" i="1" s="1"/>
  <c r="F14" i="1"/>
  <c r="F20" i="1" s="1"/>
  <c r="F20" i="2"/>
  <c r="G13" i="1"/>
  <c r="G20" i="1" s="1"/>
  <c r="G20" i="2"/>
  <c r="N7" i="2" l="1"/>
  <c r="O7" i="2" s="1"/>
  <c r="P7" i="2" s="1"/>
  <c r="N47" i="3"/>
  <c r="O47" i="3" s="1"/>
  <c r="P47" i="3" s="1"/>
  <c r="J14" i="1"/>
  <c r="J20" i="1" s="1"/>
  <c r="J20" i="2"/>
  <c r="N14" i="2"/>
  <c r="O14" i="2" s="1"/>
  <c r="P14" i="2" s="1"/>
  <c r="K9" i="1"/>
  <c r="K20" i="1" s="1"/>
  <c r="K20" i="2"/>
  <c r="E10" i="1"/>
  <c r="N10" i="1" s="1"/>
  <c r="O10" i="1" s="1"/>
  <c r="P10" i="1" s="1"/>
  <c r="N11" i="2"/>
  <c r="O11" i="2" s="1"/>
  <c r="P11" i="2" s="1"/>
  <c r="C20" i="1"/>
  <c r="N8" i="1"/>
  <c r="O8" i="1" s="1"/>
  <c r="P8" i="1" s="1"/>
  <c r="E20" i="2"/>
  <c r="D20" i="2"/>
  <c r="N8" i="2"/>
  <c r="O8" i="2" s="1"/>
  <c r="P8" i="2" s="1"/>
  <c r="H20" i="2"/>
  <c r="H20" i="1"/>
  <c r="N13" i="1"/>
  <c r="O13" i="1" s="1"/>
  <c r="P13" i="1" s="1"/>
  <c r="I15" i="1"/>
  <c r="I20" i="1" s="1"/>
  <c r="I20" i="2"/>
  <c r="N34" i="3"/>
  <c r="O34" i="3" s="1"/>
  <c r="P34" i="3" s="1"/>
  <c r="L9" i="1"/>
  <c r="L20" i="1" s="1"/>
  <c r="L20" i="2"/>
  <c r="N10" i="2"/>
  <c r="O10" i="2" s="1"/>
  <c r="P10" i="2" s="1"/>
  <c r="D9" i="1"/>
  <c r="M11" i="1"/>
  <c r="N9" i="2"/>
  <c r="O9" i="2" s="1"/>
  <c r="P9" i="2" s="1"/>
  <c r="M20" i="2"/>
  <c r="N15" i="2"/>
  <c r="O15" i="2" s="1"/>
  <c r="P15" i="2" s="1"/>
  <c r="D15" i="1"/>
  <c r="N7" i="1"/>
  <c r="O7" i="1" s="1"/>
  <c r="P7" i="1" s="1"/>
  <c r="N14" i="1" l="1"/>
  <c r="O14" i="1" s="1"/>
  <c r="P14" i="1" s="1"/>
  <c r="E20" i="1"/>
  <c r="N9" i="1"/>
  <c r="O9" i="1" s="1"/>
  <c r="P9" i="1" s="1"/>
  <c r="N20" i="2"/>
  <c r="O20" i="2" s="1"/>
  <c r="P20" i="2" s="1"/>
  <c r="N15" i="1"/>
  <c r="O15" i="1" s="1"/>
  <c r="P15" i="1" s="1"/>
  <c r="N11" i="1"/>
  <c r="O11" i="1" s="1"/>
  <c r="P11" i="1" s="1"/>
  <c r="M20" i="1"/>
  <c r="D20" i="1"/>
  <c r="N20" i="1" l="1"/>
  <c r="O20" i="1" s="1"/>
  <c r="P20" i="1" s="1"/>
</calcChain>
</file>

<file path=xl/sharedStrings.xml><?xml version="1.0" encoding="utf-8"?>
<sst xmlns="http://schemas.openxmlformats.org/spreadsheetml/2006/main" count="5365" uniqueCount="710">
  <si>
    <t>University of California, San Diego Survey of Parking Space Occupancy Levels, Spring 2021</t>
  </si>
  <si>
    <t>University-wide</t>
  </si>
  <si>
    <t>Parking</t>
  </si>
  <si>
    <t>Empty Parking Spaces</t>
  </si>
  <si>
    <t>At Peak</t>
  </si>
  <si>
    <t>Space</t>
  </si>
  <si>
    <t>Spaces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</si>
  <si>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</si>
  <si>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</si>
  <si>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</si>
  <si>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</si>
  <si>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</si>
  <si>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</si>
  <si>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</si>
  <si>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</si>
  <si>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</si>
  <si>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</si>
  <si>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Empty</t>
  </si>
  <si>
    <t>Occupied</t>
  </si>
  <si>
    <t>%</t>
  </si>
  <si>
    <t>am</t>
  </si>
  <si>
    <t>pm</t>
  </si>
  <si>
    <t>University</t>
  </si>
  <si>
    <t>A</t>
  </si>
  <si>
    <t>of</t>
  </si>
  <si>
    <t>B</t>
  </si>
  <si>
    <t>California,</t>
  </si>
  <si>
    <t>S</t>
  </si>
  <si>
    <t>San Diego</t>
  </si>
  <si>
    <t>SR</t>
  </si>
  <si>
    <t>D</t>
  </si>
  <si>
    <t>Visitor</t>
  </si>
  <si>
    <t>Reserved</t>
  </si>
  <si>
    <t>Allocated</t>
  </si>
  <si>
    <t>Accessible</t>
  </si>
  <si>
    <t>UC Vehicle</t>
  </si>
  <si>
    <t>Service Yard</t>
  </si>
  <si>
    <t>Loading</t>
  </si>
  <si>
    <t>Total</t>
  </si>
  <si>
    <t>By Location</t>
  </si>
  <si>
    <t>Location</t>
  </si>
  <si>
    <t>La Jolla</t>
  </si>
  <si>
    <t>Campus</t>
  </si>
  <si>
    <t>$3/Supersaver</t>
  </si>
  <si>
    <t>Medical</t>
  </si>
  <si>
    <t>Center</t>
  </si>
  <si>
    <t>Hillcrest</t>
  </si>
  <si>
    <t>By Area</t>
  </si>
  <si>
    <t>Area</t>
  </si>
  <si>
    <t>Scripps</t>
  </si>
  <si>
    <t>Institution</t>
  </si>
  <si>
    <t>Oceanography</t>
  </si>
  <si>
    <t>West</t>
  </si>
  <si>
    <t>2hr A</t>
  </si>
  <si>
    <t>3hr A</t>
  </si>
  <si>
    <t>4hr A</t>
  </si>
  <si>
    <t>24/7 Enforced A</t>
  </si>
  <si>
    <t>East</t>
  </si>
  <si>
    <t xml:space="preserve">Temporarily Closed for COVID Testing                       					</t>
  </si>
  <si>
    <t>By Neighborhood</t>
  </si>
  <si>
    <t>Neighborhood</t>
  </si>
  <si>
    <t>SIO</t>
  </si>
  <si>
    <t>South</t>
  </si>
  <si>
    <t>Hillside</t>
  </si>
  <si>
    <t>Aquarium</t>
  </si>
  <si>
    <t>Temporarily</t>
  </si>
  <si>
    <t>Closed</t>
  </si>
  <si>
    <t xml:space="preserve">due to </t>
  </si>
  <si>
    <t xml:space="preserve">COVID-19 </t>
  </si>
  <si>
    <t>Restrictions</t>
  </si>
  <si>
    <t>Theatre</t>
  </si>
  <si>
    <t>District</t>
  </si>
  <si>
    <t xml:space="preserve">Affected </t>
  </si>
  <si>
    <t>By</t>
  </si>
  <si>
    <t>Construction</t>
  </si>
  <si>
    <t>Revelle</t>
  </si>
  <si>
    <t>College</t>
  </si>
  <si>
    <t>24/7 Enforced As</t>
  </si>
  <si>
    <t>2hr As</t>
  </si>
  <si>
    <t>Some portions</t>
  </si>
  <si>
    <t>Muir</t>
  </si>
  <si>
    <t>3hr As</t>
  </si>
  <si>
    <t>Marshall</t>
  </si>
  <si>
    <t>Roosevelt</t>
  </si>
  <si>
    <t>Totals are Affected</t>
  </si>
  <si>
    <t xml:space="preserve">by COVID </t>
  </si>
  <si>
    <t xml:space="preserve">Vaccination </t>
  </si>
  <si>
    <t xml:space="preserve">Station </t>
  </si>
  <si>
    <t>at RIMAC</t>
  </si>
  <si>
    <t>North</t>
  </si>
  <si>
    <t>Torrey</t>
  </si>
  <si>
    <t>Pines</t>
  </si>
  <si>
    <t>and</t>
  </si>
  <si>
    <t>$3/Super Saver</t>
  </si>
  <si>
    <t>Glider</t>
  </si>
  <si>
    <t>Port</t>
  </si>
  <si>
    <t>Warren</t>
  </si>
  <si>
    <t>Services</t>
  </si>
  <si>
    <t>Complex</t>
  </si>
  <si>
    <t>Sixth</t>
  </si>
  <si>
    <t>School</t>
  </si>
  <si>
    <t>Medicine</t>
  </si>
  <si>
    <t>Academic</t>
  </si>
  <si>
    <t>Health</t>
  </si>
  <si>
    <t>Sciences</t>
  </si>
  <si>
    <t>Science</t>
  </si>
  <si>
    <t>Research</t>
  </si>
  <si>
    <t>Park</t>
  </si>
  <si>
    <t xml:space="preserve">Temporarily Closed for COVID Testing                       					 </t>
  </si>
  <si>
    <t>total affected by</t>
  </si>
  <si>
    <t>COVID-19 testing</t>
  </si>
  <si>
    <t>By Lot</t>
  </si>
  <si>
    <t>Lot</t>
  </si>
  <si>
    <t>Helper</t>
  </si>
  <si>
    <t>P001</t>
  </si>
  <si>
    <t>Visitor:</t>
  </si>
  <si>
    <t>Allocated: SIO V1G</t>
  </si>
  <si>
    <t>Allocated: V2G</t>
  </si>
  <si>
    <t>Allocated: EV</t>
  </si>
  <si>
    <t>Allocated: SIO</t>
  </si>
  <si>
    <t>Allocated:</t>
  </si>
  <si>
    <t>P002</t>
  </si>
  <si>
    <t>P003</t>
  </si>
  <si>
    <t>Allocated: LG</t>
  </si>
  <si>
    <t>P004</t>
  </si>
  <si>
    <t>Allocated: UCC</t>
  </si>
  <si>
    <t>Loading:</t>
  </si>
  <si>
    <t>Summary</t>
  </si>
  <si>
    <t>P005</t>
  </si>
  <si>
    <t>Loading: 2 Bars</t>
  </si>
  <si>
    <t>P006</t>
  </si>
  <si>
    <t>P007</t>
  </si>
  <si>
    <t>Allocated: UCC Bar</t>
  </si>
  <si>
    <t>Loading: Dock</t>
  </si>
  <si>
    <t>P008</t>
  </si>
  <si>
    <t>P009</t>
  </si>
  <si>
    <t>P010</t>
  </si>
  <si>
    <t>P011</t>
  </si>
  <si>
    <t xml:space="preserve">affected by </t>
  </si>
  <si>
    <t>construction</t>
  </si>
  <si>
    <t>Allocated: CA</t>
  </si>
  <si>
    <t>P012</t>
  </si>
  <si>
    <t>P013</t>
  </si>
  <si>
    <t>P014</t>
  </si>
  <si>
    <t>Visitor: Parkmobile</t>
  </si>
  <si>
    <t>P015</t>
  </si>
  <si>
    <t>P016</t>
  </si>
  <si>
    <t>Allocated: SIO S</t>
  </si>
  <si>
    <t>P017</t>
  </si>
  <si>
    <t>Allocated: BA</t>
  </si>
  <si>
    <t>P021</t>
  </si>
  <si>
    <t>P101</t>
  </si>
  <si>
    <t>P102</t>
  </si>
  <si>
    <t>to</t>
  </si>
  <si>
    <t>Allocated: LJP</t>
  </si>
  <si>
    <t>Allocated: SCP</t>
  </si>
  <si>
    <t>Loading Dock (Catering)</t>
  </si>
  <si>
    <t>P103</t>
  </si>
  <si>
    <t>Regular As</t>
  </si>
  <si>
    <t xml:space="preserve">Closed </t>
  </si>
  <si>
    <t xml:space="preserve">to </t>
  </si>
  <si>
    <t>Reserved: ZIP</t>
  </si>
  <si>
    <t>P105</t>
  </si>
  <si>
    <t>Allocated: RIB</t>
  </si>
  <si>
    <t xml:space="preserve">Loading </t>
  </si>
  <si>
    <t>P106</t>
  </si>
  <si>
    <t>P107</t>
  </si>
  <si>
    <t>P108</t>
  </si>
  <si>
    <t>P110</t>
  </si>
  <si>
    <t>P111</t>
  </si>
  <si>
    <t xml:space="preserve">Permanently </t>
  </si>
  <si>
    <t>P112</t>
  </si>
  <si>
    <t>P113</t>
  </si>
  <si>
    <t>Visitor: PBS</t>
  </si>
  <si>
    <t>P114</t>
  </si>
  <si>
    <t>closed for</t>
  </si>
  <si>
    <t>P116</t>
  </si>
  <si>
    <t>Allocated: CAT</t>
  </si>
  <si>
    <t>Allocated: HDH</t>
  </si>
  <si>
    <t>Allocated: V0796</t>
  </si>
  <si>
    <t>P201</t>
  </si>
  <si>
    <t>P202</t>
  </si>
  <si>
    <t>P203</t>
  </si>
  <si>
    <t>P204</t>
  </si>
  <si>
    <t>Allocated: HDM</t>
  </si>
  <si>
    <t>P205</t>
  </si>
  <si>
    <t>P206</t>
  </si>
  <si>
    <t>A Regular</t>
  </si>
  <si>
    <t>A 24/7</t>
  </si>
  <si>
    <t>3 hr A</t>
  </si>
  <si>
    <t>Allocated: FC</t>
  </si>
  <si>
    <t xml:space="preserve">Allocated: </t>
  </si>
  <si>
    <t>P211</t>
  </si>
  <si>
    <t>Allocated: Unmarked</t>
  </si>
  <si>
    <t>P212</t>
  </si>
  <si>
    <t>P213</t>
  </si>
  <si>
    <t>P302</t>
  </si>
  <si>
    <t>P303</t>
  </si>
  <si>
    <t>Visitor: PAD</t>
  </si>
  <si>
    <t>Allocated: 5 MIN V</t>
  </si>
  <si>
    <t>P304</t>
  </si>
  <si>
    <t>P306</t>
  </si>
  <si>
    <t>P308</t>
  </si>
  <si>
    <t>Allocated: EHS</t>
  </si>
  <si>
    <t>P309</t>
  </si>
  <si>
    <t>P310</t>
  </si>
  <si>
    <t>P341</t>
  </si>
  <si>
    <t>P342</t>
  </si>
  <si>
    <t>Allocated: HO</t>
  </si>
  <si>
    <t>Allocated: TO</t>
  </si>
  <si>
    <t>Allocated:V1G</t>
  </si>
  <si>
    <t>P343</t>
  </si>
  <si>
    <t>USED FOR COVID-19 VACCINATION RIMAC SITE</t>
  </si>
  <si>
    <t>P344</t>
  </si>
  <si>
    <t>P345</t>
  </si>
  <si>
    <t>P346</t>
  </si>
  <si>
    <t>P347</t>
  </si>
  <si>
    <t>P351</t>
  </si>
  <si>
    <t>Allocated: RSM</t>
  </si>
  <si>
    <t>P352</t>
  </si>
  <si>
    <t>portions</t>
  </si>
  <si>
    <t>closed</t>
  </si>
  <si>
    <t>P353</t>
  </si>
  <si>
    <t>Allocated: FEV</t>
  </si>
  <si>
    <t>P354</t>
  </si>
  <si>
    <t>P357</t>
  </si>
  <si>
    <t xml:space="preserve">*Currently </t>
  </si>
  <si>
    <t>Used</t>
  </si>
  <si>
    <t xml:space="preserve">for </t>
  </si>
  <si>
    <t xml:space="preserve">COVID </t>
  </si>
  <si>
    <t>Vaccination</t>
  </si>
  <si>
    <t>Reserved Spaces</t>
  </si>
  <si>
    <t xml:space="preserve">ADA </t>
  </si>
  <si>
    <t>Reserved: V2G</t>
  </si>
  <si>
    <t>Reserved Total</t>
  </si>
  <si>
    <t>P358</t>
  </si>
  <si>
    <t>P359</t>
  </si>
  <si>
    <t>P371</t>
  </si>
  <si>
    <t>P372</t>
  </si>
  <si>
    <t>P373</t>
  </si>
  <si>
    <t>P374</t>
  </si>
  <si>
    <t>P375</t>
  </si>
  <si>
    <t>P376</t>
  </si>
  <si>
    <t>Allocated: ZIP</t>
  </si>
  <si>
    <t>P381</t>
  </si>
  <si>
    <t>Allocated: BCP</t>
  </si>
  <si>
    <t>Allocated: Office</t>
  </si>
  <si>
    <t>Allocated: ERV</t>
  </si>
  <si>
    <t>Allocated: PM</t>
  </si>
  <si>
    <t>Allocated: EVO</t>
  </si>
  <si>
    <t>P382</t>
  </si>
  <si>
    <t xml:space="preserve">Visitor: </t>
  </si>
  <si>
    <t>P383</t>
  </si>
  <si>
    <t>P384</t>
  </si>
  <si>
    <t>Allocated: SCRM</t>
  </si>
  <si>
    <t>P385</t>
  </si>
  <si>
    <t>P386</t>
  </si>
  <si>
    <t>P391</t>
  </si>
  <si>
    <t>Oversized B (Loading)</t>
  </si>
  <si>
    <t>P392</t>
  </si>
  <si>
    <t>Allocated: ACP</t>
  </si>
  <si>
    <t>P393</t>
  </si>
  <si>
    <t>P394</t>
  </si>
  <si>
    <t>P395</t>
  </si>
  <si>
    <t>Allocated: VP</t>
  </si>
  <si>
    <t>P401</t>
  </si>
  <si>
    <t>P402</t>
  </si>
  <si>
    <t>A 24/7 Enforced</t>
  </si>
  <si>
    <t>P403</t>
  </si>
  <si>
    <t>For</t>
  </si>
  <si>
    <t>P404</t>
  </si>
  <si>
    <t>P405</t>
  </si>
  <si>
    <t>affected</t>
  </si>
  <si>
    <t>by</t>
  </si>
  <si>
    <t>P406a</t>
  </si>
  <si>
    <t>P406b</t>
  </si>
  <si>
    <t>P407</t>
  </si>
  <si>
    <t>P408</t>
  </si>
  <si>
    <t>Allocated: RET</t>
  </si>
  <si>
    <t>P410</t>
  </si>
  <si>
    <t>Allocated: HM</t>
  </si>
  <si>
    <t>P411</t>
  </si>
  <si>
    <t>P412</t>
  </si>
  <si>
    <t>P413</t>
  </si>
  <si>
    <t>P414</t>
  </si>
  <si>
    <t>P415</t>
  </si>
  <si>
    <t>Allocated: SHAS</t>
  </si>
  <si>
    <t>Allocated: SHP</t>
  </si>
  <si>
    <t>P416</t>
  </si>
  <si>
    <t>Currently in</t>
  </si>
  <si>
    <t xml:space="preserve">Use for </t>
  </si>
  <si>
    <t>Outdoor</t>
  </si>
  <si>
    <t>Classrooms</t>
  </si>
  <si>
    <t>Allocated: Target</t>
  </si>
  <si>
    <t>P418</t>
  </si>
  <si>
    <t>P451</t>
  </si>
  <si>
    <t>Allocated: CUS</t>
  </si>
  <si>
    <t>Allocated: CUV</t>
  </si>
  <si>
    <t>P452</t>
  </si>
  <si>
    <t>Allocated: GPO</t>
  </si>
  <si>
    <t>Allocated: TOV</t>
  </si>
  <si>
    <t>UC Vehicle + Cart</t>
  </si>
  <si>
    <t>P453</t>
  </si>
  <si>
    <t>Allocated: V1G</t>
  </si>
  <si>
    <t>P454</t>
  </si>
  <si>
    <t>P455</t>
  </si>
  <si>
    <t>P456</t>
  </si>
  <si>
    <t>P501</t>
  </si>
  <si>
    <t>P502</t>
  </si>
  <si>
    <t>P503</t>
  </si>
  <si>
    <t>A (4 hr)</t>
  </si>
  <si>
    <t>B (1 hr)</t>
  </si>
  <si>
    <t>P504</t>
  </si>
  <si>
    <t>P505</t>
  </si>
  <si>
    <t>P506</t>
  </si>
  <si>
    <t>P507</t>
  </si>
  <si>
    <t>Allocated: KPU</t>
  </si>
  <si>
    <t>Allocated: LS</t>
  </si>
  <si>
    <t>Allocated: PVIS</t>
  </si>
  <si>
    <t>Allocated: TMS</t>
  </si>
  <si>
    <t>Allocated: TMS Carts</t>
  </si>
  <si>
    <t>P508</t>
  </si>
  <si>
    <t>P509</t>
  </si>
  <si>
    <t>Loading Dock</t>
  </si>
  <si>
    <t>P510</t>
  </si>
  <si>
    <t>P511</t>
  </si>
  <si>
    <t>P601</t>
  </si>
  <si>
    <t>P602</t>
  </si>
  <si>
    <t>Reserved: FM</t>
  </si>
  <si>
    <t>Reserved: SPP</t>
  </si>
  <si>
    <t>P603</t>
  </si>
  <si>
    <t>Reserved: MRI</t>
  </si>
  <si>
    <t>P604</t>
  </si>
  <si>
    <t>P605</t>
  </si>
  <si>
    <t>P606</t>
  </si>
  <si>
    <t>P607</t>
  </si>
  <si>
    <t>Service Yard: Loading dock</t>
  </si>
  <si>
    <t>P608</t>
  </si>
  <si>
    <t>P610</t>
  </si>
  <si>
    <t>P651</t>
  </si>
  <si>
    <t>P652</t>
  </si>
  <si>
    <t>P653</t>
  </si>
  <si>
    <t>Allocated: Curbside</t>
  </si>
  <si>
    <t>P654</t>
  </si>
  <si>
    <t>P655</t>
  </si>
  <si>
    <t>P701</t>
  </si>
  <si>
    <t xml:space="preserve">temporarily </t>
  </si>
  <si>
    <t>blocked</t>
  </si>
  <si>
    <t>P703</t>
  </si>
  <si>
    <t>Allocated: AMB</t>
  </si>
  <si>
    <t>Allocated: ROC</t>
  </si>
  <si>
    <t>P704</t>
  </si>
  <si>
    <t>Inventory</t>
  </si>
  <si>
    <t>Affected by</t>
  </si>
  <si>
    <t>bus training</t>
  </si>
  <si>
    <t>P705</t>
  </si>
  <si>
    <t>P706</t>
  </si>
  <si>
    <t>Allocated: Preuss</t>
  </si>
  <si>
    <t>P721</t>
  </si>
  <si>
    <t>P722</t>
  </si>
  <si>
    <t>P723</t>
  </si>
  <si>
    <t>P731</t>
  </si>
  <si>
    <t>P732</t>
  </si>
  <si>
    <t>P733</t>
  </si>
  <si>
    <t>P734</t>
  </si>
  <si>
    <t>Allocated: ER</t>
  </si>
  <si>
    <t>Allocated: LJPV</t>
  </si>
  <si>
    <t>P735</t>
  </si>
  <si>
    <t>P741</t>
  </si>
  <si>
    <t>P742</t>
  </si>
  <si>
    <t>P743</t>
  </si>
  <si>
    <t>P744</t>
  </si>
  <si>
    <t>P745</t>
  </si>
  <si>
    <t>Visitor: B2390</t>
  </si>
  <si>
    <t>Allocated:EV</t>
  </si>
  <si>
    <t>P746</t>
  </si>
  <si>
    <t>P747</t>
  </si>
  <si>
    <t>P751</t>
  </si>
  <si>
    <t>Allocated: VAL</t>
  </si>
  <si>
    <t>VALET</t>
  </si>
  <si>
    <t>Allocated: 30 MIN</t>
  </si>
  <si>
    <t>P752</t>
  </si>
  <si>
    <t>Allocated: POC</t>
  </si>
  <si>
    <t>P753</t>
  </si>
  <si>
    <t>P757</t>
  </si>
  <si>
    <t>P758</t>
  </si>
  <si>
    <t>P759</t>
  </si>
  <si>
    <t>Allocated: Physician A</t>
  </si>
  <si>
    <t>Allocated: ADRC</t>
  </si>
  <si>
    <t>Allocated: HDCRC</t>
  </si>
  <si>
    <t>Valet</t>
  </si>
  <si>
    <t>P760</t>
  </si>
  <si>
    <t>P761</t>
  </si>
  <si>
    <t>P762</t>
  </si>
  <si>
    <t>P782</t>
  </si>
  <si>
    <t>$3/Super Saver Lot</t>
  </si>
  <si>
    <t>for</t>
  </si>
  <si>
    <t>Covid</t>
  </si>
  <si>
    <t>Testing</t>
  </si>
  <si>
    <t>P784</t>
  </si>
  <si>
    <t>P785</t>
  </si>
  <si>
    <t>P791</t>
  </si>
  <si>
    <t xml:space="preserve">Only </t>
  </si>
  <si>
    <t>QPASS</t>
  </si>
  <si>
    <t xml:space="preserve">data </t>
  </si>
  <si>
    <t>collected</t>
  </si>
  <si>
    <t>Allocated: 2 Person Carpool</t>
  </si>
  <si>
    <t>P792</t>
  </si>
  <si>
    <t>P793</t>
  </si>
  <si>
    <t>P901</t>
  </si>
  <si>
    <t>P902</t>
  </si>
  <si>
    <t>P903</t>
  </si>
  <si>
    <t>P904</t>
  </si>
  <si>
    <t>P905</t>
  </si>
  <si>
    <t>P906</t>
  </si>
  <si>
    <t>P907</t>
  </si>
  <si>
    <t>Allocated: HPV</t>
  </si>
  <si>
    <t>P908</t>
  </si>
  <si>
    <t>P909</t>
  </si>
  <si>
    <t>P910</t>
  </si>
  <si>
    <t>P911</t>
  </si>
  <si>
    <t>P912</t>
  </si>
  <si>
    <t>P913</t>
  </si>
  <si>
    <t>P914</t>
  </si>
  <si>
    <t>P921</t>
  </si>
  <si>
    <t>P922</t>
  </si>
  <si>
    <t>Allocated: BPO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</si>
  <si>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</si>
  <si>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</si>
  <si>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</si>
  <si>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</si>
  <si>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</si>
  <si>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</si>
  <si>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</si>
  <si>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</si>
  <si>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</si>
  <si>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</si>
  <si>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>Allocated: 140P</t>
  </si>
  <si>
    <t>P942</t>
  </si>
  <si>
    <t>Allocated: 140V</t>
  </si>
  <si>
    <t>P952</t>
  </si>
  <si>
    <t>Allocated: LET</t>
  </si>
  <si>
    <t>P953</t>
  </si>
  <si>
    <t>P954</t>
  </si>
  <si>
    <t>Allocated: BFH</t>
  </si>
  <si>
    <t>P955</t>
  </si>
  <si>
    <t>Allocated: FL</t>
  </si>
  <si>
    <t>P956</t>
  </si>
  <si>
    <t>P957</t>
  </si>
  <si>
    <t>Allocated: AVRC</t>
  </si>
  <si>
    <t>Allocated: CTC</t>
  </si>
  <si>
    <t>Allocated: MV</t>
  </si>
  <si>
    <t>Allocated: Mail DO</t>
  </si>
  <si>
    <t>P958</t>
  </si>
  <si>
    <t>Reserved: STEMI</t>
  </si>
  <si>
    <t>P962</t>
  </si>
  <si>
    <t>P963</t>
  </si>
  <si>
    <t>P964</t>
  </si>
  <si>
    <t>By Structure</t>
  </si>
  <si>
    <t>Structure</t>
  </si>
  <si>
    <t>Scholars</t>
  </si>
  <si>
    <t>(P211-3)</t>
  </si>
  <si>
    <t>Hopkins</t>
  </si>
  <si>
    <t>(P341-7)</t>
  </si>
  <si>
    <t>Pangea</t>
  </si>
  <si>
    <t>(P371-6)</t>
  </si>
  <si>
    <t>(P381-2)</t>
  </si>
  <si>
    <t>(P391-4)</t>
  </si>
  <si>
    <t>Gilman</t>
  </si>
  <si>
    <t>(P451-6)</t>
  </si>
  <si>
    <t>Osler</t>
  </si>
  <si>
    <t>(P651-5)</t>
  </si>
  <si>
    <t>Campus Point</t>
  </si>
  <si>
    <t>(P721-2)</t>
  </si>
  <si>
    <t>(P731-5)</t>
  </si>
  <si>
    <t>Athena</t>
  </si>
  <si>
    <t>(P741-7)</t>
  </si>
  <si>
    <t>Nuevo West</t>
  </si>
  <si>
    <t>P791-3</t>
  </si>
  <si>
    <t>Arbor</t>
  </si>
  <si>
    <t>(P901-14)</t>
  </si>
  <si>
    <t>Bachman</t>
  </si>
  <si>
    <t>(P921-31)</t>
  </si>
  <si>
    <t>140 Arbor</t>
  </si>
  <si>
    <t>(P941-2)</t>
  </si>
  <si>
    <t>University of California, San Diego Survey of Parking Space Occupancy Levels, Summer 2020</t>
  </si>
  <si>
    <t>By Level</t>
  </si>
  <si>
    <t>Allocated: PO</t>
  </si>
  <si>
    <t>Parking Spaces Closed</t>
  </si>
  <si>
    <t xml:space="preserve">P706 </t>
  </si>
  <si>
    <t>ALL</t>
  </si>
  <si>
    <t xml:space="preserve">ALL </t>
  </si>
  <si>
    <t>D spaces</t>
  </si>
  <si>
    <t>Includes parking spaces blocked off for special events, occupied by equipment, or undergoing minor maintenance. Excludes parking spaces lost (removed from inventory) for an extended time due to construction. A closed parking space was classified as occupied.</t>
  </si>
  <si>
    <t>Visitor Parking Spaces</t>
  </si>
  <si>
    <t>Abbreviation</t>
  </si>
  <si>
    <t>Meter</t>
  </si>
  <si>
    <t>PAD</t>
  </si>
  <si>
    <t>Pay and Display</t>
  </si>
  <si>
    <t>PBS</t>
  </si>
  <si>
    <t>Pay by Space</t>
  </si>
  <si>
    <t>PUE</t>
  </si>
  <si>
    <t>Pay upon Exit</t>
  </si>
  <si>
    <t>Allocated Parking Spaces</t>
  </si>
  <si>
    <t>140P</t>
  </si>
  <si>
    <t>140 Arbor Patient</t>
  </si>
  <si>
    <t>140V</t>
  </si>
  <si>
    <t>140 Arbor Visitor</t>
  </si>
  <si>
    <t>ACP</t>
  </si>
  <si>
    <t>A Carpool</t>
  </si>
  <si>
    <t>ADRC</t>
  </si>
  <si>
    <t>Alzheimers Disease Research Center Patient</t>
  </si>
  <si>
    <t>AMB</t>
  </si>
  <si>
    <t>Ambulance</t>
  </si>
  <si>
    <t>AVRC</t>
  </si>
  <si>
    <t>Antiviral Research Center / HIV Neurobehavioral Research Center Patient</t>
  </si>
  <si>
    <t>BA</t>
  </si>
  <si>
    <t>Birch Aquarium Visitor</t>
  </si>
  <si>
    <t>BCP</t>
  </si>
  <si>
    <t>B Carpool</t>
  </si>
  <si>
    <t>BE</t>
  </si>
  <si>
    <t>Building Engineer</t>
  </si>
  <si>
    <t>BFH</t>
  </si>
  <si>
    <t>Bannister Family House Patient/Visitor</t>
  </si>
  <si>
    <t>BPO</t>
  </si>
  <si>
    <t>Bachman Parking Office Visitor</t>
  </si>
  <si>
    <t>CA</t>
  </si>
  <si>
    <t>Coastal Access</t>
  </si>
  <si>
    <t>CAL</t>
  </si>
  <si>
    <t>Caltrans Vehicle</t>
  </si>
  <si>
    <t>CAT</t>
  </si>
  <si>
    <t>Catering Vehicle</t>
  </si>
  <si>
    <t>CAV</t>
  </si>
  <si>
    <t>Clean Air Vehicle</t>
  </si>
  <si>
    <t>COMP</t>
  </si>
  <si>
    <t>Compliance Vehicle</t>
  </si>
  <si>
    <t>CUS</t>
  </si>
  <si>
    <t>Credit Union Staff</t>
  </si>
  <si>
    <t>CUV</t>
  </si>
  <si>
    <t>Credit Union Visitor</t>
  </si>
  <si>
    <t>ECO</t>
  </si>
  <si>
    <t>East Campus West Office</t>
  </si>
  <si>
    <t>EHS</t>
  </si>
  <si>
    <t>Environment, Health, and Safety Vehicle</t>
  </si>
  <si>
    <t>ERV</t>
  </si>
  <si>
    <t>Emergency Response Vehicle</t>
  </si>
  <si>
    <t>ESPP</t>
  </si>
  <si>
    <t>Extended Studies and Public Programs Visitor</t>
  </si>
  <si>
    <t>EV</t>
  </si>
  <si>
    <t>Electric Vehicle</t>
  </si>
  <si>
    <t>FC</t>
  </si>
  <si>
    <t>Faculty Club Visitor</t>
  </si>
  <si>
    <t>FEV</t>
  </si>
  <si>
    <t>Fuel-efficient Vehicle</t>
  </si>
  <si>
    <t>FL</t>
  </si>
  <si>
    <t>Forklift</t>
  </si>
  <si>
    <t>FM</t>
  </si>
  <si>
    <t>Family Medicine Patient</t>
  </si>
  <si>
    <t>FPM</t>
  </si>
  <si>
    <t>Facilities Planning and Management Vehicle</t>
  </si>
  <si>
    <t>GIC</t>
  </si>
  <si>
    <t>Gilman Information Center Visitor</t>
  </si>
  <si>
    <t>GPO</t>
  </si>
  <si>
    <t>Gilman Parking Office Visitor</t>
  </si>
  <si>
    <t>HDH</t>
  </si>
  <si>
    <t>Housing, Dining, and Hospitality Vehicle</t>
  </si>
  <si>
    <t>HDM</t>
  </si>
  <si>
    <t>Housing/Dining Maintenance Vehicle</t>
  </si>
  <si>
    <t>HDRC</t>
  </si>
  <si>
    <t>Huntington's Disease Clinical Research Center</t>
  </si>
  <si>
    <t>HM</t>
  </si>
  <si>
    <t>Hazardous Materials Vehicle</t>
  </si>
  <si>
    <t>HO</t>
  </si>
  <si>
    <t>Hopkins Office Visitor</t>
  </si>
  <si>
    <t>HPV</t>
  </si>
  <si>
    <t>Medical Center Hillcrest Patient/Visitor</t>
  </si>
  <si>
    <t>IC</t>
  </si>
  <si>
    <t>International Center</t>
  </si>
  <si>
    <t>KPU</t>
  </si>
  <si>
    <t>Key Pickup</t>
  </si>
  <si>
    <t>LET</t>
  </si>
  <si>
    <t>Law Enforcement Transport Vehicle</t>
  </si>
  <si>
    <t>LG</t>
  </si>
  <si>
    <t>Lifeguard</t>
  </si>
  <si>
    <t>LJP</t>
  </si>
  <si>
    <t>La Jolla Playhouse Visitor</t>
  </si>
  <si>
    <t>LJPV</t>
  </si>
  <si>
    <t>Medical Center La Jolla Patient/Visitor</t>
  </si>
  <si>
    <t>LS</t>
  </si>
  <si>
    <t>Live Scan Visitor</t>
  </si>
  <si>
    <t>MD</t>
  </si>
  <si>
    <t>Mail Drop</t>
  </si>
  <si>
    <t>MIB</t>
  </si>
  <si>
    <t>Muir Information Board Visitor</t>
  </si>
  <si>
    <t>MOR</t>
  </si>
  <si>
    <t>Mortuary Vehicle</t>
  </si>
  <si>
    <t>MV</t>
  </si>
  <si>
    <t>Mail Vehicle</t>
  </si>
  <si>
    <t>NIC</t>
  </si>
  <si>
    <t>North Point Information Center Visitor</t>
  </si>
  <si>
    <t>NPA</t>
  </si>
  <si>
    <t>PM</t>
  </si>
  <si>
    <t>Property Management</t>
  </si>
  <si>
    <t>POC</t>
  </si>
  <si>
    <t>Physician On Call</t>
  </si>
  <si>
    <t>PVIS</t>
  </si>
  <si>
    <t>Police Visitor</t>
  </si>
  <si>
    <t>RA</t>
  </si>
  <si>
    <t>Retirement Association Visitor</t>
  </si>
  <si>
    <t>RAR</t>
  </si>
  <si>
    <t>Rita Atkinson Residences</t>
  </si>
  <si>
    <t>RIB</t>
  </si>
  <si>
    <t>Revelle Information Board Visitor</t>
  </si>
  <si>
    <t>ROC</t>
  </si>
  <si>
    <t>Radiation Oncology Center Patient/Visitor</t>
  </si>
  <si>
    <t>RSM</t>
  </si>
  <si>
    <t>Rady School of Management Visitor</t>
  </si>
  <si>
    <t>SCP</t>
  </si>
  <si>
    <t>S Carpool</t>
  </si>
  <si>
    <t>SCRM</t>
  </si>
  <si>
    <t>Sanford Consortium for Regenerative Medicine Staff</t>
  </si>
  <si>
    <t>SHAS</t>
  </si>
  <si>
    <t>Student Health Attending Staff</t>
  </si>
  <si>
    <t>SHP</t>
  </si>
  <si>
    <t>Student Health Patient</t>
  </si>
  <si>
    <t>Scripps Institution of Oceanography Staff</t>
  </si>
  <si>
    <t>SPP</t>
  </si>
  <si>
    <t>Standardized Patient Program Patient</t>
  </si>
  <si>
    <t>TH</t>
  </si>
  <si>
    <t>Thornton Hospital</t>
  </si>
  <si>
    <t>TO</t>
  </si>
  <si>
    <t>Transportation Office Vehicle</t>
  </si>
  <si>
    <t>UCC</t>
  </si>
  <si>
    <t>UC Cart</t>
  </si>
  <si>
    <t>UCEV</t>
  </si>
  <si>
    <t>UC Electric Vehicles</t>
  </si>
  <si>
    <t>V0796</t>
  </si>
  <si>
    <t>UC Vehicle #0796</t>
  </si>
  <si>
    <t>VAL</t>
  </si>
  <si>
    <t>VP</t>
  </si>
  <si>
    <t>Vanpool Vehicle</t>
  </si>
  <si>
    <t>ZIP</t>
  </si>
  <si>
    <t>Zipcar</t>
  </si>
  <si>
    <t>Schedule</t>
  </si>
  <si>
    <t>Zone</t>
  </si>
  <si>
    <t>SIO South</t>
  </si>
  <si>
    <t>SIO West</t>
  </si>
  <si>
    <t>SIO Hillside</t>
  </si>
  <si>
    <t>Theatre District</t>
  </si>
  <si>
    <t>Revelle College</t>
  </si>
  <si>
    <t>Muir College</t>
  </si>
  <si>
    <t>Marshall College</t>
  </si>
  <si>
    <t>North Campus</t>
  </si>
  <si>
    <t>Roosevelt College</t>
  </si>
  <si>
    <t>North Torrey Pines and Glider Port</t>
  </si>
  <si>
    <t>Warren College</t>
  </si>
  <si>
    <t>Campus Services Complex</t>
  </si>
  <si>
    <t>Sixth College</t>
  </si>
  <si>
    <t>University Center</t>
  </si>
  <si>
    <t>School of Medicine</t>
  </si>
  <si>
    <t>East Campus Academic</t>
  </si>
  <si>
    <t>Science Research Park</t>
  </si>
  <si>
    <t>Health Sciences 1 (A)</t>
  </si>
  <si>
    <t>Health Sciences 2 (B)</t>
  </si>
  <si>
    <t>Medical Center Hillcrest 1 (a)</t>
  </si>
  <si>
    <t>Medical Center Hillcrest 2 (b)</t>
  </si>
  <si>
    <t>(A) Athena Structure, Campus Point Structure East, West</t>
  </si>
  <si>
    <t>(B) P751, P752, P757-P762</t>
  </si>
  <si>
    <t>(a) Arbor Structure, Bachman Structure, Lot P962, Lot P963</t>
  </si>
  <si>
    <t>(b) 140 Arbor, surface lots</t>
  </si>
  <si>
    <t>Key to Locations, Areas, Neighborhoods, Lots, and Structures</t>
  </si>
  <si>
    <t>University of California, San Diego</t>
  </si>
  <si>
    <t>Medical Center</t>
  </si>
  <si>
    <t>Scripps Institution</t>
  </si>
  <si>
    <t>N. Torrey Pines</t>
  </si>
  <si>
    <t>Structures</t>
  </si>
  <si>
    <t>Lots</t>
  </si>
  <si>
    <t>Glider Port</t>
  </si>
  <si>
    <t>P406</t>
  </si>
  <si>
    <t>TPC South</t>
  </si>
  <si>
    <t>Campus Pt East</t>
  </si>
  <si>
    <t>(P651-6)</t>
  </si>
  <si>
    <t>TPC North</t>
  </si>
  <si>
    <t>Campus Pt West</t>
  </si>
  <si>
    <t>(P791-3)</t>
  </si>
  <si>
    <t>Lot Completely Closed</t>
  </si>
  <si>
    <t>Total Inventory Numbers Affected by Construction</t>
  </si>
  <si>
    <t>Closed for COVID-19 testing</t>
  </si>
  <si>
    <t>Closed to general campus parking, open for vaccination station patients with limited mobility and disability parking placard-holders.</t>
  </si>
  <si>
    <t>Hopkins (P341-7)</t>
  </si>
  <si>
    <t>A and Visitor</t>
  </si>
  <si>
    <t>West Campus:</t>
  </si>
  <si>
    <t>East Campus:</t>
  </si>
  <si>
    <t>ScholarsB3</t>
  </si>
  <si>
    <t>Vela/</t>
  </si>
  <si>
    <t>Nuevo W.</t>
  </si>
  <si>
    <t>Tue April 21</t>
  </si>
  <si>
    <t>Tue April 27</t>
  </si>
  <si>
    <t>Week:  1</t>
  </si>
  <si>
    <t>Tue May 4</t>
  </si>
  <si>
    <t>Th May 6</t>
  </si>
  <si>
    <t>Tue May 11</t>
  </si>
  <si>
    <t>Th May 13</t>
  </si>
  <si>
    <t>Tue May 18</t>
  </si>
  <si>
    <t>Th May 20</t>
  </si>
  <si>
    <t>Tue May 25</t>
  </si>
  <si>
    <t>Tue June 1</t>
  </si>
  <si>
    <t>11/Finals</t>
  </si>
  <si>
    <t>Tue June 8</t>
  </si>
  <si>
    <t>Th June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</si>
</sst>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General_)"/>
    <numFmt numFmtId="165" formatCode="dddd\ mmmm\ d"/>
    <numFmt numFmtId="166" formatCode="dddd\ mmm\ d"/>
  </numFmts>
  <fonts count="22">
    <font>
      <sz val="10"/>
      <color rgb="FF000000"/>
      <name val="Open Sans"/>
    </font>
    <font>
      <sz val="11"/>
      <color rgb="FF003366"/>
      <name val="Arial"/>
    </font>
    <font>
      <sz val="8"/>
      <color rgb="FF003366"/>
      <name val="Arial"/>
    </font>
    <font>
      <b/>
      <sz val="8"/>
      <color rgb="FF003366"/>
      <name val="Arial"/>
    </font>
    <font>
      <sz val="10"/>
      <name val="Open Sans"/>
    </font>
    <font>
      <sz val="10"/>
      <color rgb="FF000000"/>
      <name val="Calibri"/>
    </font>
    <font>
      <sz val="10"/>
      <color rgb="FF003366"/>
      <name val="Calibri"/>
    </font>
    <font>
      <sz val="10"/>
      <color rgb="FF003366"/>
      <name val="Open Sans"/>
    </font>
    <font>
      <sz val="8"/>
      <color rgb="FF000000"/>
      <name val="Open Sans"/>
    </font>
    <font>
      <sz val="10"/>
      <color rgb="FF003366"/>
      <name val="Arial"/>
    </font>
    <font>
      <sz val="7"/>
      <color rgb="FF003366"/>
      <name val="Arial"/>
    </font>
    <font>
      <sz val="9"/>
      <color rgb="FF003366"/>
      <name val="Arial"/>
    </font>
    <font>
      <sz val="8"/>
      <color rgb="FF003366"/>
      <name val="Open Sans"/>
    </font>
    <font>
      <b/>
      <sz val="8"/>
      <color rgb="FF003366"/>
      <name val="Arial"/>
      <family val="2"/>
    </font>
    <font>
      <sz val="10"/>
      <color rgb="FF000000"/>
      <name val="Open Sans"/>
    </font>
    <font>
      <sz val="8"/>
      <color rgb="FF003366"/>
      <name val="Arial"/>
      <family val="2"/>
    </font>
    <font>
      <sz val="8"/>
      <name val="Open Sans"/>
    </font>
    <font>
      <sz val="10"/>
      <color theme="1"/>
      <name val="Calibri"/>
    </font>
    <font>
      <sz val="8"/>
      <color rgb="FF000000"/>
      <name val="Arial"/>
    </font>
    <font>
      <sz val="8"/>
      <color rgb="FF002060"/>
      <name val="Arial"/>
    </font>
    <font>
      <b/>
      <sz val="8"/>
      <color rgb="FF000000"/>
      <name val="Arial"/>
    </font>
    <font>
      <sz val="8"/>
      <color theme="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DDDDD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3B6D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5" tint="0.79998168889431442"/>
        <bgColor rgb="FFF4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59FD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rgb="FFDDDDDD"/>
      </patternFill>
    </fill>
    <fill>
      <patternFill patternType="solid">
        <fgColor rgb="FFF79646"/>
        <bgColor indexed="64"/>
      </patternFill>
    </fill>
    <fill>
      <patternFill patternType="solid">
        <fgColor rgb="FFF79646"/>
        <bgColor rgb="FFDDDDDD"/>
      </patternFill>
    </fill>
    <fill>
      <patternFill patternType="solid">
        <fgColor rgb="FFE7E6E6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164" fontId="0" fillId="0" borderId="0"/>
    <xf numFmtId="164" fontId="14" fillId="0" borderId="28"/>
  </cellStyleXfs>
  <cellXfs count="595">
    <xf numFmtId="164" fontId="0" fillId="0" borderId="0" xfId="0" applyAlignment="1">
      <alignment vertical="center"/>
    </xf>
    <xf numFmtId="164" fontId="2" fillId="0" borderId="1" xfId="0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164" fontId="3" fillId="2" borderId="3" xfId="0" applyFont="1" applyFill="1" applyBorder="1" applyAlignment="1">
      <alignment vertical="center"/>
    </xf>
    <xf numFmtId="164" fontId="3" fillId="2" borderId="4" xfId="0" applyFont="1" applyFill="1" applyBorder="1" applyAlignment="1">
      <alignment vertical="center"/>
    </xf>
    <xf numFmtId="164" fontId="3" fillId="2" borderId="5" xfId="0" applyFont="1" applyFill="1" applyBorder="1" applyAlignment="1">
      <alignment vertical="center"/>
    </xf>
    <xf numFmtId="9" fontId="3" fillId="2" borderId="6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vertical="center"/>
    </xf>
    <xf numFmtId="164" fontId="2" fillId="0" borderId="7" xfId="0" applyFont="1" applyBorder="1" applyAlignment="1">
      <alignment horizontal="right" vertical="center"/>
    </xf>
    <xf numFmtId="164" fontId="2" fillId="0" borderId="1" xfId="0" applyFont="1" applyBorder="1" applyAlignment="1">
      <alignment horizontal="right" vertical="center"/>
    </xf>
    <xf numFmtId="164" fontId="2" fillId="0" borderId="0" xfId="0" applyFont="1" applyAlignment="1">
      <alignment horizontal="right" vertical="center"/>
    </xf>
    <xf numFmtId="164" fontId="5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164" fontId="2" fillId="0" borderId="2" xfId="0" applyFont="1" applyBorder="1" applyAlignment="1">
      <alignment horizontal="right" vertical="center"/>
    </xf>
    <xf numFmtId="164" fontId="3" fillId="2" borderId="2" xfId="0" applyFont="1" applyFill="1" applyBorder="1" applyAlignment="1">
      <alignment horizontal="right" vertical="center"/>
    </xf>
    <xf numFmtId="164" fontId="3" fillId="2" borderId="8" xfId="0" applyFont="1" applyFill="1" applyBorder="1" applyAlignment="1">
      <alignment horizontal="right" vertical="center"/>
    </xf>
    <xf numFmtId="164" fontId="3" fillId="2" borderId="5" xfId="0" applyFont="1" applyFill="1" applyBorder="1" applyAlignment="1">
      <alignment horizontal="right"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164" fontId="2" fillId="0" borderId="7" xfId="0" applyFont="1" applyBorder="1" applyAlignment="1">
      <alignment vertical="center"/>
    </xf>
    <xf numFmtId="164" fontId="2" fillId="0" borderId="2" xfId="0" applyFont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64" fontId="3" fillId="2" borderId="6" xfId="0" applyFont="1" applyFill="1" applyBorder="1" applyAlignment="1">
      <alignment vertical="center"/>
    </xf>
    <xf numFmtId="164" fontId="3" fillId="2" borderId="3" xfId="0" applyFont="1" applyFill="1" applyBorder="1" applyAlignment="1">
      <alignment horizontal="right" vertical="center"/>
    </xf>
    <xf numFmtId="0" fontId="2" fillId="4" borderId="7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164" fontId="6" fillId="0" borderId="0" xfId="0" applyFont="1" applyAlignment="1">
      <alignment vertical="center"/>
    </xf>
    <xf numFmtId="0" fontId="2" fillId="5" borderId="7" xfId="0" applyNumberFormat="1" applyFont="1" applyFill="1" applyBorder="1" applyAlignment="1">
      <alignment vertical="center"/>
    </xf>
    <xf numFmtId="0" fontId="2" fillId="5" borderId="0" xfId="0" applyNumberFormat="1" applyFont="1" applyFill="1" applyAlignment="1">
      <alignment vertical="center"/>
    </xf>
    <xf numFmtId="164" fontId="6" fillId="0" borderId="1" xfId="0" applyFont="1" applyBorder="1" applyAlignment="1">
      <alignment vertical="center"/>
    </xf>
    <xf numFmtId="0" fontId="2" fillId="5" borderId="9" xfId="0" applyNumberFormat="1" applyFont="1" applyFill="1" applyBorder="1" applyAlignment="1">
      <alignment vertical="center"/>
    </xf>
    <xf numFmtId="0" fontId="2" fillId="5" borderId="10" xfId="0" applyNumberFormat="1" applyFont="1" applyFill="1" applyBorder="1" applyAlignment="1">
      <alignment vertical="center"/>
    </xf>
    <xf numFmtId="0" fontId="2" fillId="5" borderId="11" xfId="0" applyNumberFormat="1" applyFont="1" applyFill="1" applyBorder="1" applyAlignment="1">
      <alignment vertical="center"/>
    </xf>
    <xf numFmtId="9" fontId="2" fillId="5" borderId="11" xfId="0" applyNumberFormat="1" applyFont="1" applyFill="1" applyBorder="1" applyAlignment="1">
      <alignment vertical="center"/>
    </xf>
    <xf numFmtId="0" fontId="2" fillId="0" borderId="18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right" vertical="center"/>
    </xf>
    <xf numFmtId="164" fontId="7" fillId="0" borderId="0" xfId="0" applyFont="1" applyAlignment="1">
      <alignment vertical="center"/>
    </xf>
    <xf numFmtId="0" fontId="2" fillId="0" borderId="7" xfId="0" applyNumberFormat="1" applyFont="1" applyBorder="1" applyAlignment="1">
      <alignment vertical="center"/>
    </xf>
    <xf numFmtId="9" fontId="3" fillId="2" borderId="11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vertical="center"/>
    </xf>
    <xf numFmtId="0" fontId="2" fillId="7" borderId="0" xfId="0" applyNumberFormat="1" applyFont="1" applyFill="1" applyAlignment="1">
      <alignment vertical="center"/>
    </xf>
    <xf numFmtId="0" fontId="2" fillId="8" borderId="7" xfId="0" applyNumberFormat="1" applyFont="1" applyFill="1" applyBorder="1" applyAlignment="1">
      <alignment vertical="center"/>
    </xf>
    <xf numFmtId="0" fontId="2" fillId="8" borderId="0" xfId="0" applyNumberFormat="1" applyFont="1" applyFill="1" applyAlignment="1">
      <alignment vertical="center"/>
    </xf>
    <xf numFmtId="0" fontId="2" fillId="8" borderId="1" xfId="0" applyNumberFormat="1" applyFont="1" applyFill="1" applyBorder="1" applyAlignment="1">
      <alignment vertical="center"/>
    </xf>
    <xf numFmtId="164" fontId="2" fillId="8" borderId="1" xfId="0" applyFont="1" applyFill="1" applyBorder="1" applyAlignment="1">
      <alignment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2" xfId="0" applyNumberFormat="1" applyFont="1" applyFill="1" applyBorder="1" applyAlignment="1">
      <alignment vertical="center"/>
    </xf>
    <xf numFmtId="0" fontId="3" fillId="8" borderId="5" xfId="0" applyNumberFormat="1" applyFont="1" applyFill="1" applyBorder="1" applyAlignment="1">
      <alignment vertical="center"/>
    </xf>
    <xf numFmtId="0" fontId="3" fillId="8" borderId="6" xfId="0" applyNumberFormat="1" applyFont="1" applyFill="1" applyBorder="1" applyAlignment="1">
      <alignment vertical="center"/>
    </xf>
    <xf numFmtId="9" fontId="3" fillId="8" borderId="6" xfId="0" applyNumberFormat="1" applyFont="1" applyFill="1" applyBorder="1" applyAlignment="1">
      <alignment vertical="center"/>
    </xf>
    <xf numFmtId="164" fontId="2" fillId="5" borderId="1" xfId="0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vertical="center"/>
    </xf>
    <xf numFmtId="9" fontId="3" fillId="2" borderId="6" xfId="0" applyNumberFormat="1" applyFont="1" applyFill="1" applyBorder="1" applyAlignment="1">
      <alignment horizontal="right" vertical="center"/>
    </xf>
    <xf numFmtId="164" fontId="2" fillId="8" borderId="0" xfId="0" applyFont="1" applyFill="1" applyAlignment="1">
      <alignment vertical="center"/>
    </xf>
    <xf numFmtId="164" fontId="2" fillId="8" borderId="0" xfId="0" applyFont="1" applyFill="1" applyAlignment="1">
      <alignment horizontal="right" vertical="center"/>
    </xf>
    <xf numFmtId="164" fontId="2" fillId="8" borderId="2" xfId="0" applyFont="1" applyFill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0" fontId="3" fillId="2" borderId="19" xfId="0" applyNumberFormat="1" applyFont="1" applyFill="1" applyBorder="1" applyAlignment="1">
      <alignment vertical="center"/>
    </xf>
    <xf numFmtId="0" fontId="3" fillId="2" borderId="20" xfId="0" applyNumberFormat="1" applyFont="1" applyFill="1" applyBorder="1" applyAlignment="1">
      <alignment vertical="center"/>
    </xf>
    <xf numFmtId="9" fontId="3" fillId="2" borderId="20" xfId="0" applyNumberFormat="1" applyFont="1" applyFill="1" applyBorder="1" applyAlignment="1">
      <alignment vertical="center"/>
    </xf>
    <xf numFmtId="0" fontId="3" fillId="2" borderId="21" xfId="0" applyNumberFormat="1" applyFont="1" applyFill="1" applyBorder="1" applyAlignment="1">
      <alignment vertical="center"/>
    </xf>
    <xf numFmtId="0" fontId="3" fillId="2" borderId="22" xfId="0" applyNumberFormat="1" applyFont="1" applyFill="1" applyBorder="1" applyAlignment="1">
      <alignment vertical="center"/>
    </xf>
    <xf numFmtId="0" fontId="3" fillId="2" borderId="23" xfId="0" applyNumberFormat="1" applyFont="1" applyFill="1" applyBorder="1" applyAlignment="1">
      <alignment vertical="center"/>
    </xf>
    <xf numFmtId="164" fontId="3" fillId="2" borderId="8" xfId="0" applyFont="1" applyFill="1" applyBorder="1" applyAlignment="1">
      <alignment vertical="center"/>
    </xf>
    <xf numFmtId="0" fontId="3" fillId="2" borderId="8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3" fillId="2" borderId="24" xfId="0" applyNumberFormat="1" applyFont="1" applyFill="1" applyBorder="1" applyAlignment="1">
      <alignment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 vertical="center"/>
    </xf>
    <xf numFmtId="0" fontId="2" fillId="4" borderId="26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164" fontId="8" fillId="0" borderId="0" xfId="0" applyFont="1" applyAlignment="1">
      <alignment vertical="center"/>
    </xf>
    <xf numFmtId="164" fontId="1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2" fillId="4" borderId="28" xfId="0" applyNumberFormat="1" applyFont="1" applyFill="1" applyBorder="1" applyAlignment="1">
      <alignment vertical="center"/>
    </xf>
    <xf numFmtId="0" fontId="2" fillId="4" borderId="28" xfId="0" applyNumberFormat="1" applyFont="1" applyFill="1" applyBorder="1" applyAlignment="1">
      <alignment horizontal="center" vertical="center"/>
    </xf>
    <xf numFmtId="164" fontId="2" fillId="0" borderId="0" xfId="0" applyFont="1" applyAlignment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3" fillId="2" borderId="28" xfId="0" applyNumberFormat="1" applyFont="1" applyFill="1" applyBorder="1" applyAlignment="1">
      <alignment horizontal="center" vertical="center"/>
    </xf>
    <xf numFmtId="0" fontId="3" fillId="2" borderId="26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164" fontId="2" fillId="0" borderId="25" xfId="0" applyFont="1" applyBorder="1" applyAlignment="1">
      <alignment vertical="center"/>
    </xf>
    <xf numFmtId="164" fontId="2" fillId="0" borderId="9" xfId="0" applyFont="1" applyBorder="1" applyAlignment="1">
      <alignment vertical="center"/>
    </xf>
    <xf numFmtId="164" fontId="2" fillId="0" borderId="10" xfId="0" applyFont="1" applyBorder="1" applyAlignment="1">
      <alignment vertical="center"/>
    </xf>
    <xf numFmtId="164" fontId="2" fillId="0" borderId="11" xfId="0" applyFont="1" applyBorder="1" applyAlignment="1">
      <alignment vertical="center"/>
    </xf>
    <xf numFmtId="9" fontId="2" fillId="0" borderId="26" xfId="0" applyNumberFormat="1" applyFont="1" applyBorder="1" applyAlignment="1">
      <alignment vertical="center"/>
    </xf>
    <xf numFmtId="164" fontId="2" fillId="0" borderId="26" xfId="0" applyFont="1" applyBorder="1" applyAlignment="1">
      <alignment vertical="center"/>
    </xf>
    <xf numFmtId="0" fontId="2" fillId="0" borderId="25" xfId="0" applyNumberFormat="1" applyFont="1" applyBorder="1" applyAlignment="1">
      <alignment vertical="center"/>
    </xf>
    <xf numFmtId="0" fontId="2" fillId="0" borderId="26" xfId="0" applyNumberFormat="1" applyFont="1" applyBorder="1" applyAlignment="1">
      <alignment vertical="center"/>
    </xf>
    <xf numFmtId="164" fontId="2" fillId="0" borderId="24" xfId="0" applyFont="1" applyBorder="1" applyAlignment="1">
      <alignment vertical="center"/>
    </xf>
    <xf numFmtId="164" fontId="2" fillId="0" borderId="27" xfId="0" applyFont="1" applyBorder="1" applyAlignment="1">
      <alignment vertical="center"/>
    </xf>
    <xf numFmtId="164" fontId="2" fillId="0" borderId="4" xfId="0" applyFont="1" applyBorder="1" applyAlignment="1">
      <alignment vertical="center"/>
    </xf>
    <xf numFmtId="164" fontId="3" fillId="2" borderId="24" xfId="0" applyFont="1" applyFill="1" applyBorder="1" applyAlignment="1">
      <alignment vertical="center"/>
    </xf>
    <xf numFmtId="164" fontId="3" fillId="2" borderId="27" xfId="0" applyFont="1" applyFill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2" fillId="0" borderId="24" xfId="0" applyNumberFormat="1" applyFont="1" applyBorder="1" applyAlignment="1">
      <alignment vertical="center"/>
    </xf>
    <xf numFmtId="164" fontId="2" fillId="0" borderId="10" xfId="0" applyFont="1" applyBorder="1" applyAlignment="1">
      <alignment horizontal="right" vertical="center"/>
    </xf>
    <xf numFmtId="164" fontId="2" fillId="0" borderId="9" xfId="0" applyFont="1" applyBorder="1" applyAlignment="1">
      <alignment horizontal="right" vertical="center"/>
    </xf>
    <xf numFmtId="9" fontId="2" fillId="0" borderId="11" xfId="0" applyNumberFormat="1" applyFont="1" applyBorder="1" applyAlignment="1">
      <alignment horizontal="right" vertical="center"/>
    </xf>
    <xf numFmtId="164" fontId="2" fillId="0" borderId="25" xfId="0" applyFont="1" applyBorder="1" applyAlignment="1">
      <alignment horizontal="right" vertical="center"/>
    </xf>
    <xf numFmtId="9" fontId="2" fillId="0" borderId="26" xfId="0" applyNumberFormat="1" applyFont="1" applyBorder="1" applyAlignment="1">
      <alignment horizontal="right" vertical="center"/>
    </xf>
    <xf numFmtId="9" fontId="5" fillId="0" borderId="26" xfId="0" applyNumberFormat="1" applyFont="1" applyBorder="1" applyAlignment="1">
      <alignment vertical="center"/>
    </xf>
    <xf numFmtId="164" fontId="5" fillId="0" borderId="24" xfId="0" applyFont="1" applyBorder="1" applyAlignment="1">
      <alignment vertical="center"/>
    </xf>
    <xf numFmtId="164" fontId="3" fillId="2" borderId="25" xfId="0" applyFont="1" applyFill="1" applyBorder="1" applyAlignment="1">
      <alignment vertical="center"/>
    </xf>
    <xf numFmtId="164" fontId="3" fillId="2" borderId="28" xfId="0" applyFont="1" applyFill="1" applyBorder="1" applyAlignment="1">
      <alignment vertical="center"/>
    </xf>
    <xf numFmtId="164" fontId="3" fillId="2" borderId="26" xfId="0" applyFont="1" applyFill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vertical="center"/>
    </xf>
    <xf numFmtId="0" fontId="2" fillId="3" borderId="25" xfId="0" applyNumberFormat="1" applyFont="1" applyFill="1" applyBorder="1" applyAlignment="1">
      <alignment vertical="center"/>
    </xf>
    <xf numFmtId="0" fontId="2" fillId="3" borderId="26" xfId="0" applyNumberFormat="1" applyFont="1" applyFill="1" applyBorder="1" applyAlignment="1">
      <alignment vertical="center"/>
    </xf>
    <xf numFmtId="9" fontId="2" fillId="3" borderId="26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164" fontId="2" fillId="0" borderId="11" xfId="0" applyFont="1" applyBorder="1" applyAlignment="1">
      <alignment horizontal="right" vertical="center"/>
    </xf>
    <xf numFmtId="164" fontId="2" fillId="0" borderId="26" xfId="0" applyFont="1" applyBorder="1" applyAlignment="1">
      <alignment horizontal="right" vertical="center"/>
    </xf>
    <xf numFmtId="164" fontId="5" fillId="0" borderId="26" xfId="0" applyFont="1" applyBorder="1" applyAlignment="1">
      <alignment vertical="center"/>
    </xf>
    <xf numFmtId="164" fontId="3" fillId="2" borderId="6" xfId="0" applyFont="1" applyFill="1" applyBorder="1" applyAlignment="1">
      <alignment horizontal="right" vertical="center"/>
    </xf>
    <xf numFmtId="0" fontId="3" fillId="2" borderId="2" xfId="0" applyNumberFormat="1" applyFont="1" applyFill="1" applyBorder="1" applyAlignment="1">
      <alignment vertical="center"/>
    </xf>
    <xf numFmtId="164" fontId="5" fillId="0" borderId="25" xfId="0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164" fontId="6" fillId="0" borderId="26" xfId="0" applyFont="1" applyBorder="1" applyAlignment="1">
      <alignment vertical="center"/>
    </xf>
    <xf numFmtId="164" fontId="2" fillId="0" borderId="27" xfId="0" applyFont="1" applyBorder="1" applyAlignment="1">
      <alignment horizontal="right" vertical="center"/>
    </xf>
    <xf numFmtId="164" fontId="2" fillId="0" borderId="4" xfId="0" applyFont="1" applyBorder="1" applyAlignment="1">
      <alignment horizontal="right" vertical="center"/>
    </xf>
    <xf numFmtId="0" fontId="2" fillId="5" borderId="25" xfId="0" applyNumberFormat="1" applyFont="1" applyFill="1" applyBorder="1" applyAlignment="1">
      <alignment vertical="center"/>
    </xf>
    <xf numFmtId="0" fontId="2" fillId="5" borderId="28" xfId="0" applyNumberFormat="1" applyFont="1" applyFill="1" applyBorder="1" applyAlignment="1">
      <alignment vertical="center"/>
    </xf>
    <xf numFmtId="0" fontId="2" fillId="5" borderId="26" xfId="0" applyNumberFormat="1" applyFont="1" applyFill="1" applyBorder="1" applyAlignment="1">
      <alignment vertical="center"/>
    </xf>
    <xf numFmtId="9" fontId="2" fillId="5" borderId="26" xfId="0" applyNumberFormat="1" applyFont="1" applyFill="1" applyBorder="1" applyAlignment="1">
      <alignment vertical="center"/>
    </xf>
    <xf numFmtId="164" fontId="6" fillId="0" borderId="25" xfId="0" applyFont="1" applyBorder="1" applyAlignment="1">
      <alignment vertical="center"/>
    </xf>
    <xf numFmtId="0" fontId="6" fillId="0" borderId="26" xfId="0" applyNumberFormat="1" applyFont="1" applyBorder="1" applyAlignment="1">
      <alignment vertical="center"/>
    </xf>
    <xf numFmtId="0" fontId="2" fillId="0" borderId="25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6" fillId="0" borderId="0" xfId="0" applyNumberFormat="1" applyFont="1" applyAlignment="1">
      <alignment vertical="center"/>
    </xf>
    <xf numFmtId="0" fontId="2" fillId="7" borderId="25" xfId="0" applyNumberFormat="1" applyFont="1" applyFill="1" applyBorder="1" applyAlignment="1">
      <alignment vertical="center"/>
    </xf>
    <xf numFmtId="0" fontId="2" fillId="7" borderId="26" xfId="0" applyNumberFormat="1" applyFont="1" applyFill="1" applyBorder="1" applyAlignment="1">
      <alignment vertical="center"/>
    </xf>
    <xf numFmtId="9" fontId="2" fillId="7" borderId="26" xfId="0" applyNumberFormat="1" applyFont="1" applyFill="1" applyBorder="1" applyAlignment="1">
      <alignment vertical="center"/>
    </xf>
    <xf numFmtId="0" fontId="2" fillId="8" borderId="25" xfId="0" applyNumberFormat="1" applyFont="1" applyFill="1" applyBorder="1" applyAlignment="1">
      <alignment vertical="center"/>
    </xf>
    <xf numFmtId="0" fontId="2" fillId="8" borderId="26" xfId="0" applyNumberFormat="1" applyFont="1" applyFill="1" applyBorder="1" applyAlignment="1">
      <alignment vertical="center"/>
    </xf>
    <xf numFmtId="0" fontId="2" fillId="8" borderId="9" xfId="0" applyNumberFormat="1" applyFont="1" applyFill="1" applyBorder="1" applyAlignment="1">
      <alignment vertical="center"/>
    </xf>
    <xf numFmtId="0" fontId="2" fillId="8" borderId="10" xfId="0" applyNumberFormat="1" applyFont="1" applyFill="1" applyBorder="1" applyAlignment="1">
      <alignment vertical="center"/>
    </xf>
    <xf numFmtId="9" fontId="2" fillId="8" borderId="11" xfId="0" applyNumberFormat="1" applyFont="1" applyFill="1" applyBorder="1" applyAlignment="1">
      <alignment vertical="center"/>
    </xf>
    <xf numFmtId="9" fontId="2" fillId="8" borderId="26" xfId="0" applyNumberFormat="1" applyFont="1" applyFill="1" applyBorder="1" applyAlignment="1">
      <alignment vertical="center"/>
    </xf>
    <xf numFmtId="0" fontId="2" fillId="8" borderId="25" xfId="0" applyNumberFormat="1" applyFont="1" applyFill="1" applyBorder="1" applyAlignment="1">
      <alignment horizontal="left" vertical="center"/>
    </xf>
    <xf numFmtId="0" fontId="3" fillId="8" borderId="8" xfId="0" applyNumberFormat="1" applyFont="1" applyFill="1" applyBorder="1" applyAlignment="1">
      <alignment vertical="center"/>
    </xf>
    <xf numFmtId="9" fontId="2" fillId="0" borderId="4" xfId="0" applyNumberFormat="1" applyFont="1" applyBorder="1" applyAlignment="1">
      <alignment vertical="center"/>
    </xf>
    <xf numFmtId="164" fontId="3" fillId="2" borderId="4" xfId="0" applyFont="1" applyFill="1" applyBorder="1" applyAlignment="1">
      <alignment horizontal="right" vertical="center"/>
    </xf>
    <xf numFmtId="164" fontId="3" fillId="2" borderId="27" xfId="0" applyFont="1" applyFill="1" applyBorder="1" applyAlignment="1">
      <alignment horizontal="right" vertical="center"/>
    </xf>
    <xf numFmtId="9" fontId="3" fillId="2" borderId="4" xfId="0" applyNumberFormat="1" applyFont="1" applyFill="1" applyBorder="1" applyAlignment="1">
      <alignment horizontal="right" vertical="center"/>
    </xf>
    <xf numFmtId="9" fontId="2" fillId="0" borderId="4" xfId="0" applyNumberFormat="1" applyFont="1" applyBorder="1" applyAlignment="1">
      <alignment horizontal="right" vertical="center"/>
    </xf>
    <xf numFmtId="164" fontId="2" fillId="8" borderId="26" xfId="0" applyFont="1" applyFill="1" applyBorder="1" applyAlignment="1">
      <alignment vertical="center"/>
    </xf>
    <xf numFmtId="164" fontId="2" fillId="8" borderId="26" xfId="0" applyFont="1" applyFill="1" applyBorder="1" applyAlignment="1">
      <alignment horizontal="right" vertical="center"/>
    </xf>
    <xf numFmtId="9" fontId="2" fillId="8" borderId="26" xfId="0" applyNumberFormat="1" applyFont="1" applyFill="1" applyBorder="1" applyAlignment="1">
      <alignment horizontal="right" vertical="center"/>
    </xf>
    <xf numFmtId="164" fontId="2" fillId="8" borderId="4" xfId="0" applyFont="1" applyFill="1" applyBorder="1" applyAlignment="1">
      <alignment vertical="center"/>
    </xf>
    <xf numFmtId="164" fontId="2" fillId="8" borderId="27" xfId="0" applyFont="1" applyFill="1" applyBorder="1" applyAlignment="1">
      <alignment vertical="center"/>
    </xf>
    <xf numFmtId="9" fontId="2" fillId="8" borderId="4" xfId="0" applyNumberFormat="1" applyFont="1" applyFill="1" applyBorder="1" applyAlignment="1">
      <alignment vertical="center"/>
    </xf>
    <xf numFmtId="164" fontId="3" fillId="8" borderId="4" xfId="0" applyFont="1" applyFill="1" applyBorder="1" applyAlignment="1">
      <alignment vertical="center"/>
    </xf>
    <xf numFmtId="164" fontId="3" fillId="8" borderId="4" xfId="0" applyFont="1" applyFill="1" applyBorder="1" applyAlignment="1">
      <alignment horizontal="right" vertical="center"/>
    </xf>
    <xf numFmtId="164" fontId="3" fillId="8" borderId="27" xfId="0" applyFont="1" applyFill="1" applyBorder="1" applyAlignment="1">
      <alignment horizontal="right" vertical="center"/>
    </xf>
    <xf numFmtId="9" fontId="3" fillId="8" borderId="4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2" fillId="0" borderId="25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2" fillId="9" borderId="25" xfId="0" applyNumberFormat="1" applyFont="1" applyFill="1" applyBorder="1" applyAlignment="1">
      <alignment horizontal="left" vertical="center"/>
    </xf>
    <xf numFmtId="0" fontId="2" fillId="9" borderId="25" xfId="0" applyNumberFormat="1" applyFont="1" applyFill="1" applyBorder="1" applyAlignment="1">
      <alignment horizontal="center" vertical="center"/>
    </xf>
    <xf numFmtId="0" fontId="2" fillId="9" borderId="26" xfId="0" applyNumberFormat="1" applyFont="1" applyFill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166" fontId="2" fillId="0" borderId="26" xfId="0" applyNumberFormat="1" applyFont="1" applyBorder="1" applyAlignment="1">
      <alignment horizontal="center" vertical="center"/>
    </xf>
    <xf numFmtId="166" fontId="2" fillId="9" borderId="26" xfId="0" applyNumberFormat="1" applyFont="1" applyFill="1" applyBorder="1" applyAlignment="1">
      <alignment horizontal="center" vertical="center"/>
    </xf>
    <xf numFmtId="49" fontId="2" fillId="9" borderId="26" xfId="0" applyNumberFormat="1" applyFont="1" applyFill="1" applyBorder="1" applyAlignment="1">
      <alignment horizontal="center" vertical="center"/>
    </xf>
    <xf numFmtId="0" fontId="2" fillId="10" borderId="25" xfId="0" applyNumberFormat="1" applyFont="1" applyFill="1" applyBorder="1" applyAlignment="1">
      <alignment vertical="center"/>
    </xf>
    <xf numFmtId="0" fontId="2" fillId="10" borderId="0" xfId="0" applyNumberFormat="1" applyFont="1" applyFill="1" applyAlignment="1">
      <alignment vertical="center"/>
    </xf>
    <xf numFmtId="164" fontId="2" fillId="10" borderId="0" xfId="0" applyFont="1" applyFill="1" applyAlignment="1">
      <alignment horizontal="right" vertical="center"/>
    </xf>
    <xf numFmtId="164" fontId="2" fillId="10" borderId="26" xfId="0" applyFont="1" applyFill="1" applyBorder="1" applyAlignment="1">
      <alignment horizontal="right" vertical="center"/>
    </xf>
    <xf numFmtId="164" fontId="2" fillId="10" borderId="27" xfId="0" applyFont="1" applyFill="1" applyBorder="1" applyAlignment="1">
      <alignment horizontal="right" vertical="center"/>
    </xf>
    <xf numFmtId="164" fontId="2" fillId="10" borderId="4" xfId="0" applyFont="1" applyFill="1" applyBorder="1" applyAlignment="1">
      <alignment horizontal="right" vertical="center"/>
    </xf>
    <xf numFmtId="0" fontId="2" fillId="10" borderId="26" xfId="0" applyNumberFormat="1" applyFont="1" applyFill="1" applyBorder="1" applyAlignment="1">
      <alignment vertical="center"/>
    </xf>
    <xf numFmtId="164" fontId="6" fillId="0" borderId="0" xfId="0" applyFont="1" applyAlignment="1">
      <alignment horizontal="right" vertical="center"/>
    </xf>
    <xf numFmtId="164" fontId="6" fillId="0" borderId="26" xfId="0" applyFont="1" applyBorder="1" applyAlignment="1">
      <alignment horizontal="right" vertical="center"/>
    </xf>
    <xf numFmtId="164" fontId="6" fillId="10" borderId="0" xfId="0" applyFont="1" applyFill="1" applyAlignment="1">
      <alignment vertical="center"/>
    </xf>
    <xf numFmtId="164" fontId="6" fillId="10" borderId="26" xfId="0" applyFont="1" applyFill="1" applyBorder="1" applyAlignment="1">
      <alignment vertical="center"/>
    </xf>
    <xf numFmtId="0" fontId="2" fillId="0" borderId="28" xfId="0" applyNumberFormat="1" applyFont="1" applyBorder="1" applyAlignment="1">
      <alignment vertical="center"/>
    </xf>
    <xf numFmtId="0" fontId="2" fillId="11" borderId="7" xfId="0" applyNumberFormat="1" applyFont="1" applyFill="1" applyBorder="1" applyAlignment="1">
      <alignment vertical="center"/>
    </xf>
    <xf numFmtId="0" fontId="2" fillId="11" borderId="9" xfId="0" applyNumberFormat="1" applyFont="1" applyFill="1" applyBorder="1" applyAlignment="1">
      <alignment vertical="center"/>
    </xf>
    <xf numFmtId="0" fontId="2" fillId="11" borderId="10" xfId="0" applyNumberFormat="1" applyFont="1" applyFill="1" applyBorder="1" applyAlignment="1">
      <alignment vertical="center"/>
    </xf>
    <xf numFmtId="0" fontId="2" fillId="11" borderId="11" xfId="0" applyNumberFormat="1" applyFont="1" applyFill="1" applyBorder="1" applyAlignment="1">
      <alignment vertical="center"/>
    </xf>
    <xf numFmtId="9" fontId="2" fillId="11" borderId="11" xfId="0" applyNumberFormat="1" applyFont="1" applyFill="1" applyBorder="1" applyAlignment="1">
      <alignment vertical="center"/>
    </xf>
    <xf numFmtId="0" fontId="2" fillId="11" borderId="1" xfId="0" applyNumberFormat="1" applyFont="1" applyFill="1" applyBorder="1" applyAlignment="1">
      <alignment vertical="center"/>
    </xf>
    <xf numFmtId="0" fontId="2" fillId="11" borderId="25" xfId="0" applyNumberFormat="1" applyFont="1" applyFill="1" applyBorder="1" applyAlignment="1">
      <alignment vertical="center"/>
    </xf>
    <xf numFmtId="0" fontId="2" fillId="11" borderId="0" xfId="0" applyNumberFormat="1" applyFont="1" applyFill="1" applyAlignment="1">
      <alignment vertical="center"/>
    </xf>
    <xf numFmtId="0" fontId="2" fillId="11" borderId="26" xfId="0" applyNumberFormat="1" applyFont="1" applyFill="1" applyBorder="1" applyAlignment="1">
      <alignment vertical="center"/>
    </xf>
    <xf numFmtId="9" fontId="2" fillId="11" borderId="26" xfId="0" applyNumberFormat="1" applyFont="1" applyFill="1" applyBorder="1" applyAlignment="1">
      <alignment vertical="center"/>
    </xf>
    <xf numFmtId="164" fontId="2" fillId="11" borderId="0" xfId="0" applyFont="1" applyFill="1" applyAlignment="1">
      <alignment horizontal="right" vertical="center"/>
    </xf>
    <xf numFmtId="164" fontId="2" fillId="11" borderId="26" xfId="0" applyFont="1" applyFill="1" applyBorder="1" applyAlignment="1">
      <alignment horizontal="right" vertical="center"/>
    </xf>
    <xf numFmtId="164" fontId="2" fillId="12" borderId="0" xfId="0" applyFont="1" applyFill="1" applyAlignment="1">
      <alignment horizontal="right" vertical="center"/>
    </xf>
    <xf numFmtId="0" fontId="2" fillId="13" borderId="7" xfId="0" applyNumberFormat="1" applyFont="1" applyFill="1" applyBorder="1" applyAlignment="1">
      <alignment vertical="center"/>
    </xf>
    <xf numFmtId="0" fontId="2" fillId="13" borderId="9" xfId="0" applyNumberFormat="1" applyFont="1" applyFill="1" applyBorder="1" applyAlignment="1">
      <alignment vertical="center"/>
    </xf>
    <xf numFmtId="0" fontId="2" fillId="13" borderId="10" xfId="0" applyNumberFormat="1" applyFont="1" applyFill="1" applyBorder="1" applyAlignment="1">
      <alignment vertical="center"/>
    </xf>
    <xf numFmtId="9" fontId="2" fillId="13" borderId="11" xfId="0" applyNumberFormat="1" applyFont="1" applyFill="1" applyBorder="1" applyAlignment="1">
      <alignment vertical="center"/>
    </xf>
    <xf numFmtId="0" fontId="2" fillId="13" borderId="1" xfId="0" applyNumberFormat="1" applyFont="1" applyFill="1" applyBorder="1" applyAlignment="1">
      <alignment vertical="center"/>
    </xf>
    <xf numFmtId="0" fontId="2" fillId="13" borderId="25" xfId="0" applyNumberFormat="1" applyFont="1" applyFill="1" applyBorder="1" applyAlignment="1">
      <alignment vertical="center"/>
    </xf>
    <xf numFmtId="0" fontId="2" fillId="13" borderId="0" xfId="0" applyNumberFormat="1" applyFont="1" applyFill="1" applyAlignment="1">
      <alignment vertical="center"/>
    </xf>
    <xf numFmtId="0" fontId="2" fillId="13" borderId="26" xfId="0" applyNumberFormat="1" applyFont="1" applyFill="1" applyBorder="1" applyAlignment="1">
      <alignment vertical="center"/>
    </xf>
    <xf numFmtId="9" fontId="2" fillId="13" borderId="26" xfId="0" applyNumberFormat="1" applyFont="1" applyFill="1" applyBorder="1" applyAlignment="1">
      <alignment vertical="center"/>
    </xf>
    <xf numFmtId="0" fontId="3" fillId="14" borderId="3" xfId="0" applyNumberFormat="1" applyFont="1" applyFill="1" applyBorder="1" applyAlignment="1">
      <alignment vertical="center"/>
    </xf>
    <xf numFmtId="0" fontId="3" fillId="14" borderId="5" xfId="0" applyNumberFormat="1" applyFont="1" applyFill="1" applyBorder="1" applyAlignment="1">
      <alignment vertical="center"/>
    </xf>
    <xf numFmtId="0" fontId="3" fillId="14" borderId="8" xfId="0" applyNumberFormat="1" applyFont="1" applyFill="1" applyBorder="1" applyAlignment="1">
      <alignment vertical="center"/>
    </xf>
    <xf numFmtId="9" fontId="3" fillId="14" borderId="6" xfId="0" applyNumberFormat="1" applyFont="1" applyFill="1" applyBorder="1" applyAlignment="1">
      <alignment vertical="center"/>
    </xf>
    <xf numFmtId="0" fontId="2" fillId="15" borderId="1" xfId="0" applyNumberFormat="1" applyFont="1" applyFill="1" applyBorder="1" applyAlignment="1">
      <alignment vertical="center"/>
    </xf>
    <xf numFmtId="0" fontId="2" fillId="16" borderId="1" xfId="0" applyNumberFormat="1" applyFont="1" applyFill="1" applyBorder="1" applyAlignment="1">
      <alignment vertical="center"/>
    </xf>
    <xf numFmtId="0" fontId="2" fillId="16" borderId="25" xfId="0" applyNumberFormat="1" applyFont="1" applyFill="1" applyBorder="1" applyAlignment="1">
      <alignment vertical="center"/>
    </xf>
    <xf numFmtId="0" fontId="2" fillId="16" borderId="0" xfId="0" applyNumberFormat="1" applyFont="1" applyFill="1" applyAlignment="1">
      <alignment vertical="center"/>
    </xf>
    <xf numFmtId="164" fontId="2" fillId="16" borderId="0" xfId="0" applyFont="1" applyFill="1" applyAlignment="1">
      <alignment horizontal="right" vertical="center"/>
    </xf>
    <xf numFmtId="164" fontId="2" fillId="16" borderId="26" xfId="0" applyFont="1" applyFill="1" applyBorder="1" applyAlignment="1">
      <alignment horizontal="right" vertical="center"/>
    </xf>
    <xf numFmtId="9" fontId="2" fillId="16" borderId="26" xfId="0" applyNumberFormat="1" applyFont="1" applyFill="1" applyBorder="1" applyAlignment="1">
      <alignment vertical="center"/>
    </xf>
    <xf numFmtId="0" fontId="2" fillId="17" borderId="7" xfId="0" applyNumberFormat="1" applyFont="1" applyFill="1" applyBorder="1" applyAlignment="1">
      <alignment vertical="center"/>
    </xf>
    <xf numFmtId="0" fontId="2" fillId="17" borderId="9" xfId="0" applyNumberFormat="1" applyFont="1" applyFill="1" applyBorder="1" applyAlignment="1">
      <alignment vertical="center"/>
    </xf>
    <xf numFmtId="0" fontId="2" fillId="17" borderId="10" xfId="0" applyNumberFormat="1" applyFont="1" applyFill="1" applyBorder="1" applyAlignment="1">
      <alignment vertical="center"/>
    </xf>
    <xf numFmtId="0" fontId="2" fillId="17" borderId="11" xfId="0" applyNumberFormat="1" applyFont="1" applyFill="1" applyBorder="1" applyAlignment="1">
      <alignment vertical="center"/>
    </xf>
    <xf numFmtId="9" fontId="2" fillId="17" borderId="11" xfId="0" applyNumberFormat="1" applyFont="1" applyFill="1" applyBorder="1" applyAlignment="1">
      <alignment vertical="center"/>
    </xf>
    <xf numFmtId="0" fontId="2" fillId="17" borderId="1" xfId="0" applyNumberFormat="1" applyFont="1" applyFill="1" applyBorder="1" applyAlignment="1">
      <alignment vertical="center"/>
    </xf>
    <xf numFmtId="0" fontId="2" fillId="17" borderId="25" xfId="0" applyNumberFormat="1" applyFont="1" applyFill="1" applyBorder="1" applyAlignment="1">
      <alignment vertical="center"/>
    </xf>
    <xf numFmtId="0" fontId="2" fillId="17" borderId="0" xfId="0" applyNumberFormat="1" applyFont="1" applyFill="1" applyAlignment="1">
      <alignment vertical="center"/>
    </xf>
    <xf numFmtId="0" fontId="2" fillId="17" borderId="26" xfId="0" applyNumberFormat="1" applyFont="1" applyFill="1" applyBorder="1" applyAlignment="1">
      <alignment vertical="center"/>
    </xf>
    <xf numFmtId="9" fontId="2" fillId="17" borderId="26" xfId="0" applyNumberFormat="1" applyFont="1" applyFill="1" applyBorder="1" applyAlignment="1">
      <alignment vertical="center"/>
    </xf>
    <xf numFmtId="0" fontId="2" fillId="17" borderId="28" xfId="0" applyNumberFormat="1" applyFont="1" applyFill="1" applyBorder="1" applyAlignment="1">
      <alignment vertical="center"/>
    </xf>
    <xf numFmtId="164" fontId="2" fillId="17" borderId="0" xfId="0" applyFont="1" applyFill="1" applyAlignment="1">
      <alignment horizontal="right" vertical="center"/>
    </xf>
    <xf numFmtId="164" fontId="2" fillId="17" borderId="26" xfId="0" applyFont="1" applyFill="1" applyBorder="1" applyAlignment="1">
      <alignment horizontal="right" vertical="center"/>
    </xf>
    <xf numFmtId="0" fontId="2" fillId="17" borderId="2" xfId="0" applyNumberFormat="1" applyFont="1" applyFill="1" applyBorder="1" applyAlignment="1">
      <alignment vertical="center"/>
    </xf>
    <xf numFmtId="0" fontId="2" fillId="16" borderId="26" xfId="0" applyNumberFormat="1" applyFont="1" applyFill="1" applyBorder="1" applyAlignment="1">
      <alignment vertical="center"/>
    </xf>
    <xf numFmtId="0" fontId="2" fillId="18" borderId="7" xfId="0" applyNumberFormat="1" applyFont="1" applyFill="1" applyBorder="1" applyAlignment="1">
      <alignment vertical="center"/>
    </xf>
    <xf numFmtId="0" fontId="2" fillId="18" borderId="9" xfId="0" applyNumberFormat="1" applyFont="1" applyFill="1" applyBorder="1" applyAlignment="1">
      <alignment vertical="center"/>
    </xf>
    <xf numFmtId="0" fontId="2" fillId="18" borderId="10" xfId="0" applyNumberFormat="1" applyFont="1" applyFill="1" applyBorder="1" applyAlignment="1">
      <alignment vertical="center"/>
    </xf>
    <xf numFmtId="0" fontId="2" fillId="18" borderId="11" xfId="0" applyNumberFormat="1" applyFont="1" applyFill="1" applyBorder="1" applyAlignment="1">
      <alignment vertical="center"/>
    </xf>
    <xf numFmtId="9" fontId="2" fillId="18" borderId="11" xfId="0" applyNumberFormat="1" applyFont="1" applyFill="1" applyBorder="1" applyAlignment="1">
      <alignment vertical="center"/>
    </xf>
    <xf numFmtId="0" fontId="2" fillId="18" borderId="1" xfId="0" applyNumberFormat="1" applyFont="1" applyFill="1" applyBorder="1" applyAlignment="1">
      <alignment vertical="center"/>
    </xf>
    <xf numFmtId="0" fontId="2" fillId="18" borderId="25" xfId="0" applyNumberFormat="1" applyFont="1" applyFill="1" applyBorder="1" applyAlignment="1">
      <alignment vertical="center"/>
    </xf>
    <xf numFmtId="0" fontId="2" fillId="18" borderId="0" xfId="0" applyNumberFormat="1" applyFont="1" applyFill="1" applyAlignment="1">
      <alignment vertical="center"/>
    </xf>
    <xf numFmtId="164" fontId="2" fillId="18" borderId="0" xfId="0" applyFont="1" applyFill="1" applyAlignment="1">
      <alignment horizontal="right" vertical="center"/>
    </xf>
    <xf numFmtId="164" fontId="2" fillId="18" borderId="26" xfId="0" applyFont="1" applyFill="1" applyBorder="1" applyAlignment="1">
      <alignment horizontal="right" vertical="center"/>
    </xf>
    <xf numFmtId="9" fontId="2" fillId="18" borderId="26" xfId="0" applyNumberFormat="1" applyFont="1" applyFill="1" applyBorder="1" applyAlignment="1">
      <alignment vertical="center"/>
    </xf>
    <xf numFmtId="164" fontId="6" fillId="18" borderId="0" xfId="0" applyFont="1" applyFill="1" applyAlignment="1">
      <alignment vertical="center"/>
    </xf>
    <xf numFmtId="164" fontId="6" fillId="18" borderId="26" xfId="0" applyFont="1" applyFill="1" applyBorder="1" applyAlignment="1">
      <alignment vertical="center"/>
    </xf>
    <xf numFmtId="0" fontId="2" fillId="18" borderId="26" xfId="0" applyNumberFormat="1" applyFont="1" applyFill="1" applyBorder="1" applyAlignment="1">
      <alignment vertical="center"/>
    </xf>
    <xf numFmtId="164" fontId="2" fillId="18" borderId="1" xfId="0" applyFont="1" applyFill="1" applyBorder="1" applyAlignment="1">
      <alignment horizontal="right" vertical="center"/>
    </xf>
    <xf numFmtId="164" fontId="2" fillId="18" borderId="12" xfId="0" applyFont="1" applyFill="1" applyBorder="1" applyAlignment="1">
      <alignment vertical="center"/>
    </xf>
    <xf numFmtId="9" fontId="2" fillId="18" borderId="13" xfId="0" applyNumberFormat="1" applyFont="1" applyFill="1" applyBorder="1" applyAlignment="1">
      <alignment vertical="center"/>
    </xf>
    <xf numFmtId="164" fontId="2" fillId="18" borderId="17" xfId="0" applyFont="1" applyFill="1" applyBorder="1" applyAlignment="1">
      <alignment vertical="center"/>
    </xf>
    <xf numFmtId="9" fontId="2" fillId="18" borderId="16" xfId="0" applyNumberFormat="1" applyFont="1" applyFill="1" applyBorder="1" applyAlignment="1">
      <alignment vertical="center"/>
    </xf>
    <xf numFmtId="0" fontId="2" fillId="18" borderId="2" xfId="0" applyNumberFormat="1" applyFont="1" applyFill="1" applyBorder="1" applyAlignment="1">
      <alignment vertical="center"/>
    </xf>
    <xf numFmtId="0" fontId="3" fillId="18" borderId="3" xfId="0" applyNumberFormat="1" applyFont="1" applyFill="1" applyBorder="1" applyAlignment="1">
      <alignment vertical="center"/>
    </xf>
    <xf numFmtId="0" fontId="3" fillId="18" borderId="5" xfId="0" applyNumberFormat="1" applyFont="1" applyFill="1" applyBorder="1" applyAlignment="1">
      <alignment vertical="center"/>
    </xf>
    <xf numFmtId="0" fontId="3" fillId="18" borderId="8" xfId="0" applyNumberFormat="1" applyFont="1" applyFill="1" applyBorder="1" applyAlignment="1">
      <alignment vertical="center"/>
    </xf>
    <xf numFmtId="0" fontId="3" fillId="18" borderId="6" xfId="0" applyNumberFormat="1" applyFont="1" applyFill="1" applyBorder="1" applyAlignment="1">
      <alignment vertical="center"/>
    </xf>
    <xf numFmtId="9" fontId="3" fillId="18" borderId="6" xfId="0" applyNumberFormat="1" applyFont="1" applyFill="1" applyBorder="1" applyAlignment="1">
      <alignment vertical="center"/>
    </xf>
    <xf numFmtId="0" fontId="2" fillId="19" borderId="2" xfId="0" applyNumberFormat="1" applyFont="1" applyFill="1" applyBorder="1" applyAlignment="1">
      <alignment vertical="center"/>
    </xf>
    <xf numFmtId="0" fontId="3" fillId="19" borderId="3" xfId="0" applyNumberFormat="1" applyFont="1" applyFill="1" applyBorder="1" applyAlignment="1">
      <alignment vertical="center"/>
    </xf>
    <xf numFmtId="0" fontId="3" fillId="19" borderId="5" xfId="0" applyNumberFormat="1" applyFont="1" applyFill="1" applyBorder="1" applyAlignment="1">
      <alignment vertical="center"/>
    </xf>
    <xf numFmtId="0" fontId="3" fillId="19" borderId="8" xfId="0" applyNumberFormat="1" applyFont="1" applyFill="1" applyBorder="1" applyAlignment="1">
      <alignment vertical="center"/>
    </xf>
    <xf numFmtId="0" fontId="3" fillId="19" borderId="6" xfId="0" applyNumberFormat="1" applyFont="1" applyFill="1" applyBorder="1" applyAlignment="1">
      <alignment vertical="center"/>
    </xf>
    <xf numFmtId="9" fontId="3" fillId="19" borderId="6" xfId="0" applyNumberFormat="1" applyFont="1" applyFill="1" applyBorder="1" applyAlignment="1">
      <alignment vertical="center"/>
    </xf>
    <xf numFmtId="0" fontId="9" fillId="0" borderId="28" xfId="1" applyNumberFormat="1" applyFont="1" applyAlignment="1">
      <alignment vertical="center"/>
    </xf>
    <xf numFmtId="164" fontId="0" fillId="0" borderId="28" xfId="1" applyFont="1" applyAlignment="1">
      <alignment vertical="center"/>
    </xf>
    <xf numFmtId="0" fontId="10" fillId="0" borderId="28" xfId="1" applyNumberFormat="1" applyFont="1" applyAlignment="1">
      <alignment horizontal="center" vertical="center"/>
    </xf>
    <xf numFmtId="0" fontId="10" fillId="0" borderId="28" xfId="1" applyNumberFormat="1" applyFont="1" applyAlignment="1">
      <alignment vertical="center"/>
    </xf>
    <xf numFmtId="0" fontId="15" fillId="0" borderId="28" xfId="1" applyNumberFormat="1" applyFont="1" applyAlignment="1">
      <alignment vertical="center"/>
    </xf>
    <xf numFmtId="164" fontId="8" fillId="0" borderId="28" xfId="1" applyFont="1" applyAlignment="1">
      <alignment vertical="center"/>
    </xf>
    <xf numFmtId="0" fontId="15" fillId="0" borderId="7" xfId="1" applyNumberFormat="1" applyFont="1" applyBorder="1" applyAlignment="1">
      <alignment horizontal="center" vertical="center"/>
    </xf>
    <xf numFmtId="0" fontId="15" fillId="0" borderId="1" xfId="1" applyNumberFormat="1" applyFont="1" applyBorder="1" applyAlignment="1">
      <alignment horizontal="center" vertical="center"/>
    </xf>
    <xf numFmtId="0" fontId="15" fillId="0" borderId="2" xfId="1" applyNumberFormat="1" applyFont="1" applyBorder="1" applyAlignment="1">
      <alignment horizontal="center" vertical="center"/>
    </xf>
    <xf numFmtId="0" fontId="15" fillId="0" borderId="24" xfId="1" applyNumberFormat="1" applyFont="1" applyBorder="1" applyAlignment="1">
      <alignment horizontal="center" vertical="center"/>
    </xf>
    <xf numFmtId="0" fontId="15" fillId="0" borderId="7" xfId="1" applyNumberFormat="1" applyFont="1" applyBorder="1" applyAlignment="1">
      <alignment vertical="center"/>
    </xf>
    <xf numFmtId="0" fontId="15" fillId="5" borderId="7" xfId="1" applyNumberFormat="1" applyFont="1" applyFill="1" applyBorder="1" applyAlignment="1">
      <alignment vertical="center"/>
    </xf>
    <xf numFmtId="0" fontId="15" fillId="0" borderId="1" xfId="1" applyNumberFormat="1" applyFont="1" applyBorder="1" applyAlignment="1">
      <alignment vertical="center"/>
    </xf>
    <xf numFmtId="0" fontId="15" fillId="6" borderId="7" xfId="1" applyNumberFormat="1" applyFont="1" applyFill="1" applyBorder="1" applyAlignment="1">
      <alignment vertical="center"/>
    </xf>
    <xf numFmtId="0" fontId="15" fillId="3" borderId="7" xfId="1" applyNumberFormat="1" applyFont="1" applyFill="1" applyBorder="1" applyAlignment="1">
      <alignment vertical="center"/>
    </xf>
    <xf numFmtId="0" fontId="15" fillId="5" borderId="1" xfId="1" applyNumberFormat="1" applyFont="1" applyFill="1" applyBorder="1" applyAlignment="1">
      <alignment vertical="center"/>
    </xf>
    <xf numFmtId="164" fontId="15" fillId="0" borderId="1" xfId="1" applyFont="1" applyBorder="1" applyAlignment="1">
      <alignment vertical="center"/>
    </xf>
    <xf numFmtId="0" fontId="15" fillId="6" borderId="1" xfId="1" applyNumberFormat="1" applyFont="1" applyFill="1" applyBorder="1" applyAlignment="1">
      <alignment vertical="center"/>
    </xf>
    <xf numFmtId="0" fontId="15" fillId="20" borderId="1" xfId="1" applyNumberFormat="1" applyFont="1" applyFill="1" applyBorder="1" applyAlignment="1">
      <alignment vertical="center"/>
    </xf>
    <xf numFmtId="0" fontId="15" fillId="0" borderId="25" xfId="1" applyNumberFormat="1" applyFont="1" applyBorder="1" applyAlignment="1">
      <alignment vertical="center"/>
    </xf>
    <xf numFmtId="0" fontId="15" fillId="0" borderId="26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0" fontId="15" fillId="0" borderId="2" xfId="1" applyNumberFormat="1" applyFont="1" applyBorder="1" applyAlignment="1">
      <alignment vertical="center"/>
    </xf>
    <xf numFmtId="0" fontId="15" fillId="0" borderId="4" xfId="1" applyNumberFormat="1" applyFont="1" applyBorder="1" applyAlignment="1">
      <alignment vertical="center"/>
    </xf>
    <xf numFmtId="0" fontId="11" fillId="0" borderId="28" xfId="1" applyNumberFormat="1" applyFont="1" applyAlignment="1">
      <alignment vertical="center"/>
    </xf>
    <xf numFmtId="164" fontId="17" fillId="5" borderId="28" xfId="1" applyFont="1" applyFill="1" applyAlignment="1">
      <alignment vertical="center"/>
    </xf>
    <xf numFmtId="164" fontId="17" fillId="0" borderId="28" xfId="1" applyFont="1" applyAlignment="1">
      <alignment vertical="center"/>
    </xf>
    <xf numFmtId="164" fontId="17" fillId="6" borderId="28" xfId="1" applyFont="1" applyFill="1" applyAlignment="1">
      <alignment vertical="center"/>
    </xf>
    <xf numFmtId="0" fontId="2" fillId="19" borderId="7" xfId="0" applyNumberFormat="1" applyFont="1" applyFill="1" applyBorder="1" applyAlignment="1">
      <alignment vertical="center"/>
    </xf>
    <xf numFmtId="0" fontId="2" fillId="19" borderId="9" xfId="0" applyNumberFormat="1" applyFont="1" applyFill="1" applyBorder="1" applyAlignment="1">
      <alignment vertical="center"/>
    </xf>
    <xf numFmtId="0" fontId="2" fillId="19" borderId="10" xfId="0" applyNumberFormat="1" applyFont="1" applyFill="1" applyBorder="1" applyAlignment="1">
      <alignment vertical="center"/>
    </xf>
    <xf numFmtId="0" fontId="2" fillId="19" borderId="11" xfId="0" applyNumberFormat="1" applyFont="1" applyFill="1" applyBorder="1" applyAlignment="1">
      <alignment vertical="center"/>
    </xf>
    <xf numFmtId="9" fontId="2" fillId="19" borderId="11" xfId="0" applyNumberFormat="1" applyFont="1" applyFill="1" applyBorder="1" applyAlignment="1">
      <alignment vertical="center"/>
    </xf>
    <xf numFmtId="0" fontId="2" fillId="19" borderId="1" xfId="0" applyNumberFormat="1" applyFont="1" applyFill="1" applyBorder="1" applyAlignment="1">
      <alignment vertical="center"/>
    </xf>
    <xf numFmtId="0" fontId="2" fillId="19" borderId="25" xfId="0" applyNumberFormat="1" applyFont="1" applyFill="1" applyBorder="1" applyAlignment="1">
      <alignment vertical="center"/>
    </xf>
    <xf numFmtId="0" fontId="2" fillId="19" borderId="0" xfId="0" applyNumberFormat="1" applyFont="1" applyFill="1" applyAlignment="1">
      <alignment vertical="center"/>
    </xf>
    <xf numFmtId="164" fontId="2" fillId="19" borderId="0" xfId="0" applyFont="1" applyFill="1" applyAlignment="1">
      <alignment horizontal="right" vertical="center"/>
    </xf>
    <xf numFmtId="164" fontId="2" fillId="19" borderId="26" xfId="0" applyFont="1" applyFill="1" applyBorder="1" applyAlignment="1">
      <alignment horizontal="right" vertical="center"/>
    </xf>
    <xf numFmtId="9" fontId="2" fillId="19" borderId="26" xfId="0" applyNumberFormat="1" applyFont="1" applyFill="1" applyBorder="1" applyAlignment="1">
      <alignment vertical="center"/>
    </xf>
    <xf numFmtId="164" fontId="6" fillId="19" borderId="0" xfId="0" applyFont="1" applyFill="1" applyAlignment="1">
      <alignment vertical="center"/>
    </xf>
    <xf numFmtId="164" fontId="6" fillId="19" borderId="26" xfId="0" applyFont="1" applyFill="1" applyBorder="1" applyAlignment="1">
      <alignment vertical="center"/>
    </xf>
    <xf numFmtId="0" fontId="2" fillId="19" borderId="26" xfId="0" applyNumberFormat="1" applyFont="1" applyFill="1" applyBorder="1" applyAlignment="1">
      <alignment vertical="center"/>
    </xf>
    <xf numFmtId="0" fontId="2" fillId="19" borderId="1" xfId="0" applyNumberFormat="1" applyFont="1" applyFill="1" applyBorder="1" applyAlignment="1">
      <alignment horizontal="left" vertical="center"/>
    </xf>
    <xf numFmtId="164" fontId="2" fillId="19" borderId="1" xfId="0" applyFont="1" applyFill="1" applyBorder="1" applyAlignment="1">
      <alignment horizontal="left" vertical="center"/>
    </xf>
    <xf numFmtId="164" fontId="2" fillId="19" borderId="0" xfId="0" applyFont="1" applyFill="1" applyAlignment="1">
      <alignment vertical="center"/>
    </xf>
    <xf numFmtId="164" fontId="2" fillId="19" borderId="25" xfId="0" applyFont="1" applyFill="1" applyBorder="1" applyAlignment="1">
      <alignment vertical="center"/>
    </xf>
    <xf numFmtId="164" fontId="2" fillId="19" borderId="27" xfId="0" applyFont="1" applyFill="1" applyBorder="1" applyAlignment="1">
      <alignment horizontal="right" vertical="center"/>
    </xf>
    <xf numFmtId="164" fontId="2" fillId="19" borderId="4" xfId="0" applyFont="1" applyFill="1" applyBorder="1" applyAlignment="1">
      <alignment horizontal="right" vertical="center"/>
    </xf>
    <xf numFmtId="164" fontId="3" fillId="19" borderId="3" xfId="0" applyFont="1" applyFill="1" applyBorder="1" applyAlignment="1">
      <alignment vertical="center"/>
    </xf>
    <xf numFmtId="164" fontId="3" fillId="19" borderId="5" xfId="0" applyFont="1" applyFill="1" applyBorder="1" applyAlignment="1">
      <alignment vertical="center"/>
    </xf>
    <xf numFmtId="164" fontId="3" fillId="19" borderId="8" xfId="0" applyFont="1" applyFill="1" applyBorder="1" applyAlignment="1">
      <alignment vertical="center"/>
    </xf>
    <xf numFmtId="164" fontId="3" fillId="19" borderId="6" xfId="0" applyFont="1" applyFill="1" applyBorder="1" applyAlignment="1">
      <alignment vertical="center"/>
    </xf>
    <xf numFmtId="164" fontId="2" fillId="19" borderId="12" xfId="0" applyFont="1" applyFill="1" applyBorder="1" applyAlignment="1">
      <alignment horizontal="right" vertical="center"/>
    </xf>
    <xf numFmtId="164" fontId="2" fillId="19" borderId="13" xfId="0" applyFont="1" applyFill="1" applyBorder="1" applyAlignment="1">
      <alignment horizontal="right" vertical="center"/>
    </xf>
    <xf numFmtId="0" fontId="2" fillId="19" borderId="14" xfId="0" applyNumberFormat="1" applyFont="1" applyFill="1" applyBorder="1" applyAlignment="1">
      <alignment vertical="center"/>
    </xf>
    <xf numFmtId="0" fontId="2" fillId="19" borderId="12" xfId="0" applyNumberFormat="1" applyFont="1" applyFill="1" applyBorder="1" applyAlignment="1">
      <alignment vertical="center"/>
    </xf>
    <xf numFmtId="9" fontId="2" fillId="19" borderId="13" xfId="0" applyNumberFormat="1" applyFont="1" applyFill="1" applyBorder="1" applyAlignment="1">
      <alignment vertical="center"/>
    </xf>
    <xf numFmtId="164" fontId="2" fillId="13" borderId="10" xfId="0" applyFont="1" applyFill="1" applyBorder="1" applyAlignment="1">
      <alignment horizontal="right" vertical="center"/>
    </xf>
    <xf numFmtId="164" fontId="2" fillId="13" borderId="11" xfId="0" applyFont="1" applyFill="1" applyBorder="1" applyAlignment="1">
      <alignment horizontal="right" vertical="center"/>
    </xf>
    <xf numFmtId="164" fontId="3" fillId="14" borderId="8" xfId="0" applyFont="1" applyFill="1" applyBorder="1" applyAlignment="1">
      <alignment vertical="center"/>
    </xf>
    <xf numFmtId="164" fontId="3" fillId="14" borderId="6" xfId="0" applyFont="1" applyFill="1" applyBorder="1" applyAlignment="1">
      <alignment vertical="center"/>
    </xf>
    <xf numFmtId="0" fontId="2" fillId="21" borderId="7" xfId="0" applyNumberFormat="1" applyFont="1" applyFill="1" applyBorder="1" applyAlignment="1">
      <alignment vertical="center"/>
    </xf>
    <xf numFmtId="0" fontId="2" fillId="21" borderId="9" xfId="0" applyNumberFormat="1" applyFont="1" applyFill="1" applyBorder="1" applyAlignment="1">
      <alignment vertical="center"/>
    </xf>
    <xf numFmtId="0" fontId="2" fillId="21" borderId="10" xfId="0" applyNumberFormat="1" applyFont="1" applyFill="1" applyBorder="1" applyAlignment="1">
      <alignment vertical="center"/>
    </xf>
    <xf numFmtId="0" fontId="2" fillId="21" borderId="11" xfId="0" applyNumberFormat="1" applyFont="1" applyFill="1" applyBorder="1" applyAlignment="1">
      <alignment vertical="center"/>
    </xf>
    <xf numFmtId="0" fontId="2" fillId="21" borderId="25" xfId="0" applyNumberFormat="1" applyFont="1" applyFill="1" applyBorder="1" applyAlignment="1">
      <alignment vertical="center"/>
    </xf>
    <xf numFmtId="0" fontId="2" fillId="21" borderId="0" xfId="0" applyNumberFormat="1" applyFont="1" applyFill="1" applyAlignment="1">
      <alignment vertical="center"/>
    </xf>
    <xf numFmtId="9" fontId="2" fillId="21" borderId="26" xfId="0" applyNumberFormat="1" applyFont="1" applyFill="1" applyBorder="1" applyAlignment="1">
      <alignment vertical="center"/>
    </xf>
    <xf numFmtId="0" fontId="2" fillId="21" borderId="1" xfId="0" applyNumberFormat="1" applyFont="1" applyFill="1" applyBorder="1" applyAlignment="1">
      <alignment vertical="center"/>
    </xf>
    <xf numFmtId="0" fontId="2" fillId="21" borderId="26" xfId="0" applyNumberFormat="1" applyFont="1" applyFill="1" applyBorder="1" applyAlignment="1">
      <alignment vertical="center"/>
    </xf>
    <xf numFmtId="0" fontId="2" fillId="21" borderId="2" xfId="0" applyNumberFormat="1" applyFont="1" applyFill="1" applyBorder="1" applyAlignment="1">
      <alignment vertical="center"/>
    </xf>
    <xf numFmtId="0" fontId="3" fillId="22" borderId="3" xfId="0" applyNumberFormat="1" applyFont="1" applyFill="1" applyBorder="1" applyAlignment="1">
      <alignment vertical="center"/>
    </xf>
    <xf numFmtId="0" fontId="3" fillId="22" borderId="5" xfId="0" applyNumberFormat="1" applyFont="1" applyFill="1" applyBorder="1" applyAlignment="1">
      <alignment vertical="center"/>
    </xf>
    <xf numFmtId="0" fontId="3" fillId="22" borderId="8" xfId="0" applyNumberFormat="1" applyFont="1" applyFill="1" applyBorder="1" applyAlignment="1">
      <alignment vertical="center"/>
    </xf>
    <xf numFmtId="0" fontId="3" fillId="22" borderId="6" xfId="0" applyNumberFormat="1" applyFont="1" applyFill="1" applyBorder="1" applyAlignment="1">
      <alignment vertical="center"/>
    </xf>
    <xf numFmtId="9" fontId="3" fillId="22" borderId="6" xfId="0" applyNumberFormat="1" applyFont="1" applyFill="1" applyBorder="1" applyAlignment="1">
      <alignment vertical="center"/>
    </xf>
    <xf numFmtId="164" fontId="2" fillId="13" borderId="0" xfId="0" applyFont="1" applyFill="1" applyAlignment="1">
      <alignment vertical="center"/>
    </xf>
    <xf numFmtId="164" fontId="2" fillId="13" borderId="26" xfId="0" applyFont="1" applyFill="1" applyBorder="1" applyAlignment="1">
      <alignment vertical="center"/>
    </xf>
    <xf numFmtId="164" fontId="2" fillId="13" borderId="1" xfId="0" applyFont="1" applyFill="1" applyBorder="1" applyAlignment="1">
      <alignment vertical="center"/>
    </xf>
    <xf numFmtId="164" fontId="2" fillId="13" borderId="25" xfId="0" applyFont="1" applyFill="1" applyBorder="1" applyAlignment="1">
      <alignment vertical="center"/>
    </xf>
    <xf numFmtId="0" fontId="2" fillId="13" borderId="24" xfId="0" applyNumberFormat="1" applyFont="1" applyFill="1" applyBorder="1" applyAlignment="1">
      <alignment vertical="center"/>
    </xf>
    <xf numFmtId="0" fontId="2" fillId="23" borderId="1" xfId="0" applyNumberFormat="1" applyFont="1" applyFill="1" applyBorder="1" applyAlignment="1">
      <alignment vertical="center"/>
    </xf>
    <xf numFmtId="0" fontId="2" fillId="23" borderId="25" xfId="0" applyNumberFormat="1" applyFont="1" applyFill="1" applyBorder="1" applyAlignment="1">
      <alignment vertical="center"/>
    </xf>
    <xf numFmtId="0" fontId="2" fillId="23" borderId="0" xfId="0" applyNumberFormat="1" applyFont="1" applyFill="1" applyAlignment="1">
      <alignment vertical="center"/>
    </xf>
    <xf numFmtId="0" fontId="2" fillId="23" borderId="26" xfId="0" applyNumberFormat="1" applyFont="1" applyFill="1" applyBorder="1" applyAlignment="1">
      <alignment vertical="center"/>
    </xf>
    <xf numFmtId="9" fontId="2" fillId="23" borderId="26" xfId="0" applyNumberFormat="1" applyFont="1" applyFill="1" applyBorder="1" applyAlignment="1">
      <alignment vertical="center"/>
    </xf>
    <xf numFmtId="0" fontId="2" fillId="24" borderId="1" xfId="0" applyNumberFormat="1" applyFont="1" applyFill="1" applyBorder="1" applyAlignment="1">
      <alignment vertical="center"/>
    </xf>
    <xf numFmtId="164" fontId="2" fillId="12" borderId="1" xfId="0" applyFont="1" applyFill="1" applyBorder="1" applyAlignment="1">
      <alignment vertical="center"/>
    </xf>
    <xf numFmtId="164" fontId="2" fillId="12" borderId="1" xfId="0" applyFont="1" applyFill="1" applyBorder="1" applyAlignment="1">
      <alignment horizontal="right" vertical="center"/>
    </xf>
    <xf numFmtId="164" fontId="2" fillId="12" borderId="25" xfId="0" applyFont="1" applyFill="1" applyBorder="1" applyAlignment="1">
      <alignment horizontal="right" vertical="center"/>
    </xf>
    <xf numFmtId="9" fontId="2" fillId="12" borderId="26" xfId="0" applyNumberFormat="1" applyFont="1" applyFill="1" applyBorder="1" applyAlignment="1">
      <alignment horizontal="right" vertical="center"/>
    </xf>
    <xf numFmtId="0" fontId="2" fillId="12" borderId="1" xfId="0" applyNumberFormat="1" applyFont="1" applyFill="1" applyBorder="1" applyAlignment="1">
      <alignment vertical="center"/>
    </xf>
    <xf numFmtId="0" fontId="2" fillId="9" borderId="29" xfId="0" applyNumberFormat="1" applyFont="1" applyFill="1" applyBorder="1" applyAlignment="1">
      <alignment horizontal="left" vertical="center"/>
    </xf>
    <xf numFmtId="0" fontId="2" fillId="9" borderId="29" xfId="0" applyNumberFormat="1" applyFont="1" applyFill="1" applyBorder="1" applyAlignment="1">
      <alignment horizontal="center" vertical="center"/>
    </xf>
    <xf numFmtId="49" fontId="2" fillId="9" borderId="30" xfId="0" applyNumberFormat="1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164" fontId="0" fillId="0" borderId="0" xfId="0" applyAlignment="1">
      <alignment vertical="center"/>
    </xf>
    <xf numFmtId="164" fontId="2" fillId="18" borderId="28" xfId="0" applyFont="1" applyFill="1" applyBorder="1" applyAlignment="1">
      <alignment vertical="center"/>
    </xf>
    <xf numFmtId="164" fontId="2" fillId="18" borderId="31" xfId="0" applyFont="1" applyFill="1" applyBorder="1" applyAlignment="1">
      <alignment horizontal="right" vertical="center"/>
    </xf>
    <xf numFmtId="0" fontId="2" fillId="18" borderId="28" xfId="0" applyNumberFormat="1" applyFont="1" applyFill="1" applyBorder="1" applyAlignment="1">
      <alignment vertical="center"/>
    </xf>
    <xf numFmtId="0" fontId="2" fillId="18" borderId="13" xfId="0" applyNumberFormat="1" applyFont="1" applyFill="1" applyBorder="1" applyAlignment="1">
      <alignment horizontal="right" vertical="center"/>
    </xf>
    <xf numFmtId="0" fontId="2" fillId="18" borderId="16" xfId="0" applyNumberFormat="1" applyFont="1" applyFill="1" applyBorder="1" applyAlignment="1">
      <alignment horizontal="right" vertical="center"/>
    </xf>
    <xf numFmtId="0" fontId="2" fillId="18" borderId="26" xfId="0" applyNumberFormat="1" applyFont="1" applyFill="1" applyBorder="1" applyAlignment="1">
      <alignment horizontal="right" vertical="center"/>
    </xf>
    <xf numFmtId="0" fontId="2" fillId="18" borderId="12" xfId="0" applyNumberFormat="1" applyFont="1" applyFill="1" applyBorder="1" applyAlignment="1">
      <alignment vertical="center"/>
    </xf>
    <xf numFmtId="0" fontId="2" fillId="18" borderId="12" xfId="0" applyNumberFormat="1" applyFont="1" applyFill="1" applyBorder="1" applyAlignment="1">
      <alignment horizontal="right" vertical="center"/>
    </xf>
    <xf numFmtId="0" fontId="2" fillId="18" borderId="14" xfId="0" applyNumberFormat="1" applyFont="1" applyFill="1" applyBorder="1" applyAlignment="1">
      <alignment vertical="center"/>
    </xf>
    <xf numFmtId="0" fontId="2" fillId="18" borderId="17" xfId="0" applyNumberFormat="1" applyFont="1" applyFill="1" applyBorder="1" applyAlignment="1">
      <alignment vertical="center"/>
    </xf>
    <xf numFmtId="0" fontId="2" fillId="18" borderId="17" xfId="0" applyNumberFormat="1" applyFont="1" applyFill="1" applyBorder="1" applyAlignment="1">
      <alignment horizontal="right" vertical="center"/>
    </xf>
    <xf numFmtId="0" fontId="2" fillId="18" borderId="21" xfId="0" applyNumberFormat="1" applyFont="1" applyFill="1" applyBorder="1" applyAlignment="1">
      <alignment vertical="center"/>
    </xf>
    <xf numFmtId="0" fontId="2" fillId="18" borderId="28" xfId="0" applyNumberFormat="1" applyFont="1" applyFill="1" applyBorder="1" applyAlignment="1">
      <alignment horizontal="right" vertical="center"/>
    </xf>
    <xf numFmtId="164" fontId="0" fillId="0" borderId="28" xfId="0" applyBorder="1" applyAlignment="1">
      <alignment vertical="center"/>
    </xf>
    <xf numFmtId="164" fontId="2" fillId="18" borderId="15" xfId="0" applyFont="1" applyFill="1" applyBorder="1" applyAlignment="1">
      <alignment horizontal="left" vertical="center"/>
    </xf>
    <xf numFmtId="164" fontId="2" fillId="18" borderId="28" xfId="0" applyNumberFormat="1" applyFont="1" applyFill="1" applyBorder="1" applyAlignment="1">
      <alignment vertical="center"/>
    </xf>
    <xf numFmtId="164" fontId="2" fillId="0" borderId="28" xfId="0" applyFont="1" applyBorder="1" applyAlignment="1">
      <alignment horizontal="right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9" fontId="2" fillId="0" borderId="1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26" xfId="0" applyNumberFormat="1" applyFont="1" applyFill="1" applyBorder="1" applyAlignment="1">
      <alignment vertical="center"/>
    </xf>
    <xf numFmtId="9" fontId="2" fillId="0" borderId="26" xfId="0" applyNumberFormat="1" applyFont="1" applyFill="1" applyBorder="1" applyAlignment="1">
      <alignment vertical="center"/>
    </xf>
    <xf numFmtId="164" fontId="2" fillId="0" borderId="0" xfId="0" applyFont="1" applyFill="1" applyAlignment="1">
      <alignment horizontal="right" vertical="center"/>
    </xf>
    <xf numFmtId="164" fontId="2" fillId="0" borderId="26" xfId="0" applyFont="1" applyFill="1" applyBorder="1" applyAlignment="1">
      <alignment horizontal="right" vertical="center"/>
    </xf>
    <xf numFmtId="164" fontId="6" fillId="0" borderId="0" xfId="0" applyFont="1" applyFill="1" applyAlignment="1">
      <alignment vertical="center"/>
    </xf>
    <xf numFmtId="164" fontId="6" fillId="0" borderId="26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28" xfId="0" applyNumberFormat="1" applyFont="1" applyFill="1" applyBorder="1" applyAlignment="1">
      <alignment vertical="center"/>
    </xf>
    <xf numFmtId="0" fontId="3" fillId="25" borderId="3" xfId="0" applyNumberFormat="1" applyFont="1" applyFill="1" applyBorder="1" applyAlignment="1">
      <alignment vertical="center"/>
    </xf>
    <xf numFmtId="0" fontId="3" fillId="25" borderId="5" xfId="0" applyNumberFormat="1" applyFont="1" applyFill="1" applyBorder="1" applyAlignment="1">
      <alignment vertical="center"/>
    </xf>
    <xf numFmtId="0" fontId="3" fillId="25" borderId="8" xfId="0" applyNumberFormat="1" applyFont="1" applyFill="1" applyBorder="1" applyAlignment="1">
      <alignment vertical="center"/>
    </xf>
    <xf numFmtId="0" fontId="3" fillId="25" borderId="6" xfId="0" applyNumberFormat="1" applyFont="1" applyFill="1" applyBorder="1" applyAlignment="1">
      <alignment vertical="center"/>
    </xf>
    <xf numFmtId="164" fontId="2" fillId="17" borderId="1" xfId="0" applyFont="1" applyFill="1" applyBorder="1" applyAlignment="1">
      <alignment vertical="center"/>
    </xf>
    <xf numFmtId="0" fontId="2" fillId="26" borderId="7" xfId="0" applyNumberFormat="1" applyFont="1" applyFill="1" applyBorder="1" applyAlignment="1">
      <alignment vertical="center"/>
    </xf>
    <xf numFmtId="0" fontId="2" fillId="26" borderId="9" xfId="0" applyNumberFormat="1" applyFont="1" applyFill="1" applyBorder="1" applyAlignment="1">
      <alignment vertical="center"/>
    </xf>
    <xf numFmtId="0" fontId="2" fillId="26" borderId="10" xfId="0" applyNumberFormat="1" applyFont="1" applyFill="1" applyBorder="1" applyAlignment="1">
      <alignment vertical="center"/>
    </xf>
    <xf numFmtId="0" fontId="2" fillId="26" borderId="11" xfId="0" applyNumberFormat="1" applyFont="1" applyFill="1" applyBorder="1" applyAlignment="1">
      <alignment vertical="center"/>
    </xf>
    <xf numFmtId="9" fontId="2" fillId="26" borderId="11" xfId="0" applyNumberFormat="1" applyFont="1" applyFill="1" applyBorder="1" applyAlignment="1">
      <alignment vertical="center"/>
    </xf>
    <xf numFmtId="0" fontId="2" fillId="26" borderId="1" xfId="0" applyNumberFormat="1" applyFont="1" applyFill="1" applyBorder="1" applyAlignment="1">
      <alignment vertical="center"/>
    </xf>
    <xf numFmtId="0" fontId="2" fillId="26" borderId="25" xfId="0" applyNumberFormat="1" applyFont="1" applyFill="1" applyBorder="1" applyAlignment="1">
      <alignment vertical="center"/>
    </xf>
    <xf numFmtId="0" fontId="2" fillId="26" borderId="0" xfId="0" applyNumberFormat="1" applyFont="1" applyFill="1" applyAlignment="1">
      <alignment vertical="center"/>
    </xf>
    <xf numFmtId="0" fontId="2" fillId="26" borderId="26" xfId="0" applyNumberFormat="1" applyFont="1" applyFill="1" applyBorder="1" applyAlignment="1">
      <alignment vertical="center"/>
    </xf>
    <xf numFmtId="9" fontId="2" fillId="26" borderId="26" xfId="0" applyNumberFormat="1" applyFont="1" applyFill="1" applyBorder="1" applyAlignment="1">
      <alignment vertical="center"/>
    </xf>
    <xf numFmtId="164" fontId="2" fillId="26" borderId="25" xfId="0" applyFont="1" applyFill="1" applyBorder="1" applyAlignment="1">
      <alignment horizontal="right" vertical="center"/>
    </xf>
    <xf numFmtId="164" fontId="2" fillId="26" borderId="0" xfId="0" applyFont="1" applyFill="1" applyAlignment="1">
      <alignment horizontal="right" vertical="center"/>
    </xf>
    <xf numFmtId="164" fontId="2" fillId="26" borderId="25" xfId="0" applyFont="1" applyFill="1" applyBorder="1" applyAlignment="1">
      <alignment vertical="center"/>
    </xf>
    <xf numFmtId="164" fontId="2" fillId="26" borderId="0" xfId="0" applyFont="1" applyFill="1" applyAlignment="1">
      <alignment vertical="center"/>
    </xf>
    <xf numFmtId="0" fontId="2" fillId="26" borderId="2" xfId="0" applyNumberFormat="1" applyFont="1" applyFill="1" applyBorder="1" applyAlignment="1">
      <alignment vertical="center"/>
    </xf>
    <xf numFmtId="0" fontId="3" fillId="26" borderId="3" xfId="0" applyNumberFormat="1" applyFont="1" applyFill="1" applyBorder="1" applyAlignment="1">
      <alignment vertical="center"/>
    </xf>
    <xf numFmtId="0" fontId="3" fillId="26" borderId="5" xfId="0" applyNumberFormat="1" applyFont="1" applyFill="1" applyBorder="1" applyAlignment="1">
      <alignment vertical="center"/>
    </xf>
    <xf numFmtId="0" fontId="3" fillId="26" borderId="8" xfId="0" applyNumberFormat="1" applyFont="1" applyFill="1" applyBorder="1" applyAlignment="1">
      <alignment vertical="center"/>
    </xf>
    <xf numFmtId="0" fontId="3" fillId="26" borderId="6" xfId="0" applyNumberFormat="1" applyFont="1" applyFill="1" applyBorder="1" applyAlignment="1">
      <alignment vertical="center"/>
    </xf>
    <xf numFmtId="9" fontId="3" fillId="26" borderId="6" xfId="0" applyNumberFormat="1" applyFont="1" applyFill="1" applyBorder="1" applyAlignment="1">
      <alignment vertical="center"/>
    </xf>
    <xf numFmtId="164" fontId="2" fillId="26" borderId="26" xfId="0" applyFont="1" applyFill="1" applyBorder="1" applyAlignment="1">
      <alignment horizontal="right" vertical="center"/>
    </xf>
    <xf numFmtId="164" fontId="6" fillId="26" borderId="0" xfId="0" applyFont="1" applyFill="1" applyAlignment="1">
      <alignment vertical="center"/>
    </xf>
    <xf numFmtId="164" fontId="6" fillId="26" borderId="26" xfId="0" applyFont="1" applyFill="1" applyBorder="1" applyAlignment="1">
      <alignment vertical="center"/>
    </xf>
    <xf numFmtId="0" fontId="2" fillId="26" borderId="28" xfId="0" applyNumberFormat="1" applyFont="1" applyFill="1" applyBorder="1" applyAlignment="1">
      <alignment vertical="center"/>
    </xf>
    <xf numFmtId="164" fontId="6" fillId="26" borderId="28" xfId="0" applyFont="1" applyFill="1" applyBorder="1" applyAlignment="1">
      <alignment vertical="center"/>
    </xf>
    <xf numFmtId="0" fontId="18" fillId="17" borderId="1" xfId="0" applyNumberFormat="1" applyFont="1" applyFill="1" applyBorder="1" applyAlignment="1">
      <alignment vertical="center"/>
    </xf>
    <xf numFmtId="0" fontId="19" fillId="17" borderId="7" xfId="0" applyNumberFormat="1" applyFont="1" applyFill="1" applyBorder="1" applyAlignment="1">
      <alignment vertical="center"/>
    </xf>
    <xf numFmtId="0" fontId="19" fillId="17" borderId="1" xfId="0" applyNumberFormat="1" applyFont="1" applyFill="1" applyBorder="1" applyAlignment="1">
      <alignment vertical="center"/>
    </xf>
    <xf numFmtId="0" fontId="19" fillId="17" borderId="2" xfId="0" applyNumberFormat="1" applyFont="1" applyFill="1" applyBorder="1" applyAlignment="1">
      <alignment vertical="center"/>
    </xf>
    <xf numFmtId="164" fontId="0" fillId="0" borderId="0" xfId="0" applyAlignment="1">
      <alignment vertical="center"/>
    </xf>
    <xf numFmtId="0" fontId="2" fillId="27" borderId="2" xfId="0" applyNumberFormat="1" applyFont="1" applyFill="1" applyBorder="1" applyAlignment="1">
      <alignment vertical="center"/>
    </xf>
    <xf numFmtId="0" fontId="3" fillId="28" borderId="3" xfId="0" applyNumberFormat="1" applyFont="1" applyFill="1" applyBorder="1" applyAlignment="1">
      <alignment vertical="center"/>
    </xf>
    <xf numFmtId="0" fontId="3" fillId="28" borderId="5" xfId="0" applyNumberFormat="1" applyFont="1" applyFill="1" applyBorder="1" applyAlignment="1">
      <alignment vertical="center"/>
    </xf>
    <xf numFmtId="0" fontId="3" fillId="28" borderId="8" xfId="0" applyNumberFormat="1" applyFont="1" applyFill="1" applyBorder="1" applyAlignment="1">
      <alignment vertical="center"/>
    </xf>
    <xf numFmtId="0" fontId="3" fillId="28" borderId="6" xfId="0" applyNumberFormat="1" applyFont="1" applyFill="1" applyBorder="1" applyAlignment="1">
      <alignment vertical="center"/>
    </xf>
    <xf numFmtId="9" fontId="3" fillId="28" borderId="6" xfId="0" applyNumberFormat="1" applyFont="1" applyFill="1" applyBorder="1" applyAlignment="1">
      <alignment vertical="center"/>
    </xf>
    <xf numFmtId="164" fontId="0" fillId="0" borderId="0" xfId="0" applyAlignment="1">
      <alignment vertical="center"/>
    </xf>
    <xf numFmtId="0" fontId="3" fillId="27" borderId="5" xfId="0" applyNumberFormat="1" applyFont="1" applyFill="1" applyBorder="1" applyAlignment="1">
      <alignment vertical="center"/>
    </xf>
    <xf numFmtId="0" fontId="3" fillId="27" borderId="8" xfId="0" applyNumberFormat="1" applyFont="1" applyFill="1" applyBorder="1" applyAlignment="1">
      <alignment vertical="center"/>
    </xf>
    <xf numFmtId="0" fontId="3" fillId="27" borderId="6" xfId="0" applyNumberFormat="1" applyFont="1" applyFill="1" applyBorder="1" applyAlignment="1">
      <alignment vertical="center"/>
    </xf>
    <xf numFmtId="9" fontId="3" fillId="27" borderId="6" xfId="0" applyNumberFormat="1" applyFont="1" applyFill="1" applyBorder="1" applyAlignment="1">
      <alignment vertical="center"/>
    </xf>
    <xf numFmtId="0" fontId="2" fillId="29" borderId="0" xfId="0" applyNumberFormat="1" applyFont="1" applyFill="1" applyAlignment="1">
      <alignment vertical="center"/>
    </xf>
    <xf numFmtId="0" fontId="3" fillId="30" borderId="3" xfId="0" applyNumberFormat="1" applyFont="1" applyFill="1" applyBorder="1" applyAlignment="1">
      <alignment vertical="center"/>
    </xf>
    <xf numFmtId="0" fontId="3" fillId="30" borderId="5" xfId="0" applyNumberFormat="1" applyFont="1" applyFill="1" applyBorder="1" applyAlignment="1">
      <alignment vertical="center"/>
    </xf>
    <xf numFmtId="0" fontId="3" fillId="30" borderId="8" xfId="0" applyNumberFormat="1" applyFont="1" applyFill="1" applyBorder="1" applyAlignment="1">
      <alignment vertical="center"/>
    </xf>
    <xf numFmtId="0" fontId="3" fillId="30" borderId="6" xfId="0" applyNumberFormat="1" applyFont="1" applyFill="1" applyBorder="1" applyAlignment="1">
      <alignment vertical="center"/>
    </xf>
    <xf numFmtId="9" fontId="3" fillId="30" borderId="6" xfId="0" applyNumberFormat="1" applyFont="1" applyFill="1" applyBorder="1" applyAlignment="1">
      <alignment vertical="center"/>
    </xf>
    <xf numFmtId="0" fontId="3" fillId="2" borderId="32" xfId="0" applyNumberFormat="1" applyFont="1" applyFill="1" applyBorder="1" applyAlignment="1">
      <alignment horizontal="center" vertical="center"/>
    </xf>
    <xf numFmtId="0" fontId="2" fillId="9" borderId="34" xfId="0" applyNumberFormat="1" applyFont="1" applyFill="1" applyBorder="1" applyAlignment="1">
      <alignment horizontal="center" vertical="center"/>
    </xf>
    <xf numFmtId="0" fontId="2" fillId="0" borderId="34" xfId="0" applyNumberFormat="1" applyFont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32" xfId="0" applyNumberFormat="1" applyFont="1" applyBorder="1" applyAlignment="1">
      <alignment horizontal="center" vertical="center"/>
    </xf>
    <xf numFmtId="49" fontId="2" fillId="9" borderId="34" xfId="0" applyNumberFormat="1" applyFont="1" applyFill="1" applyBorder="1" applyAlignment="1">
      <alignment horizontal="center" vertical="center"/>
    </xf>
    <xf numFmtId="165" fontId="2" fillId="9" borderId="34" xfId="0" applyNumberFormat="1" applyFont="1" applyFill="1" applyBorder="1" applyAlignment="1">
      <alignment horizontal="center" vertical="center"/>
    </xf>
    <xf numFmtId="165" fontId="2" fillId="0" borderId="32" xfId="0" applyNumberFormat="1" applyFont="1" applyBorder="1" applyAlignment="1">
      <alignment horizontal="center" vertical="center"/>
    </xf>
    <xf numFmtId="165" fontId="2" fillId="0" borderId="34" xfId="0" applyNumberFormat="1" applyFont="1" applyBorder="1" applyAlignment="1">
      <alignment horizontal="center" vertical="center"/>
    </xf>
    <xf numFmtId="164" fontId="2" fillId="9" borderId="34" xfId="0" applyFont="1" applyFill="1" applyBorder="1" applyAlignment="1">
      <alignment horizontal="center" vertical="center"/>
    </xf>
    <xf numFmtId="166" fontId="2" fillId="0" borderId="34" xfId="0" applyNumberFormat="1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0" fontId="2" fillId="9" borderId="36" xfId="0" applyNumberFormat="1" applyFont="1" applyFill="1" applyBorder="1" applyAlignment="1">
      <alignment horizontal="center" vertical="center"/>
    </xf>
    <xf numFmtId="166" fontId="2" fillId="9" borderId="36" xfId="0" applyNumberFormat="1" applyFont="1" applyFill="1" applyBorder="1" applyAlignment="1">
      <alignment horizontal="center" vertical="center"/>
    </xf>
    <xf numFmtId="166" fontId="2" fillId="0" borderId="36" xfId="0" applyNumberFormat="1" applyFont="1" applyBorder="1" applyAlignment="1">
      <alignment horizontal="center" vertical="center"/>
    </xf>
    <xf numFmtId="165" fontId="2" fillId="9" borderId="36" xfId="0" applyNumberFormat="1" applyFont="1" applyFill="1" applyBorder="1" applyAlignment="1">
      <alignment horizontal="center" vertical="center"/>
    </xf>
    <xf numFmtId="165" fontId="2" fillId="0" borderId="36" xfId="0" applyNumberFormat="1" applyFont="1" applyBorder="1" applyAlignment="1">
      <alignment horizontal="center" vertical="center"/>
    </xf>
    <xf numFmtId="49" fontId="2" fillId="9" borderId="36" xfId="0" applyNumberFormat="1" applyFont="1" applyFill="1" applyBorder="1" applyAlignment="1">
      <alignment horizontal="center" vertical="center"/>
    </xf>
    <xf numFmtId="49" fontId="2" fillId="4" borderId="36" xfId="0" applyNumberFormat="1" applyFont="1" applyFill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2" fillId="9" borderId="33" xfId="0" applyNumberFormat="1" applyFont="1" applyFill="1" applyBorder="1" applyAlignment="1">
      <alignment horizontal="center" vertical="center"/>
    </xf>
    <xf numFmtId="0" fontId="2" fillId="9" borderId="37" xfId="0" applyNumberFormat="1" applyFont="1" applyFill="1" applyBorder="1" applyAlignment="1">
      <alignment horizontal="center" vertical="center"/>
    </xf>
    <xf numFmtId="165" fontId="2" fillId="9" borderId="37" xfId="0" applyNumberFormat="1" applyFont="1" applyFill="1" applyBorder="1" applyAlignment="1">
      <alignment horizontal="center" vertical="center"/>
    </xf>
    <xf numFmtId="0" fontId="2" fillId="0" borderId="38" xfId="0" applyNumberFormat="1" applyFont="1" applyBorder="1" applyAlignment="1">
      <alignment horizontal="center" vertical="center"/>
    </xf>
    <xf numFmtId="0" fontId="3" fillId="27" borderId="3" xfId="0" applyNumberFormat="1" applyFont="1" applyFill="1" applyBorder="1" applyAlignment="1">
      <alignment vertical="center"/>
    </xf>
    <xf numFmtId="0" fontId="2" fillId="27" borderId="7" xfId="0" applyNumberFormat="1" applyFont="1" applyFill="1" applyBorder="1" applyAlignment="1">
      <alignment vertical="center"/>
    </xf>
    <xf numFmtId="0" fontId="2" fillId="27" borderId="9" xfId="0" applyNumberFormat="1" applyFont="1" applyFill="1" applyBorder="1" applyAlignment="1">
      <alignment vertical="center"/>
    </xf>
    <xf numFmtId="0" fontId="2" fillId="27" borderId="10" xfId="0" applyNumberFormat="1" applyFont="1" applyFill="1" applyBorder="1" applyAlignment="1">
      <alignment vertical="center"/>
    </xf>
    <xf numFmtId="0" fontId="2" fillId="27" borderId="11" xfId="0" applyNumberFormat="1" applyFont="1" applyFill="1" applyBorder="1" applyAlignment="1">
      <alignment vertical="center"/>
    </xf>
    <xf numFmtId="9" fontId="2" fillId="27" borderId="11" xfId="0" applyNumberFormat="1" applyFont="1" applyFill="1" applyBorder="1" applyAlignment="1">
      <alignment vertical="center"/>
    </xf>
    <xf numFmtId="0" fontId="2" fillId="27" borderId="1" xfId="0" applyNumberFormat="1" applyFont="1" applyFill="1" applyBorder="1" applyAlignment="1">
      <alignment vertical="center"/>
    </xf>
    <xf numFmtId="0" fontId="2" fillId="27" borderId="25" xfId="0" applyNumberFormat="1" applyFont="1" applyFill="1" applyBorder="1" applyAlignment="1">
      <alignment vertical="center"/>
    </xf>
    <xf numFmtId="0" fontId="2" fillId="27" borderId="0" xfId="0" applyNumberFormat="1" applyFont="1" applyFill="1" applyAlignment="1">
      <alignment vertical="center"/>
    </xf>
    <xf numFmtId="0" fontId="2" fillId="27" borderId="26" xfId="0" applyNumberFormat="1" applyFont="1" applyFill="1" applyBorder="1" applyAlignment="1">
      <alignment vertical="center"/>
    </xf>
    <xf numFmtId="9" fontId="2" fillId="27" borderId="26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27" xfId="0" applyNumberFormat="1" applyFont="1" applyBorder="1" applyAlignment="1">
      <alignment vertical="center"/>
    </xf>
    <xf numFmtId="0" fontId="3" fillId="2" borderId="27" xfId="0" applyNumberFormat="1" applyFont="1" applyFill="1" applyBorder="1" applyAlignment="1">
      <alignment vertical="center"/>
    </xf>
    <xf numFmtId="164" fontId="0" fillId="0" borderId="28" xfId="1" applyFont="1" applyAlignment="1">
      <alignment vertical="center"/>
    </xf>
    <xf numFmtId="0" fontId="15" fillId="0" borderId="25" xfId="1" applyNumberFormat="1" applyFont="1" applyBorder="1" applyAlignment="1">
      <alignment horizontal="center" vertical="center"/>
    </xf>
    <xf numFmtId="0" fontId="15" fillId="0" borderId="28" xfId="1" applyNumberFormat="1" applyFont="1" applyAlignment="1">
      <alignment horizontal="center" vertical="center"/>
    </xf>
    <xf numFmtId="0" fontId="15" fillId="0" borderId="26" xfId="1" applyNumberFormat="1" applyFont="1" applyBorder="1" applyAlignment="1">
      <alignment horizontal="center" vertical="center"/>
    </xf>
    <xf numFmtId="0" fontId="15" fillId="0" borderId="9" xfId="1" applyNumberFormat="1" applyFont="1" applyBorder="1" applyAlignment="1">
      <alignment horizontal="center" vertical="center"/>
    </xf>
    <xf numFmtId="0" fontId="2" fillId="25" borderId="25" xfId="0" applyNumberFormat="1" applyFont="1" applyFill="1" applyBorder="1" applyAlignment="1">
      <alignment vertical="center"/>
    </xf>
    <xf numFmtId="0" fontId="2" fillId="25" borderId="0" xfId="0" applyNumberFormat="1" applyFont="1" applyFill="1" applyAlignment="1">
      <alignment vertical="center"/>
    </xf>
    <xf numFmtId="0" fontId="2" fillId="25" borderId="26" xfId="0" applyNumberFormat="1" applyFont="1" applyFill="1" applyBorder="1" applyAlignment="1">
      <alignment vertical="center"/>
    </xf>
    <xf numFmtId="164" fontId="2" fillId="25" borderId="0" xfId="0" applyFont="1" applyFill="1" applyAlignment="1">
      <alignment horizontal="right" vertical="center"/>
    </xf>
    <xf numFmtId="0" fontId="20" fillId="31" borderId="8" xfId="0" applyNumberFormat="1" applyFont="1" applyFill="1" applyBorder="1" applyAlignment="1">
      <alignment horizontal="center" vertical="center"/>
    </xf>
    <xf numFmtId="0" fontId="2" fillId="31" borderId="1" xfId="0" applyNumberFormat="1" applyFont="1" applyFill="1" applyBorder="1" applyAlignment="1">
      <alignment vertical="center"/>
    </xf>
    <xf numFmtId="0" fontId="2" fillId="31" borderId="25" xfId="0" applyNumberFormat="1" applyFont="1" applyFill="1" applyBorder="1" applyAlignment="1">
      <alignment vertical="center"/>
    </xf>
    <xf numFmtId="0" fontId="2" fillId="31" borderId="0" xfId="0" applyNumberFormat="1" applyFont="1" applyFill="1" applyAlignment="1">
      <alignment vertical="center"/>
    </xf>
    <xf numFmtId="164" fontId="2" fillId="31" borderId="0" xfId="0" applyNumberFormat="1" applyFont="1" applyFill="1" applyAlignment="1">
      <alignment vertical="center"/>
    </xf>
    <xf numFmtId="164" fontId="2" fillId="31" borderId="26" xfId="0" applyNumberFormat="1" applyFont="1" applyFill="1" applyBorder="1" applyAlignment="1">
      <alignment vertical="center"/>
    </xf>
    <xf numFmtId="9" fontId="2" fillId="31" borderId="26" xfId="0" applyNumberFormat="1" applyFont="1" applyFill="1" applyBorder="1" applyAlignment="1">
      <alignment vertical="center"/>
    </xf>
    <xf numFmtId="0" fontId="2" fillId="31" borderId="26" xfId="0" applyNumberFormat="1" applyFont="1" applyFill="1" applyBorder="1" applyAlignment="1">
      <alignment vertical="center"/>
    </xf>
    <xf numFmtId="164" fontId="2" fillId="31" borderId="0" xfId="0" applyFont="1" applyFill="1" applyAlignment="1">
      <alignment vertical="center"/>
    </xf>
    <xf numFmtId="164" fontId="2" fillId="31" borderId="26" xfId="0" applyFont="1" applyFill="1" applyBorder="1" applyAlignment="1">
      <alignment vertical="center"/>
    </xf>
    <xf numFmtId="0" fontId="3" fillId="2" borderId="40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6" fontId="2" fillId="0" borderId="25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164" fontId="2" fillId="23" borderId="25" xfId="0" applyNumberFormat="1" applyFont="1" applyFill="1" applyBorder="1" applyAlignment="1">
      <alignment vertical="center"/>
    </xf>
    <xf numFmtId="164" fontId="2" fillId="27" borderId="1" xfId="0" applyFont="1" applyFill="1" applyBorder="1" applyAlignment="1">
      <alignment horizontal="right" vertical="center"/>
    </xf>
    <xf numFmtId="164" fontId="2" fillId="0" borderId="9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Alignment="1">
      <alignment horizontal="center" vertical="center"/>
    </xf>
    <xf numFmtId="0" fontId="21" fillId="0" borderId="1" xfId="0" applyNumberFormat="1" applyFont="1" applyFill="1" applyBorder="1" applyAlignment="1">
      <alignment vertical="center"/>
    </xf>
    <xf numFmtId="0" fontId="21" fillId="0" borderId="2" xfId="0" applyNumberFormat="1" applyFont="1" applyFill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0" fontId="15" fillId="4" borderId="1" xfId="0" applyNumberFormat="1" applyFont="1" applyFill="1" applyBorder="1" applyAlignment="1">
      <alignment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41" xfId="0" applyNumberFormat="1" applyFont="1" applyBorder="1" applyAlignment="1">
      <alignment vertical="center"/>
    </xf>
    <xf numFmtId="164" fontId="5" fillId="0" borderId="28" xfId="0" applyFont="1" applyBorder="1" applyAlignment="1">
      <alignment vertical="center"/>
    </xf>
    <xf numFmtId="164" fontId="2" fillId="23" borderId="0" xfId="0" applyNumberFormat="1" applyFont="1" applyFill="1" applyAlignment="1">
      <alignment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164" fontId="0" fillId="0" borderId="0" xfId="0" applyFill="1" applyAlignment="1">
      <alignment vertical="center"/>
    </xf>
    <xf numFmtId="164" fontId="0" fillId="0" borderId="0" xfId="0" applyFill="1" applyAlignment="1">
      <alignment horizontal="center" vertical="center"/>
    </xf>
    <xf numFmtId="164" fontId="2" fillId="0" borderId="9" xfId="0" applyFont="1" applyFill="1" applyBorder="1" applyAlignment="1">
      <alignment vertical="center"/>
    </xf>
    <xf numFmtId="164" fontId="3" fillId="0" borderId="28" xfId="0" applyFont="1" applyFill="1" applyBorder="1" applyAlignment="1">
      <alignment vertical="center"/>
    </xf>
    <xf numFmtId="164" fontId="3" fillId="0" borderId="28" xfId="0" applyFont="1" applyFill="1" applyBorder="1" applyAlignment="1">
      <alignment horizontal="right" vertical="center"/>
    </xf>
    <xf numFmtId="9" fontId="3" fillId="0" borderId="28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164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27" xfId="0" applyNumberFormat="1" applyFont="1" applyBorder="1" applyAlignment="1">
      <alignment vertical="center"/>
    </xf>
    <xf numFmtId="0" fontId="4" fillId="0" borderId="27" xfId="0" applyNumberFormat="1" applyFont="1" applyBorder="1" applyAlignment="1">
      <alignment vertical="center"/>
    </xf>
    <xf numFmtId="0" fontId="3" fillId="2" borderId="40" xfId="0" applyNumberFormat="1" applyFont="1" applyFill="1" applyBorder="1" applyAlignment="1">
      <alignment vertical="center"/>
    </xf>
    <xf numFmtId="0" fontId="4" fillId="0" borderId="40" xfId="0" applyNumberFormat="1" applyFont="1" applyBorder="1" applyAlignment="1">
      <alignment vertical="center"/>
    </xf>
    <xf numFmtId="0" fontId="13" fillId="2" borderId="5" xfId="1" applyNumberFormat="1" applyFont="1" applyFill="1" applyBorder="1" applyAlignment="1">
      <alignment horizontal="center" vertical="center"/>
    </xf>
    <xf numFmtId="0" fontId="16" fillId="0" borderId="8" xfId="1" applyNumberFormat="1" applyFont="1" applyBorder="1" applyAlignment="1">
      <alignment vertical="center"/>
    </xf>
    <xf numFmtId="0" fontId="16" fillId="0" borderId="6" xfId="1" applyNumberFormat="1" applyFont="1" applyBorder="1" applyAlignment="1">
      <alignment vertical="center"/>
    </xf>
    <xf numFmtId="164" fontId="17" fillId="3" borderId="28" xfId="1" applyFont="1" applyFill="1" applyAlignment="1">
      <alignment vertical="center"/>
    </xf>
    <xf numFmtId="164" fontId="0" fillId="0" borderId="28" xfId="1" applyFont="1" applyAlignment="1">
      <alignment vertical="center"/>
    </xf>
    <xf numFmtId="164" fontId="17" fillId="20" borderId="28" xfId="1" applyFont="1" applyFill="1" applyAlignment="1">
      <alignment vertical="center"/>
    </xf>
    <xf numFmtId="0" fontId="15" fillId="0" borderId="25" xfId="1" applyNumberFormat="1" applyFont="1" applyBorder="1" applyAlignment="1">
      <alignment horizontal="center" vertical="center"/>
    </xf>
    <xf numFmtId="164" fontId="8" fillId="0" borderId="28" xfId="1" applyFont="1" applyAlignment="1">
      <alignment vertical="center"/>
    </xf>
    <xf numFmtId="0" fontId="16" fillId="0" borderId="26" xfId="1" applyNumberFormat="1" applyFont="1" applyBorder="1" applyAlignment="1">
      <alignment vertical="center"/>
    </xf>
    <xf numFmtId="0" fontId="15" fillId="0" borderId="28" xfId="1" applyNumberFormat="1" applyFont="1" applyAlignment="1">
      <alignment horizontal="center" vertical="center"/>
    </xf>
    <xf numFmtId="0" fontId="15" fillId="0" borderId="26" xfId="1" applyNumberFormat="1" applyFont="1" applyBorder="1" applyAlignment="1">
      <alignment horizontal="center" vertical="center"/>
    </xf>
    <xf numFmtId="0" fontId="15" fillId="0" borderId="9" xfId="1" applyNumberFormat="1" applyFont="1" applyBorder="1" applyAlignment="1">
      <alignment horizontal="center" vertical="center"/>
    </xf>
    <xf numFmtId="0" fontId="16" fillId="0" borderId="10" xfId="1" applyNumberFormat="1" applyFont="1" applyBorder="1" applyAlignment="1">
      <alignment vertical="center"/>
    </xf>
    <xf numFmtId="0" fontId="16" fillId="0" borderId="11" xfId="1" applyNumberFormat="1" applyFont="1" applyBorder="1" applyAlignment="1">
      <alignment vertical="center"/>
    </xf>
    <xf numFmtId="0" fontId="15" fillId="0" borderId="10" xfId="1" applyNumberFormat="1" applyFont="1" applyBorder="1" applyAlignment="1">
      <alignment horizontal="center" vertical="center"/>
    </xf>
    <xf numFmtId="0" fontId="15" fillId="0" borderId="11" xfId="1" applyNumberFormat="1" applyFont="1" applyBorder="1" applyAlignment="1">
      <alignment horizontal="center" vertical="center"/>
    </xf>
    <xf numFmtId="0" fontId="9" fillId="0" borderId="28" xfId="1" applyNumberFormat="1" applyFont="1" applyAlignment="1">
      <alignment horizontal="center" vertical="center"/>
    </xf>
    <xf numFmtId="0" fontId="15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D62EDDBC-2B4A-426C-B7B9-99B561FB5368}"/>
  </cellStyles>
  <dxfs count="0"/>
  <tableStyles count="0" defaultTableStyle="TableStyleMedium2" defaultPivotStyle="PivotStyleLight16"/>
  <colors>
    <mruColors>
      <color rgb="FF66FF33"/>
      <color rgb="FFFF9900"/>
      <color rgb="FFED7D31"/>
      <color rgb="FFF79646"/>
      <color rgb="FFB59FD1"/>
      <color rgb="FFC3B6D4"/>
      <color rgb="FFAA8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Q1001"/>
  <sheetViews>
    <sheetView showGridLines="0" tabSelected="1" zoomScaleNormal="100" workbookViewId="0">
      <selection activeCell="C20" sqref="C20"/>
    </sheetView>
  </sheetViews>
  <sheetFormatPr defaultColWidth="14.453125" defaultRowHeight="15" customHeight="1"/>
  <cols>
    <col min="1" max="1" width="11.453125" customWidth="1"/>
    <col min="2" max="2" width="10.08984375" customWidth="1"/>
    <col min="3" max="3" width="7" customWidth="1"/>
    <col min="4" max="5" width="5" customWidth="1"/>
    <col min="6" max="8" width="4.90625" customWidth="1"/>
    <col min="9" max="9" width="5" customWidth="1"/>
    <col min="10" max="11" width="5.453125" customWidth="1"/>
    <col min="12" max="13" width="5" customWidth="1"/>
    <col min="14" max="14" width="6.90625" customWidth="1"/>
    <col min="15" max="17" width="8" customWidth="1"/>
  </cols>
  <sheetData>
    <row r="1" spans="1:17" ht="14.25" customHeight="1">
      <c r="A1" s="565" t="s">
        <v>0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</row>
    <row r="2" spans="1:17" ht="14.25" customHeight="1">
      <c r="A2" s="565" t="s">
        <v>1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</row>
    <row r="3" spans="1:17" ht="11.25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</row>
    <row r="4" spans="1:17" ht="11.25" customHeight="1">
      <c r="A4" s="92"/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</row>
    <row r="5" spans="1:17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</row>
    <row r="6" spans="1:17" ht="11.25" customHeight="1">
      <c r="A6" s="100"/>
      <c r="B6" s="100"/>
      <c r="C6" s="100"/>
      <c r="D6" s="97" t="s">
        <v>20</v>
      </c>
      <c r="E6" s="98" t="s">
        <v>20</v>
      </c>
      <c r="F6" s="98" t="s">
        <v>20</v>
      </c>
      <c r="G6" s="98" t="s">
        <v>20</v>
      </c>
      <c r="H6" s="98" t="s">
        <v>21</v>
      </c>
      <c r="I6" s="98" t="s">
        <v>21</v>
      </c>
      <c r="J6" s="98" t="s">
        <v>21</v>
      </c>
      <c r="K6" s="98" t="s">
        <v>21</v>
      </c>
      <c r="L6" s="98" t="s">
        <v>21</v>
      </c>
      <c r="M6" s="99" t="s">
        <v>21</v>
      </c>
      <c r="N6" s="101" t="s">
        <v>6</v>
      </c>
      <c r="O6" s="102" t="s">
        <v>6</v>
      </c>
      <c r="P6" s="81" t="s">
        <v>18</v>
      </c>
      <c r="Q6" s="504"/>
    </row>
    <row r="7" spans="1:17" ht="11.25" customHeight="1">
      <c r="A7" s="13" t="s">
        <v>22</v>
      </c>
      <c r="B7" s="13" t="s">
        <v>23</v>
      </c>
      <c r="C7" s="103">
        <f>SUM('By Location'!C7+'By Location'!C21)</f>
        <v>2499</v>
      </c>
      <c r="D7" s="104">
        <f ca="1">SUM('By Location'!D7+'By Location'!D21)</f>
        <v>1576</v>
      </c>
      <c r="E7" s="105">
        <f ca="1">SUM('By Location'!E7+'By Location'!E21)</f>
        <v>1272</v>
      </c>
      <c r="F7" s="105">
        <f ca="1">SUM('By Location'!F7+'By Location'!F21)</f>
        <v>999</v>
      </c>
      <c r="G7" s="105">
        <f ca="1">SUM('By Location'!G7+'By Location'!G21)</f>
        <v>917</v>
      </c>
      <c r="H7" s="105">
        <f ca="1">SUM('By Location'!H7+'By Location'!H21)</f>
        <v>899</v>
      </c>
      <c r="I7" s="105">
        <f ca="1">SUM('By Location'!I7+'By Location'!I21)</f>
        <v>908</v>
      </c>
      <c r="J7" s="105">
        <f ca="1">SUM('By Location'!J7+'By Location'!J21)</f>
        <v>938</v>
      </c>
      <c r="K7" s="105">
        <f ca="1">SUM('By Location'!K7+'By Location'!K21)</f>
        <v>996</v>
      </c>
      <c r="L7" s="105">
        <f ca="1">SUM('By Location'!L7+'By Location'!L21)</f>
        <v>1212</v>
      </c>
      <c r="M7" s="106">
        <f ca="1">SUM('By Location'!M7+'By Location'!M21)</f>
        <v>1438</v>
      </c>
      <c r="N7" s="91">
        <f t="shared" ref="N7:N20" ca="1" si="0">MIN(D7:M7)</f>
        <v>899</v>
      </c>
      <c r="O7" s="91">
        <f t="shared" ref="O7:O20" ca="1" si="1">C7-N7</f>
        <v>1600</v>
      </c>
      <c r="P7" s="107">
        <f t="shared" ref="P7:P20" ca="1" si="2">O7/C7</f>
        <v>0.64025610244097642</v>
      </c>
      <c r="Q7" s="504"/>
    </row>
    <row r="8" spans="1:17" ht="11.25" customHeight="1">
      <c r="A8" s="13" t="s">
        <v>24</v>
      </c>
      <c r="B8" s="13" t="s">
        <v>25</v>
      </c>
      <c r="C8" s="103">
        <f>SUM('By Location'!C8+'By Location'!C22)</f>
        <v>6432</v>
      </c>
      <c r="D8" s="103">
        <f ca="1">SUM('By Location'!D8+'By Location'!D22)</f>
        <v>2609</v>
      </c>
      <c r="E8" s="91">
        <f ca="1">SUM('By Location'!E8+'By Location'!E22)</f>
        <v>1961</v>
      </c>
      <c r="F8" s="91">
        <f ca="1">SUM('By Location'!F8+'By Location'!F22)</f>
        <v>1759</v>
      </c>
      <c r="G8" s="91">
        <f ca="1">SUM('By Location'!G8+'By Location'!G22)</f>
        <v>1570</v>
      </c>
      <c r="H8" s="91">
        <f ca="1">SUM('By Location'!H8+'By Location'!H22)</f>
        <v>1629</v>
      </c>
      <c r="I8" s="91">
        <f ca="1">SUM('By Location'!I8+'By Location'!I22)</f>
        <v>1525</v>
      </c>
      <c r="J8" s="91">
        <f ca="1">SUM('By Location'!J8+'By Location'!J22)</f>
        <v>1697</v>
      </c>
      <c r="K8" s="91">
        <f ca="1">SUM('By Location'!K8+'By Location'!K22)</f>
        <v>1799</v>
      </c>
      <c r="L8" s="91">
        <f ca="1">SUM('By Location'!L8+'By Location'!L22)</f>
        <v>2234</v>
      </c>
      <c r="M8" s="108">
        <f ca="1">SUM('By Location'!M8+'By Location'!M22)</f>
        <v>2593</v>
      </c>
      <c r="N8" s="91">
        <f t="shared" ca="1" si="0"/>
        <v>1525</v>
      </c>
      <c r="O8" s="91">
        <f t="shared" ca="1" si="1"/>
        <v>4907</v>
      </c>
      <c r="P8" s="107">
        <f t="shared" ca="1" si="2"/>
        <v>0.7629042288557214</v>
      </c>
      <c r="Q8" s="504"/>
    </row>
    <row r="9" spans="1:17" ht="11.25" customHeight="1">
      <c r="A9" s="13" t="s">
        <v>26</v>
      </c>
      <c r="B9" s="13" t="s">
        <v>27</v>
      </c>
      <c r="C9" s="530">
        <f>SUM('By Location'!C10)</f>
        <v>1244</v>
      </c>
      <c r="D9" s="109">
        <f>SUM('By Location'!D10)</f>
        <v>615</v>
      </c>
      <c r="E9" s="504">
        <f>SUM('By Location'!E10)</f>
        <v>608</v>
      </c>
      <c r="F9" s="504">
        <f>SUM('By Location'!F10)</f>
        <v>539</v>
      </c>
      <c r="G9" s="504">
        <f>SUM('By Location'!G10)</f>
        <v>539</v>
      </c>
      <c r="H9" s="504">
        <f>SUM('By Location'!H10)</f>
        <v>670</v>
      </c>
      <c r="I9" s="504">
        <f>SUM('By Location'!I10)</f>
        <v>544</v>
      </c>
      <c r="J9" s="504">
        <f>SUM('By Location'!J10)</f>
        <v>540</v>
      </c>
      <c r="K9" s="504">
        <f>SUM('By Location'!K10)</f>
        <v>554</v>
      </c>
      <c r="L9" s="504">
        <f>SUM('By Location'!L10)</f>
        <v>582</v>
      </c>
      <c r="M9" s="532">
        <f>SUM('By Location'!M10)</f>
        <v>599</v>
      </c>
      <c r="N9" s="504">
        <f t="shared" si="0"/>
        <v>539</v>
      </c>
      <c r="O9" s="531">
        <f t="shared" si="1"/>
        <v>705</v>
      </c>
      <c r="P9" s="107">
        <f t="shared" si="2"/>
        <v>0.56672025723472674</v>
      </c>
      <c r="Q9" s="504"/>
    </row>
    <row r="10" spans="1:17" ht="11.25" customHeight="1">
      <c r="A10" s="13" t="s">
        <v>28</v>
      </c>
      <c r="B10" s="109" t="s">
        <v>29</v>
      </c>
      <c r="C10" s="530">
        <f>SUM('By Location'!C11)</f>
        <v>228</v>
      </c>
      <c r="D10" s="109">
        <f>SUM('By Location'!D11)</f>
        <v>190</v>
      </c>
      <c r="E10" s="504">
        <f>SUM('By Location'!E11)</f>
        <v>183</v>
      </c>
      <c r="F10" s="504">
        <f>SUM('By Location'!F11)</f>
        <v>176</v>
      </c>
      <c r="G10" s="504">
        <f>SUM('By Location'!G11)</f>
        <v>168</v>
      </c>
      <c r="H10" s="504">
        <f>SUM('By Location'!H11)</f>
        <v>161</v>
      </c>
      <c r="I10" s="91">
        <f>SUM('By Location'!I11)</f>
        <v>158</v>
      </c>
      <c r="J10" s="91">
        <f>SUM('By Location'!J11)</f>
        <v>157</v>
      </c>
      <c r="K10" s="91">
        <f>SUM('By Location'!K11)</f>
        <v>153</v>
      </c>
      <c r="L10" s="91">
        <f>SUM('By Location'!L11)</f>
        <v>159</v>
      </c>
      <c r="M10" s="108">
        <f>SUM('By Location'!M11)</f>
        <v>164</v>
      </c>
      <c r="N10" s="504">
        <f t="shared" si="0"/>
        <v>153</v>
      </c>
      <c r="O10" s="531">
        <f t="shared" si="1"/>
        <v>75</v>
      </c>
      <c r="P10" s="107">
        <f t="shared" si="2"/>
        <v>0.32894736842105265</v>
      </c>
      <c r="Q10" s="504"/>
    </row>
    <row r="11" spans="1:17" ht="11.25" customHeight="1">
      <c r="A11" s="13"/>
      <c r="B11" s="109" t="s">
        <v>30</v>
      </c>
      <c r="C11" s="530">
        <f>SUM('By Location'!C9)</f>
        <v>776</v>
      </c>
      <c r="D11" s="109">
        <f>SUM('By Location'!D9)</f>
        <v>463</v>
      </c>
      <c r="E11" s="504">
        <f>SUM('By Location'!E9)</f>
        <v>406</v>
      </c>
      <c r="F11" s="504">
        <f>SUM('By Location'!F9)</f>
        <v>384</v>
      </c>
      <c r="G11" s="504">
        <f>SUM('By Location'!G9)</f>
        <v>383</v>
      </c>
      <c r="H11" s="504">
        <f>SUM('By Location'!H9)</f>
        <v>386</v>
      </c>
      <c r="I11" s="91">
        <f>SUM('By Location'!I9)</f>
        <v>387</v>
      </c>
      <c r="J11" s="91">
        <f>SUM('By Location'!J9)</f>
        <v>390</v>
      </c>
      <c r="K11" s="91">
        <f>SUM('By Location'!K9)</f>
        <v>433</v>
      </c>
      <c r="L11" s="91">
        <f>SUM('By Location'!L9)</f>
        <v>457</v>
      </c>
      <c r="M11" s="108">
        <f>SUM('By Location'!M9)</f>
        <v>515</v>
      </c>
      <c r="N11" s="504">
        <f t="shared" si="0"/>
        <v>383</v>
      </c>
      <c r="O11" s="531">
        <f t="shared" si="1"/>
        <v>393</v>
      </c>
      <c r="P11" s="107">
        <f t="shared" si="2"/>
        <v>0.50644329896907214</v>
      </c>
      <c r="Q11" s="504"/>
    </row>
    <row r="12" spans="1:17" s="528" customFormat="1" ht="11.25" customHeight="1">
      <c r="A12" s="13"/>
      <c r="B12" s="535">
        <v>3</v>
      </c>
      <c r="C12" s="530">
        <f>'By Location'!C12</f>
        <v>398</v>
      </c>
      <c r="D12" s="109">
        <f>'By Location'!D12</f>
        <v>396</v>
      </c>
      <c r="E12" s="529">
        <f>'By Location'!E12</f>
        <v>396</v>
      </c>
      <c r="F12" s="529">
        <f>'By Location'!F12</f>
        <v>396</v>
      </c>
      <c r="G12" s="529">
        <f>'By Location'!G12</f>
        <v>396</v>
      </c>
      <c r="H12" s="529">
        <f>'By Location'!H12</f>
        <v>395</v>
      </c>
      <c r="I12" s="91">
        <f>'By Location'!I12</f>
        <v>393</v>
      </c>
      <c r="J12" s="91">
        <f>'By Location'!J12</f>
        <v>395</v>
      </c>
      <c r="K12" s="91">
        <f>'By Location'!K12</f>
        <v>388</v>
      </c>
      <c r="L12" s="91">
        <f>'By Location'!L12</f>
        <v>387</v>
      </c>
      <c r="M12" s="108">
        <f>'By Location'!M12</f>
        <v>397</v>
      </c>
      <c r="N12" s="529">
        <f t="shared" si="0"/>
        <v>387</v>
      </c>
      <c r="O12" s="531">
        <f t="shared" si="1"/>
        <v>11</v>
      </c>
      <c r="P12" s="107">
        <f t="shared" si="2"/>
        <v>2.7638190954773871E-2</v>
      </c>
      <c r="Q12" s="529"/>
    </row>
    <row r="13" spans="1:17" ht="11.25" customHeight="1">
      <c r="A13" s="13"/>
      <c r="B13" s="109" t="s">
        <v>31</v>
      </c>
      <c r="C13" s="103">
        <f>SUM('By Location'!C13+'By Location'!C24)</f>
        <v>2110</v>
      </c>
      <c r="D13" s="103">
        <f ca="1">SUM('By Location'!D13+'By Location'!D24)</f>
        <v>1035</v>
      </c>
      <c r="E13" s="91">
        <f ca="1">SUM('By Location'!E13+'By Location'!E24)</f>
        <v>822</v>
      </c>
      <c r="F13" s="91">
        <f ca="1">SUM('By Location'!F13+'By Location'!F24)</f>
        <v>710</v>
      </c>
      <c r="G13" s="91">
        <f ca="1">SUM('By Location'!G13+'By Location'!G24)</f>
        <v>688</v>
      </c>
      <c r="H13" s="91">
        <f ca="1">SUM('By Location'!H13+'By Location'!H24)</f>
        <v>704</v>
      </c>
      <c r="I13" s="91">
        <f ca="1">SUM('By Location'!I13+'By Location'!I24)</f>
        <v>691</v>
      </c>
      <c r="J13" s="91">
        <f ca="1">SUM('By Location'!J13+'By Location'!J24)</f>
        <v>703</v>
      </c>
      <c r="K13" s="91">
        <f ca="1">SUM('By Location'!K13+'By Location'!K24)</f>
        <v>831</v>
      </c>
      <c r="L13" s="91">
        <f ca="1">SUM('By Location'!L13+'By Location'!L24)</f>
        <v>1040</v>
      </c>
      <c r="M13" s="108">
        <f ca="1">SUM('By Location'!M13+'By Location'!M24)</f>
        <v>1174</v>
      </c>
      <c r="N13" s="91">
        <f t="shared" ca="1" si="0"/>
        <v>688</v>
      </c>
      <c r="O13" s="91">
        <f t="shared" ca="1" si="1"/>
        <v>1422</v>
      </c>
      <c r="P13" s="107">
        <f t="shared" ca="1" si="2"/>
        <v>0.67393364928909949</v>
      </c>
      <c r="Q13" s="504"/>
    </row>
    <row r="14" spans="1:17" ht="11.25" customHeight="1">
      <c r="A14" s="13"/>
      <c r="B14" s="109" t="s">
        <v>32</v>
      </c>
      <c r="C14" s="1">
        <f>SUM('By Location'!C14+'By Location'!C25)</f>
        <v>613</v>
      </c>
      <c r="D14" s="91">
        <f ca="1">SUM('By Location'!D14+'By Location'!D25)</f>
        <v>430</v>
      </c>
      <c r="E14" s="91">
        <f ca="1">SUM('By Location'!E14+'By Location'!E25)</f>
        <v>407</v>
      </c>
      <c r="F14" s="91">
        <f ca="1">SUM('By Location'!F14+'By Location'!F25)</f>
        <v>383</v>
      </c>
      <c r="G14" s="91">
        <f ca="1">SUM('By Location'!G14+'By Location'!G25)</f>
        <v>371</v>
      </c>
      <c r="H14" s="91">
        <f ca="1">SUM('By Location'!H14+'By Location'!H25)</f>
        <v>375</v>
      </c>
      <c r="I14" s="91">
        <f ca="1">SUM('By Location'!I14+'By Location'!I25)</f>
        <v>371</v>
      </c>
      <c r="J14" s="91">
        <f ca="1">SUM('By Location'!J14+'By Location'!J25)</f>
        <v>369</v>
      </c>
      <c r="K14" s="91">
        <f ca="1">SUM('By Location'!K14+'By Location'!K25)</f>
        <v>379</v>
      </c>
      <c r="L14" s="91">
        <f ca="1">SUM('By Location'!L14+'By Location'!L25)</f>
        <v>394</v>
      </c>
      <c r="M14" s="108">
        <f ca="1">SUM('By Location'!M14+'By Location'!M25)</f>
        <v>416</v>
      </c>
      <c r="N14" s="91">
        <f t="shared" ca="1" si="0"/>
        <v>369</v>
      </c>
      <c r="O14" s="91">
        <f t="shared" ca="1" si="1"/>
        <v>244</v>
      </c>
      <c r="P14" s="107">
        <f t="shared" ca="1" si="2"/>
        <v>0.39804241435562804</v>
      </c>
      <c r="Q14" s="504"/>
    </row>
    <row r="15" spans="1:17" ht="11.25" customHeight="1">
      <c r="A15" s="13"/>
      <c r="B15" s="109" t="s">
        <v>33</v>
      </c>
      <c r="C15" s="1">
        <f>SUM('By Location'!C15+'By Location'!C26)</f>
        <v>2600</v>
      </c>
      <c r="D15" s="91">
        <f ca="1">SUM('By Location'!D15+'By Location'!D26)</f>
        <v>1467</v>
      </c>
      <c r="E15" s="91">
        <f ca="1">SUM('By Location'!E15+'By Location'!E26)</f>
        <v>1357</v>
      </c>
      <c r="F15" s="91">
        <f ca="1">SUM('By Location'!F15+'By Location'!F26)</f>
        <v>1292</v>
      </c>
      <c r="G15" s="91">
        <f ca="1">SUM('By Location'!G15+'By Location'!G26)</f>
        <v>1233</v>
      </c>
      <c r="H15" s="91">
        <f ca="1">SUM('By Location'!H15+'By Location'!H26)</f>
        <v>1248</v>
      </c>
      <c r="I15" s="91">
        <f ca="1">SUM('By Location'!I15+'By Location'!I26)</f>
        <v>1254</v>
      </c>
      <c r="J15" s="91">
        <f ca="1">SUM('By Location'!J15+'By Location'!J26)</f>
        <v>1286</v>
      </c>
      <c r="K15" s="91">
        <f ca="1">SUM('By Location'!K15+'By Location'!K26)</f>
        <v>1319</v>
      </c>
      <c r="L15" s="91">
        <f ca="1">SUM('By Location'!L15+'By Location'!L26)</f>
        <v>1401</v>
      </c>
      <c r="M15" s="108">
        <f ca="1">SUM('By Location'!M15+'By Location'!M26)</f>
        <v>1505</v>
      </c>
      <c r="N15" s="91">
        <f t="shared" ca="1" si="0"/>
        <v>1233</v>
      </c>
      <c r="O15" s="91">
        <f t="shared" ca="1" si="1"/>
        <v>1367</v>
      </c>
      <c r="P15" s="107">
        <f t="shared" ca="1" si="2"/>
        <v>0.52576923076923077</v>
      </c>
      <c r="Q15" s="504"/>
    </row>
    <row r="16" spans="1:17" ht="11.25" customHeight="1">
      <c r="A16" s="13"/>
      <c r="B16" s="13" t="s">
        <v>34</v>
      </c>
      <c r="C16" s="103">
        <f>SUM('By Location'!C16+'By Location'!C27)</f>
        <v>753</v>
      </c>
      <c r="D16" s="103">
        <f ca="1">SUM('By Location'!D16+'By Location'!D27)</f>
        <v>424</v>
      </c>
      <c r="E16" s="91">
        <f ca="1">SUM('By Location'!E16+'By Location'!E27)</f>
        <v>377</v>
      </c>
      <c r="F16" s="91">
        <f ca="1">SUM('By Location'!F16+'By Location'!F27)</f>
        <v>344</v>
      </c>
      <c r="G16" s="91">
        <f ca="1">SUM('By Location'!G16+'By Location'!G27)</f>
        <v>337</v>
      </c>
      <c r="H16" s="91">
        <f ca="1">SUM('By Location'!H16+'By Location'!H27)</f>
        <v>356</v>
      </c>
      <c r="I16" s="91">
        <f ca="1">SUM('By Location'!I16+'By Location'!I27)</f>
        <v>354</v>
      </c>
      <c r="J16" s="91">
        <f ca="1">SUM('By Location'!J16+'By Location'!J27)</f>
        <v>366</v>
      </c>
      <c r="K16" s="91">
        <f ca="1">SUM('By Location'!K16+'By Location'!K27)</f>
        <v>387</v>
      </c>
      <c r="L16" s="91">
        <f ca="1">SUM('By Location'!L16+'By Location'!L27)</f>
        <v>443</v>
      </c>
      <c r="M16" s="108">
        <f ca="1">SUM('By Location'!M16+'By Location'!M27)</f>
        <v>515</v>
      </c>
      <c r="N16" s="91">
        <f t="shared" ca="1" si="0"/>
        <v>337</v>
      </c>
      <c r="O16" s="91">
        <f t="shared" ca="1" si="1"/>
        <v>416</v>
      </c>
      <c r="P16" s="107">
        <f t="shared" ca="1" si="2"/>
        <v>0.5524568393094289</v>
      </c>
      <c r="Q16" s="504"/>
    </row>
    <row r="17" spans="1:17" ht="11.25" customHeight="1">
      <c r="A17" s="13"/>
      <c r="B17" s="13" t="s">
        <v>35</v>
      </c>
      <c r="C17" s="103">
        <f>SUM('By Location'!C17+'By Location'!C28)</f>
        <v>269</v>
      </c>
      <c r="D17" s="103">
        <f>SUM('By Location'!D17+'By Location'!D28)</f>
        <v>104</v>
      </c>
      <c r="E17" s="91">
        <f>SUM('By Location'!E17+'By Location'!E28)</f>
        <v>107</v>
      </c>
      <c r="F17" s="91">
        <f>SUM('By Location'!F17+'By Location'!F28)</f>
        <v>101</v>
      </c>
      <c r="G17" s="91">
        <f>SUM('By Location'!G17+'By Location'!G28)</f>
        <v>110</v>
      </c>
      <c r="H17" s="91">
        <f>SUM('By Location'!H17+'By Location'!H28)</f>
        <v>94</v>
      </c>
      <c r="I17" s="91">
        <f>SUM('By Location'!I17+'By Location'!I28)</f>
        <v>91</v>
      </c>
      <c r="J17" s="91">
        <f>SUM('By Location'!J17+'By Location'!J28)</f>
        <v>75</v>
      </c>
      <c r="K17" s="91">
        <f>SUM('By Location'!K17+'By Location'!K28)</f>
        <v>69</v>
      </c>
      <c r="L17" s="91">
        <f>SUM('By Location'!L17+'By Location'!L28)</f>
        <v>69</v>
      </c>
      <c r="M17" s="108">
        <f>SUM('By Location'!M17+'By Location'!M28)</f>
        <v>68</v>
      </c>
      <c r="N17" s="91">
        <f t="shared" si="0"/>
        <v>68</v>
      </c>
      <c r="O17" s="91">
        <f t="shared" si="1"/>
        <v>201</v>
      </c>
      <c r="P17" s="107">
        <f t="shared" si="2"/>
        <v>0.74721189591078063</v>
      </c>
      <c r="Q17" s="504"/>
    </row>
    <row r="18" spans="1:17" ht="11.25" customHeight="1">
      <c r="A18" s="13"/>
      <c r="B18" s="13" t="s">
        <v>36</v>
      </c>
      <c r="C18" s="103">
        <f>SUM('By Location'!C18+'By Location'!C29)</f>
        <v>105</v>
      </c>
      <c r="D18" s="103">
        <f ca="1">SUM('By Location'!D18+'By Location'!D29)</f>
        <v>60</v>
      </c>
      <c r="E18" s="91">
        <f ca="1">SUM('By Location'!E18+'By Location'!E29)</f>
        <v>58</v>
      </c>
      <c r="F18" s="91">
        <f ca="1">SUM('By Location'!F18+'By Location'!F29)</f>
        <v>57</v>
      </c>
      <c r="G18" s="91">
        <f ca="1">SUM('By Location'!G18+'By Location'!G29)</f>
        <v>51</v>
      </c>
      <c r="H18" s="91">
        <f ca="1">SUM('By Location'!H18+'By Location'!H29)</f>
        <v>50</v>
      </c>
      <c r="I18" s="91">
        <f ca="1">SUM('By Location'!I18+'By Location'!I29)</f>
        <v>47</v>
      </c>
      <c r="J18" s="91">
        <f ca="1">SUM('By Location'!J18+'By Location'!J29)</f>
        <v>44</v>
      </c>
      <c r="K18" s="91">
        <f ca="1">SUM('By Location'!K18+'By Location'!K29)</f>
        <v>44</v>
      </c>
      <c r="L18" s="91">
        <f ca="1">SUM('By Location'!L18+'By Location'!L29)</f>
        <v>47</v>
      </c>
      <c r="M18" s="108">
        <f ca="1">SUM('By Location'!M18+'By Location'!M29)</f>
        <v>46</v>
      </c>
      <c r="N18" s="91">
        <f t="shared" ca="1" si="0"/>
        <v>44</v>
      </c>
      <c r="O18" s="91">
        <f t="shared" ca="1" si="1"/>
        <v>61</v>
      </c>
      <c r="P18" s="107">
        <f t="shared" ca="1" si="2"/>
        <v>0.580952380952381</v>
      </c>
      <c r="Q18" s="504"/>
    </row>
    <row r="19" spans="1:17" ht="11.25" customHeight="1">
      <c r="A19" s="13"/>
      <c r="B19" s="13" t="s">
        <v>37</v>
      </c>
      <c r="C19" s="103">
        <f>SUM('By Location'!C19+'By Location'!C30)</f>
        <v>130</v>
      </c>
      <c r="D19" s="111">
        <f ca="1">SUM('By Location'!D19+'By Location'!D30)</f>
        <v>84</v>
      </c>
      <c r="E19" s="112">
        <f ca="1">SUM('By Location'!E19+'By Location'!E30)</f>
        <v>75</v>
      </c>
      <c r="F19" s="112">
        <f ca="1">SUM('By Location'!F19+'By Location'!F30)</f>
        <v>63</v>
      </c>
      <c r="G19" s="112">
        <f ca="1">SUM('By Location'!G19+'By Location'!G30)</f>
        <v>56</v>
      </c>
      <c r="H19" s="112">
        <f ca="1">SUM('By Location'!H19+'By Location'!H30)</f>
        <v>58</v>
      </c>
      <c r="I19" s="112">
        <f ca="1">SUM('By Location'!I19+'By Location'!I30)</f>
        <v>52</v>
      </c>
      <c r="J19" s="112">
        <f ca="1">SUM('By Location'!J19+'By Location'!J30)</f>
        <v>54</v>
      </c>
      <c r="K19" s="112">
        <f ca="1">SUM('By Location'!K19+'By Location'!K30)</f>
        <v>60</v>
      </c>
      <c r="L19" s="112">
        <f ca="1">SUM('By Location'!L19+'By Location'!L30)</f>
        <v>55</v>
      </c>
      <c r="M19" s="113">
        <f ca="1">SUM('By Location'!M19+'By Location'!M30)</f>
        <v>72</v>
      </c>
      <c r="N19" s="91">
        <f t="shared" ca="1" si="0"/>
        <v>52</v>
      </c>
      <c r="O19" s="91">
        <f t="shared" ca="1" si="1"/>
        <v>78</v>
      </c>
      <c r="P19" s="107">
        <f t="shared" ca="1" si="2"/>
        <v>0.6</v>
      </c>
      <c r="Q19" s="504"/>
    </row>
    <row r="20" spans="1:17" ht="11.25" customHeight="1">
      <c r="A20" s="2"/>
      <c r="B20" s="3" t="s">
        <v>38</v>
      </c>
      <c r="C20" s="4">
        <f>SUM(C7:C19)</f>
        <v>18157</v>
      </c>
      <c r="D20" s="114">
        <f t="shared" ref="D20:M20" ca="1" si="3">SUM(D7:D19)</f>
        <v>9453</v>
      </c>
      <c r="E20" s="115">
        <f t="shared" ca="1" si="3"/>
        <v>8029</v>
      </c>
      <c r="F20" s="115">
        <f t="shared" ca="1" si="3"/>
        <v>7203</v>
      </c>
      <c r="G20" s="115">
        <f t="shared" ca="1" si="3"/>
        <v>6819</v>
      </c>
      <c r="H20" s="115">
        <f t="shared" ca="1" si="3"/>
        <v>7025</v>
      </c>
      <c r="I20" s="115">
        <f t="shared" ca="1" si="3"/>
        <v>6775</v>
      </c>
      <c r="J20" s="115">
        <f t="shared" ca="1" si="3"/>
        <v>7014</v>
      </c>
      <c r="K20" s="115">
        <f t="shared" ca="1" si="3"/>
        <v>7412</v>
      </c>
      <c r="L20" s="115">
        <f t="shared" ca="1" si="3"/>
        <v>8480</v>
      </c>
      <c r="M20" s="5">
        <f t="shared" ca="1" si="3"/>
        <v>9502</v>
      </c>
      <c r="N20" s="6">
        <f t="shared" ca="1" si="0"/>
        <v>6775</v>
      </c>
      <c r="O20" s="70">
        <f t="shared" ca="1" si="1"/>
        <v>11382</v>
      </c>
      <c r="P20" s="7">
        <f t="shared" ca="1" si="2"/>
        <v>0.62686567164179108</v>
      </c>
      <c r="Q20" s="504"/>
    </row>
    <row r="21" spans="1:17" ht="11.25" customHeight="1">
      <c r="A21" s="504"/>
      <c r="B21" s="504"/>
      <c r="C21" s="504"/>
      <c r="D21" s="504"/>
      <c r="E21" s="504"/>
      <c r="F21" s="504"/>
      <c r="G21" s="504"/>
      <c r="H21" s="504"/>
      <c r="I21" s="504"/>
      <c r="J21" s="504"/>
      <c r="K21" s="504"/>
      <c r="L21" s="504"/>
      <c r="M21" s="504"/>
      <c r="N21" s="504"/>
      <c r="O21" s="504"/>
      <c r="P21" s="504"/>
      <c r="Q21" s="504"/>
    </row>
    <row r="22" spans="1:17" ht="15.75" customHeight="1">
      <c r="A22" s="503"/>
      <c r="B22" s="503"/>
      <c r="C22" s="503"/>
      <c r="D22" s="503"/>
      <c r="E22" s="503"/>
      <c r="F22" s="503"/>
      <c r="G22" s="503"/>
      <c r="H22" s="503"/>
      <c r="I22" s="503"/>
      <c r="J22" s="503"/>
      <c r="K22" s="503"/>
      <c r="L22" s="503"/>
      <c r="M22" s="503"/>
      <c r="N22" s="503"/>
      <c r="O22" s="503"/>
      <c r="P22" s="503"/>
      <c r="Q22" s="503"/>
    </row>
    <row r="23" spans="1:17" ht="15.75" customHeight="1">
      <c r="A23" s="503"/>
      <c r="B23" s="503"/>
      <c r="C23" s="503"/>
      <c r="D23" s="503"/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</row>
    <row r="24" spans="1:17" ht="15.75" customHeight="1">
      <c r="A24" s="503"/>
      <c r="B24" s="503"/>
      <c r="C24" s="503"/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/>
    </row>
    <row r="25" spans="1:17" ht="15.75" customHeight="1">
      <c r="A25" s="503"/>
      <c r="B25" s="503"/>
      <c r="C25" s="503"/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</row>
    <row r="26" spans="1:17" ht="15.75" customHeight="1">
      <c r="A26" s="503"/>
      <c r="B26" s="503"/>
      <c r="C26" s="503"/>
      <c r="D26" s="503"/>
      <c r="E26" s="503"/>
      <c r="F26" s="503"/>
      <c r="G26" s="503"/>
      <c r="H26" s="503"/>
      <c r="I26" s="503"/>
      <c r="J26" s="503"/>
      <c r="K26" s="503"/>
      <c r="L26" s="503"/>
      <c r="M26" s="503"/>
      <c r="N26" s="503"/>
      <c r="O26" s="503"/>
      <c r="P26" s="503"/>
      <c r="Q26" s="503"/>
    </row>
    <row r="27" spans="1:17" ht="15.75" customHeight="1">
      <c r="A27" s="503"/>
      <c r="B27" s="503"/>
      <c r="C27" s="503"/>
      <c r="D27" s="503"/>
      <c r="E27" s="503"/>
      <c r="F27" s="503"/>
      <c r="G27" s="503"/>
      <c r="H27" s="503"/>
      <c r="I27" s="503"/>
      <c r="J27" s="503"/>
      <c r="K27" s="503"/>
      <c r="L27" s="503"/>
      <c r="M27" s="503"/>
      <c r="N27" s="503"/>
      <c r="O27" s="503"/>
      <c r="P27" s="503"/>
      <c r="Q27" s="503"/>
    </row>
    <row r="28" spans="1:17" ht="15.75" customHeight="1">
      <c r="A28" s="503"/>
      <c r="B28" s="503"/>
      <c r="C28" s="503"/>
      <c r="D28" s="503"/>
      <c r="E28" s="503"/>
      <c r="F28" s="503"/>
      <c r="G28" s="503"/>
      <c r="H28" s="503"/>
      <c r="I28" s="503"/>
      <c r="J28" s="503"/>
      <c r="K28" s="503"/>
      <c r="L28" s="503"/>
      <c r="M28" s="503"/>
      <c r="N28" s="503"/>
      <c r="O28" s="503"/>
      <c r="P28" s="503"/>
      <c r="Q28" s="503"/>
    </row>
    <row r="29" spans="1:17" ht="15.75" customHeight="1">
      <c r="A29" s="503"/>
      <c r="B29" s="503"/>
      <c r="C29" s="503"/>
      <c r="D29" s="503"/>
      <c r="E29" s="503"/>
      <c r="F29" s="503"/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</row>
    <row r="30" spans="1:17" ht="15.75" customHeight="1">
      <c r="A30" s="503"/>
      <c r="B30" s="503"/>
      <c r="C30" s="503"/>
      <c r="D30" s="503"/>
      <c r="E30" s="503"/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</row>
    <row r="31" spans="1:17" ht="15.75" customHeight="1">
      <c r="A31" s="503"/>
      <c r="B31" s="503"/>
      <c r="C31" s="503"/>
      <c r="D31" s="503"/>
      <c r="E31" s="503"/>
      <c r="F31" s="503"/>
      <c r="G31" s="503"/>
      <c r="H31" s="503"/>
      <c r="I31" s="503"/>
      <c r="J31" s="503"/>
      <c r="K31" s="503"/>
      <c r="L31" s="503"/>
      <c r="M31" s="503"/>
      <c r="N31" s="503"/>
      <c r="O31" s="503"/>
      <c r="P31" s="503"/>
      <c r="Q31" s="503"/>
    </row>
    <row r="32" spans="1:17" ht="15.75" customHeight="1">
      <c r="A32" s="503"/>
      <c r="B32" s="503"/>
      <c r="C32" s="503"/>
      <c r="D32" s="503"/>
      <c r="E32" s="503"/>
      <c r="F32" s="503"/>
      <c r="G32" s="503"/>
      <c r="H32" s="503"/>
      <c r="I32" s="503"/>
      <c r="J32" s="503"/>
      <c r="K32" s="503"/>
      <c r="L32" s="503"/>
      <c r="M32" s="503"/>
      <c r="N32" s="503"/>
      <c r="O32" s="503"/>
      <c r="P32" s="503"/>
      <c r="Q32" s="503"/>
    </row>
    <row r="33" spans="1:17" ht="15.75" customHeight="1">
      <c r="A33" s="503"/>
      <c r="B33" s="503"/>
      <c r="C33" s="503"/>
      <c r="D33" s="503"/>
      <c r="E33" s="503"/>
      <c r="F33" s="503"/>
      <c r="G33" s="503"/>
      <c r="H33" s="503"/>
      <c r="I33" s="503"/>
      <c r="J33" s="503"/>
      <c r="K33" s="503"/>
      <c r="L33" s="503"/>
      <c r="M33" s="503"/>
      <c r="N33" s="503"/>
      <c r="O33" s="503"/>
      <c r="P33" s="503"/>
      <c r="Q33" s="503"/>
    </row>
    <row r="34" spans="1:17" ht="15.75" customHeight="1"/>
    <row r="35" spans="1:17" ht="15.75" customHeight="1"/>
    <row r="36" spans="1:17" ht="15.75" customHeight="1"/>
    <row r="37" spans="1:17" ht="15.75" customHeight="1"/>
    <row r="38" spans="1:17" ht="15.75" customHeight="1"/>
    <row r="39" spans="1:17" ht="15.75" customHeight="1"/>
    <row r="40" spans="1:17" ht="15.75" customHeight="1"/>
    <row r="41" spans="1:17" ht="15.75" customHeight="1"/>
    <row r="42" spans="1:17" ht="15.75" customHeight="1"/>
    <row r="43" spans="1:17" ht="15.75" customHeight="1"/>
    <row r="44" spans="1:17" ht="15.75" customHeight="1"/>
    <row r="45" spans="1:17" ht="15.75" customHeight="1"/>
    <row r="46" spans="1:17" ht="15.75" customHeight="1"/>
    <row r="47" spans="1:17" ht="15.75" customHeight="1"/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Q1000"/>
  <sheetViews>
    <sheetView showGridLines="0" topLeftCell="A9" zoomScaleNormal="100" workbookViewId="0">
      <selection activeCell="A3" sqref="A3:P3"/>
    </sheetView>
  </sheetViews>
  <sheetFormatPr defaultColWidth="14.453125" defaultRowHeight="15" customHeight="1"/>
  <cols>
    <col min="1" max="1" width="11.453125" customWidth="1"/>
    <col min="2" max="2" width="10.90625" customWidth="1"/>
    <col min="3" max="3" width="7" customWidth="1"/>
    <col min="4" max="5" width="5" customWidth="1"/>
    <col min="6" max="8" width="4.90625" customWidth="1"/>
    <col min="9" max="12" width="5.453125" customWidth="1"/>
    <col min="13" max="13" width="5" customWidth="1"/>
    <col min="14" max="14" width="6.90625" customWidth="1"/>
    <col min="15" max="17" width="8" customWidth="1"/>
  </cols>
  <sheetData>
    <row r="1" spans="1:17" ht="14.25" customHeight="1">
      <c r="A1" s="565" t="str">
        <f>'University-wide'!A1</f>
        <v>University of California, San Diego Survey of Parking Space Occupancy Levels, Spring 2021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</row>
    <row r="2" spans="1:17" ht="14.25" customHeight="1">
      <c r="A2" s="565" t="s">
        <v>39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</row>
    <row r="3" spans="1:17" ht="11.25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</row>
    <row r="4" spans="1:17" ht="11.25" customHeight="1">
      <c r="A4" s="92" t="s">
        <v>40</v>
      </c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</row>
    <row r="5" spans="1:17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</row>
    <row r="6" spans="1:17" ht="11.25" customHeight="1">
      <c r="A6" s="100"/>
      <c r="B6" s="100"/>
      <c r="C6" s="100"/>
      <c r="D6" s="97" t="s">
        <v>20</v>
      </c>
      <c r="E6" s="98" t="s">
        <v>20</v>
      </c>
      <c r="F6" s="98" t="s">
        <v>20</v>
      </c>
      <c r="G6" s="98" t="s">
        <v>20</v>
      </c>
      <c r="H6" s="98" t="s">
        <v>21</v>
      </c>
      <c r="I6" s="98" t="s">
        <v>21</v>
      </c>
      <c r="J6" s="98" t="s">
        <v>21</v>
      </c>
      <c r="K6" s="98" t="s">
        <v>21</v>
      </c>
      <c r="L6" s="98" t="s">
        <v>21</v>
      </c>
      <c r="M6" s="99" t="s">
        <v>21</v>
      </c>
      <c r="N6" s="101" t="s">
        <v>6</v>
      </c>
      <c r="O6" s="102" t="s">
        <v>6</v>
      </c>
      <c r="P6" s="81" t="s">
        <v>18</v>
      </c>
      <c r="Q6" s="504"/>
    </row>
    <row r="7" spans="1:17" ht="11.25" customHeight="1">
      <c r="A7" s="116" t="s">
        <v>41</v>
      </c>
      <c r="B7" s="13" t="s">
        <v>23</v>
      </c>
      <c r="C7" s="530">
        <f>SUM('By Area'!C18:C22,'By Area'!C35)</f>
        <v>2233</v>
      </c>
      <c r="D7" s="540">
        <f ca="1">SUM('By Area'!D18:D22,'By Area'!D35)</f>
        <v>1445</v>
      </c>
      <c r="E7" s="541">
        <f ca="1">SUM('By Area'!E18:E22,'By Area'!E35)</f>
        <v>1153</v>
      </c>
      <c r="F7" s="541">
        <f ca="1">SUM('By Area'!F18:F22,'By Area'!F35)</f>
        <v>905</v>
      </c>
      <c r="G7" s="541">
        <f ca="1">SUM('By Area'!G18:G22,'By Area'!G35)</f>
        <v>820</v>
      </c>
      <c r="H7" s="541">
        <f ca="1">SUM('By Area'!H18:H22,'By Area'!H35)</f>
        <v>804</v>
      </c>
      <c r="I7" s="541">
        <f ca="1">SUM('By Area'!I18:I22,'By Area'!I35)</f>
        <v>805</v>
      </c>
      <c r="J7" s="541">
        <f ca="1">SUM('By Area'!J18:J22,'By Area'!J35)</f>
        <v>840</v>
      </c>
      <c r="K7" s="541">
        <f ca="1">SUM('By Area'!K18:K22,'By Area'!K35)</f>
        <v>875</v>
      </c>
      <c r="L7" s="541">
        <f ca="1">SUM('By Area'!L18:L22,'By Area'!L35)</f>
        <v>1046</v>
      </c>
      <c r="M7" s="542">
        <f ca="1">SUM('By Area'!M18:M22,'By Area'!M35)</f>
        <v>1249</v>
      </c>
      <c r="N7" s="546">
        <f t="shared" ref="N7:N22" ca="1" si="0">MIN(D7:M7)</f>
        <v>804</v>
      </c>
      <c r="O7" s="546">
        <f t="shared" ref="O7:O22" ca="1" si="1">C7-N7</f>
        <v>1429</v>
      </c>
      <c r="P7" s="122">
        <f t="shared" ref="P7:P22" ca="1" si="2">O7/C7</f>
        <v>0.63994626063591575</v>
      </c>
      <c r="Q7" s="504"/>
    </row>
    <row r="8" spans="1:17" ht="11.25" customHeight="1">
      <c r="A8" s="109" t="s">
        <v>42</v>
      </c>
      <c r="B8" s="13" t="s">
        <v>25</v>
      </c>
      <c r="C8" s="530">
        <f>SUM('By Area'!C8+'By Area'!C23+'By Area'!C36)</f>
        <v>5205</v>
      </c>
      <c r="D8" s="530">
        <f ca="1">SUM('By Area'!D8+'By Area'!D23+'By Area'!D36)</f>
        <v>2104</v>
      </c>
      <c r="E8" s="531">
        <f ca="1">SUM('By Area'!E8+'By Area'!E23+'By Area'!E36)</f>
        <v>1536</v>
      </c>
      <c r="F8" s="531">
        <f ca="1">SUM('By Area'!F8+'By Area'!F23+'By Area'!F36)</f>
        <v>1367</v>
      </c>
      <c r="G8" s="531">
        <f ca="1">SUM('By Area'!G8+'By Area'!G23+'By Area'!G36)</f>
        <v>1208</v>
      </c>
      <c r="H8" s="531">
        <f ca="1">SUM('By Area'!H8+'By Area'!H23+'By Area'!H36)</f>
        <v>1278</v>
      </c>
      <c r="I8" s="531">
        <f ca="1">SUM('By Area'!I8+'By Area'!I23+'By Area'!I36)</f>
        <v>1178</v>
      </c>
      <c r="J8" s="531">
        <f ca="1">SUM('By Area'!J8+'By Area'!J23+'By Area'!J36)</f>
        <v>1301</v>
      </c>
      <c r="K8" s="531">
        <f ca="1">SUM('By Area'!K8+'By Area'!K23+'By Area'!K36)</f>
        <v>1316</v>
      </c>
      <c r="L8" s="531">
        <f ca="1">SUM('By Area'!L8+'By Area'!L23+'By Area'!L36)</f>
        <v>1663</v>
      </c>
      <c r="M8" s="532">
        <f ca="1">SUM('By Area'!M8+'By Area'!M23+'By Area'!M36)</f>
        <v>1956</v>
      </c>
      <c r="N8" s="546">
        <f t="shared" ca="1" si="0"/>
        <v>1178</v>
      </c>
      <c r="O8" s="546">
        <f t="shared" ca="1" si="1"/>
        <v>4027</v>
      </c>
      <c r="P8" s="122">
        <f t="shared" ca="1" si="2"/>
        <v>0.77367915465898174</v>
      </c>
      <c r="Q8" s="504"/>
    </row>
    <row r="9" spans="1:17" ht="11.25" customHeight="1">
      <c r="A9" s="109"/>
      <c r="B9" s="13" t="s">
        <v>30</v>
      </c>
      <c r="C9" s="530">
        <f>SUM('By Area'!C38)</f>
        <v>776</v>
      </c>
      <c r="D9" s="530">
        <f>SUM('By Area'!D38)</f>
        <v>463</v>
      </c>
      <c r="E9" s="531">
        <f>SUM('By Area'!E38)</f>
        <v>406</v>
      </c>
      <c r="F9" s="531">
        <f>SUM('By Area'!F38)</f>
        <v>384</v>
      </c>
      <c r="G9" s="531">
        <f>SUM('By Area'!G38)</f>
        <v>383</v>
      </c>
      <c r="H9" s="531">
        <f>SUM('By Area'!H38)</f>
        <v>386</v>
      </c>
      <c r="I9" s="531">
        <f>SUM('By Area'!I38)</f>
        <v>387</v>
      </c>
      <c r="J9" s="531">
        <f>SUM('By Area'!J38)</f>
        <v>390</v>
      </c>
      <c r="K9" s="531">
        <f>SUM('By Area'!K38)</f>
        <v>433</v>
      </c>
      <c r="L9" s="531">
        <f>SUM('By Area'!L38)</f>
        <v>457</v>
      </c>
      <c r="M9" s="532">
        <f>SUM('By Area'!M38)</f>
        <v>515</v>
      </c>
      <c r="N9" s="546">
        <f t="shared" si="0"/>
        <v>383</v>
      </c>
      <c r="O9" s="546">
        <f t="shared" si="1"/>
        <v>393</v>
      </c>
      <c r="P9" s="122">
        <f t="shared" si="2"/>
        <v>0.50644329896907214</v>
      </c>
      <c r="Q9" s="504"/>
    </row>
    <row r="10" spans="1:17" ht="11.25" customHeight="1">
      <c r="A10" s="109"/>
      <c r="B10" s="13" t="s">
        <v>27</v>
      </c>
      <c r="C10" s="530">
        <f>SUM('By Area'!C9+'By Area'!C24+'By Area'!C37)</f>
        <v>1244</v>
      </c>
      <c r="D10" s="530">
        <f>SUM('By Area'!D9+'By Area'!D24+'By Area'!D37)</f>
        <v>615</v>
      </c>
      <c r="E10" s="531">
        <f>SUM('By Area'!E9+'By Area'!E24+'By Area'!E37)</f>
        <v>608</v>
      </c>
      <c r="F10" s="531">
        <f>SUM('By Area'!F9+'By Area'!F24+'By Area'!F37)</f>
        <v>539</v>
      </c>
      <c r="G10" s="531">
        <f>SUM('By Area'!G9+'By Area'!G24+'By Area'!G37)</f>
        <v>539</v>
      </c>
      <c r="H10" s="531">
        <f>SUM('By Area'!H9+'By Area'!H24+'By Area'!H37)</f>
        <v>670</v>
      </c>
      <c r="I10" s="531">
        <f>SUM('By Area'!I9+'By Area'!I24+'By Area'!I37)</f>
        <v>544</v>
      </c>
      <c r="J10" s="531">
        <f>SUM('By Area'!J9+'By Area'!J24+'By Area'!J37)</f>
        <v>540</v>
      </c>
      <c r="K10" s="531">
        <f>SUM('By Area'!K9+'By Area'!K24+'By Area'!K37)</f>
        <v>554</v>
      </c>
      <c r="L10" s="531">
        <f>SUM('By Area'!L9+'By Area'!L24+'By Area'!L37)</f>
        <v>582</v>
      </c>
      <c r="M10" s="532">
        <f>SUM('By Area'!M9+'By Area'!M24+'By Area'!M37)</f>
        <v>599</v>
      </c>
      <c r="N10" s="546">
        <f t="shared" si="0"/>
        <v>539</v>
      </c>
      <c r="O10" s="546">
        <f t="shared" si="1"/>
        <v>705</v>
      </c>
      <c r="P10" s="122">
        <f t="shared" si="2"/>
        <v>0.56672025723472674</v>
      </c>
      <c r="Q10" s="504"/>
    </row>
    <row r="11" spans="1:17" ht="11.25" customHeight="1">
      <c r="A11" s="109"/>
      <c r="B11" s="13" t="s">
        <v>29</v>
      </c>
      <c r="C11" s="530">
        <f>SUM('By Area'!C25)</f>
        <v>228</v>
      </c>
      <c r="D11" s="530">
        <f>SUM('By Area'!D25)</f>
        <v>190</v>
      </c>
      <c r="E11" s="531">
        <f>SUM('By Area'!E25)</f>
        <v>183</v>
      </c>
      <c r="F11" s="531">
        <f>SUM('By Area'!F25)</f>
        <v>176</v>
      </c>
      <c r="G11" s="531">
        <f>SUM('By Area'!G25)</f>
        <v>168</v>
      </c>
      <c r="H11" s="531">
        <f>SUM('By Area'!H25)</f>
        <v>161</v>
      </c>
      <c r="I11" s="531">
        <f>SUM('By Area'!I25)</f>
        <v>158</v>
      </c>
      <c r="J11" s="531">
        <f>SUM('By Area'!J25)</f>
        <v>157</v>
      </c>
      <c r="K11" s="531">
        <f>SUM('By Area'!K25)</f>
        <v>153</v>
      </c>
      <c r="L11" s="531">
        <f>SUM('By Area'!L25)</f>
        <v>159</v>
      </c>
      <c r="M11" s="532">
        <f>SUM('By Area'!M25)</f>
        <v>164</v>
      </c>
      <c r="N11" s="546">
        <f t="shared" si="0"/>
        <v>153</v>
      </c>
      <c r="O11" s="546">
        <f t="shared" si="1"/>
        <v>75</v>
      </c>
      <c r="P11" s="122">
        <f t="shared" si="2"/>
        <v>0.32894736842105265</v>
      </c>
      <c r="Q11" s="504"/>
    </row>
    <row r="12" spans="1:17" ht="11.25" customHeight="1">
      <c r="A12" s="109"/>
      <c r="B12" s="13" t="s">
        <v>43</v>
      </c>
      <c r="C12" s="530">
        <f>'By Area'!C26</f>
        <v>398</v>
      </c>
      <c r="D12" s="530">
        <f>'By Area'!D26</f>
        <v>396</v>
      </c>
      <c r="E12" s="531">
        <f>'By Area'!E26</f>
        <v>396</v>
      </c>
      <c r="F12" s="531">
        <f>'By Area'!F26</f>
        <v>396</v>
      </c>
      <c r="G12" s="531">
        <f>'By Area'!G26</f>
        <v>396</v>
      </c>
      <c r="H12" s="531">
        <f>'By Area'!H26</f>
        <v>395</v>
      </c>
      <c r="I12" s="531">
        <f>'By Area'!I26</f>
        <v>393</v>
      </c>
      <c r="J12" s="531">
        <f>'By Area'!J26</f>
        <v>395</v>
      </c>
      <c r="K12" s="531">
        <f>'By Area'!K26</f>
        <v>388</v>
      </c>
      <c r="L12" s="531">
        <f>'By Area'!L26</f>
        <v>387</v>
      </c>
      <c r="M12" s="532">
        <f>'By Area'!M26</f>
        <v>397</v>
      </c>
      <c r="N12" s="546">
        <f t="shared" si="0"/>
        <v>387</v>
      </c>
      <c r="O12" s="546">
        <f t="shared" si="1"/>
        <v>11</v>
      </c>
      <c r="P12" s="122">
        <f t="shared" si="2"/>
        <v>2.7638190954773871E-2</v>
      </c>
      <c r="Q12" s="504"/>
    </row>
    <row r="13" spans="1:17" ht="11.25" customHeight="1">
      <c r="A13" s="109"/>
      <c r="B13" s="13" t="s">
        <v>31</v>
      </c>
      <c r="C13" s="530">
        <f>SUM('By Area'!C10+'By Area'!C27+'By Area'!C40)</f>
        <v>1837</v>
      </c>
      <c r="D13" s="530">
        <f ca="1">SUM('By Area'!D10+'By Area'!D27+'By Area'!D40)</f>
        <v>867</v>
      </c>
      <c r="E13" s="531">
        <f ca="1">SUM('By Area'!E10+'By Area'!E27+'By Area'!E40)</f>
        <v>669</v>
      </c>
      <c r="F13" s="531">
        <f ca="1">SUM('By Area'!F10+'By Area'!F27+'By Area'!F40)</f>
        <v>559</v>
      </c>
      <c r="G13" s="531">
        <f ca="1">SUM('By Area'!G10+'By Area'!G27+'By Area'!G40)</f>
        <v>543</v>
      </c>
      <c r="H13" s="531">
        <f ca="1">SUM('By Area'!H10+'By Area'!H27+'By Area'!H40)</f>
        <v>556</v>
      </c>
      <c r="I13" s="531">
        <f ca="1">SUM('By Area'!I10+'By Area'!I27+'By Area'!I40)</f>
        <v>535</v>
      </c>
      <c r="J13" s="531">
        <f ca="1">SUM('By Area'!J10+'By Area'!J27+'By Area'!J40)</f>
        <v>535</v>
      </c>
      <c r="K13" s="531">
        <f ca="1">SUM('By Area'!K10+'By Area'!K27+'By Area'!K40)</f>
        <v>645</v>
      </c>
      <c r="L13" s="531">
        <f ca="1">SUM('By Area'!L10+'By Area'!L27+'By Area'!L40)</f>
        <v>826</v>
      </c>
      <c r="M13" s="532">
        <f ca="1">SUM('By Area'!M10+'By Area'!M27+'By Area'!M40)</f>
        <v>950</v>
      </c>
      <c r="N13" s="546">
        <f t="shared" ca="1" si="0"/>
        <v>535</v>
      </c>
      <c r="O13" s="546">
        <f t="shared" ca="1" si="1"/>
        <v>1302</v>
      </c>
      <c r="P13" s="122">
        <f t="shared" ca="1" si="2"/>
        <v>0.70876428960261295</v>
      </c>
      <c r="Q13" s="504"/>
    </row>
    <row r="14" spans="1:17" ht="11.25" customHeight="1">
      <c r="A14" s="109"/>
      <c r="B14" s="13" t="s">
        <v>32</v>
      </c>
      <c r="C14" s="530">
        <f>SUM('By Area'!C11+'By Area'!C28+'By Area'!C41)</f>
        <v>513</v>
      </c>
      <c r="D14" s="530">
        <f ca="1">SUM('By Area'!D11+'By Area'!D28+'By Area'!D41)</f>
        <v>348</v>
      </c>
      <c r="E14" s="531">
        <f ca="1">SUM('By Area'!E11+'By Area'!E28+'By Area'!E41)</f>
        <v>332</v>
      </c>
      <c r="F14" s="531">
        <f ca="1">SUM('By Area'!F11+'By Area'!F28+'By Area'!F41)</f>
        <v>318</v>
      </c>
      <c r="G14" s="531">
        <f ca="1">SUM('By Area'!G11+'By Area'!G28+'By Area'!G41)</f>
        <v>307</v>
      </c>
      <c r="H14" s="531">
        <f ca="1">SUM('By Area'!H11+'By Area'!H28+'By Area'!H41)</f>
        <v>305</v>
      </c>
      <c r="I14" s="531">
        <f ca="1">SUM('By Area'!I11+'By Area'!I28+'By Area'!I41)</f>
        <v>302</v>
      </c>
      <c r="J14" s="531">
        <f ca="1">SUM('By Area'!J11+'By Area'!J28+'By Area'!J41)</f>
        <v>298</v>
      </c>
      <c r="K14" s="531">
        <f ca="1">SUM('By Area'!K11+'By Area'!K28+'By Area'!K41)</f>
        <v>305</v>
      </c>
      <c r="L14" s="531">
        <f ca="1">SUM('By Area'!L11+'By Area'!L28+'By Area'!L41)</f>
        <v>321</v>
      </c>
      <c r="M14" s="532">
        <f ca="1">SUM('By Area'!M11+'By Area'!M28+'By Area'!M41)</f>
        <v>338</v>
      </c>
      <c r="N14" s="546">
        <f t="shared" ca="1" si="0"/>
        <v>298</v>
      </c>
      <c r="O14" s="546">
        <f t="shared" ca="1" si="1"/>
        <v>215</v>
      </c>
      <c r="P14" s="122">
        <f t="shared" ca="1" si="2"/>
        <v>0.41910331384015592</v>
      </c>
      <c r="Q14" s="504"/>
    </row>
    <row r="15" spans="1:17" ht="11.25" customHeight="1">
      <c r="A15" s="109"/>
      <c r="B15" s="13" t="s">
        <v>33</v>
      </c>
      <c r="C15" s="530">
        <f>SUM('By Area'!C12+'By Area'!C29+'By Area'!C42)</f>
        <v>2493</v>
      </c>
      <c r="D15" s="530">
        <f ca="1">SUM('By Area'!D12+'By Area'!D29+'By Area'!D42)</f>
        <v>1394</v>
      </c>
      <c r="E15" s="531">
        <f ca="1">SUM('By Area'!E12+'By Area'!E29+'By Area'!E42)</f>
        <v>1281</v>
      </c>
      <c r="F15" s="531">
        <f ca="1">SUM('By Area'!F12+'By Area'!F29+'By Area'!F42)</f>
        <v>1215</v>
      </c>
      <c r="G15" s="531">
        <f ca="1">SUM('By Area'!G12+'By Area'!G29+'By Area'!G42)</f>
        <v>1169</v>
      </c>
      <c r="H15" s="531">
        <f ca="1">SUM('By Area'!H12+'By Area'!H29+'By Area'!H42)</f>
        <v>1180</v>
      </c>
      <c r="I15" s="531">
        <f ca="1">SUM('By Area'!I12+'By Area'!I29+'By Area'!I42)</f>
        <v>1186</v>
      </c>
      <c r="J15" s="531">
        <f ca="1">SUM('By Area'!J12+'By Area'!J29+'By Area'!J42)</f>
        <v>1218</v>
      </c>
      <c r="K15" s="531">
        <f ca="1">SUM('By Area'!K12+'By Area'!K29+'By Area'!K42)</f>
        <v>1249</v>
      </c>
      <c r="L15" s="531">
        <f ca="1">SUM('By Area'!L12+'By Area'!L29+'By Area'!L42)</f>
        <v>1326</v>
      </c>
      <c r="M15" s="532">
        <f ca="1">SUM('By Area'!M12+'By Area'!M29+'By Area'!M42)</f>
        <v>1424</v>
      </c>
      <c r="N15" s="546">
        <f t="shared" ca="1" si="0"/>
        <v>1169</v>
      </c>
      <c r="O15" s="546">
        <f t="shared" ca="1" si="1"/>
        <v>1324</v>
      </c>
      <c r="P15" s="122">
        <f t="shared" ca="1" si="2"/>
        <v>0.53108704372242277</v>
      </c>
      <c r="Q15" s="504"/>
    </row>
    <row r="16" spans="1:17" ht="11.25" customHeight="1">
      <c r="A16" s="109"/>
      <c r="B16" s="13" t="s">
        <v>34</v>
      </c>
      <c r="C16" s="530">
        <f>SUM('By Area'!C13+'By Area'!C30+'By Area'!C43)</f>
        <v>710</v>
      </c>
      <c r="D16" s="530">
        <f ca="1">SUM('By Area'!D13+'By Area'!D30+'By Area'!D43)</f>
        <v>410</v>
      </c>
      <c r="E16" s="531">
        <f ca="1">SUM('By Area'!E13+'By Area'!E30+'By Area'!E43)</f>
        <v>362</v>
      </c>
      <c r="F16" s="531">
        <f ca="1">SUM('By Area'!F13+'By Area'!F30+'By Area'!F43)</f>
        <v>329</v>
      </c>
      <c r="G16" s="531">
        <f ca="1">SUM('By Area'!G13+'By Area'!G30+'By Area'!G43)</f>
        <v>321</v>
      </c>
      <c r="H16" s="531">
        <f ca="1">SUM('By Area'!H13+'By Area'!H30+'By Area'!H43)</f>
        <v>334</v>
      </c>
      <c r="I16" s="531">
        <f ca="1">SUM('By Area'!I13+'By Area'!I30+'By Area'!I43)</f>
        <v>331</v>
      </c>
      <c r="J16" s="531">
        <f ca="1">SUM('By Area'!J13+'By Area'!J30+'By Area'!J43)</f>
        <v>341</v>
      </c>
      <c r="K16" s="531">
        <f ca="1">SUM('By Area'!K13+'By Area'!K30+'By Area'!K43)</f>
        <v>361</v>
      </c>
      <c r="L16" s="531">
        <f ca="1">SUM('By Area'!L13+'By Area'!L30+'By Area'!L43)</f>
        <v>421</v>
      </c>
      <c r="M16" s="532">
        <f ca="1">SUM('By Area'!M13+'By Area'!M30+'By Area'!M43)</f>
        <v>491</v>
      </c>
      <c r="N16" s="546">
        <f t="shared" ca="1" si="0"/>
        <v>321</v>
      </c>
      <c r="O16" s="546">
        <f t="shared" ca="1" si="1"/>
        <v>389</v>
      </c>
      <c r="P16" s="122">
        <f t="shared" ca="1" si="2"/>
        <v>0.54788732394366202</v>
      </c>
      <c r="Q16" s="504"/>
    </row>
    <row r="17" spans="1:17" ht="11.25" customHeight="1">
      <c r="A17" s="109"/>
      <c r="B17" s="13" t="s">
        <v>35</v>
      </c>
      <c r="C17" s="530">
        <f>SUM('By Area'!C14+'By Area'!C31+'By Area'!C44)</f>
        <v>255</v>
      </c>
      <c r="D17" s="530">
        <f>SUM('By Area'!D14+'By Area'!D31+'By Area'!D44)</f>
        <v>96</v>
      </c>
      <c r="E17" s="531">
        <f>SUM('By Area'!E14+'By Area'!E31+'By Area'!E44)</f>
        <v>99</v>
      </c>
      <c r="F17" s="531">
        <f>SUM('By Area'!F14+'By Area'!F31+'By Area'!F44)</f>
        <v>92</v>
      </c>
      <c r="G17" s="531">
        <f>SUM('By Area'!G14+'By Area'!G31+'By Area'!G44)</f>
        <v>105</v>
      </c>
      <c r="H17" s="531">
        <f>SUM('By Area'!H14+'By Area'!H31+'By Area'!H44)</f>
        <v>88</v>
      </c>
      <c r="I17" s="531">
        <f>SUM('By Area'!I14+'By Area'!I31+'By Area'!I44)</f>
        <v>88</v>
      </c>
      <c r="J17" s="531">
        <f>SUM('By Area'!J14+'By Area'!J31+'By Area'!J44)</f>
        <v>72</v>
      </c>
      <c r="K17" s="531">
        <f>SUM('By Area'!K14+'By Area'!K31+'By Area'!K44)</f>
        <v>63</v>
      </c>
      <c r="L17" s="531">
        <f>SUM('By Area'!L14+'By Area'!L31+'By Area'!L44)</f>
        <v>63</v>
      </c>
      <c r="M17" s="532">
        <f>SUM('By Area'!M14+'By Area'!M31+'By Area'!M44)</f>
        <v>64</v>
      </c>
      <c r="N17" s="546">
        <f t="shared" si="0"/>
        <v>63</v>
      </c>
      <c r="O17" s="546">
        <f t="shared" si="1"/>
        <v>192</v>
      </c>
      <c r="P17" s="122">
        <f t="shared" si="2"/>
        <v>0.75294117647058822</v>
      </c>
      <c r="Q17" s="504"/>
    </row>
    <row r="18" spans="1:17" ht="11.25" customHeight="1">
      <c r="A18" s="109"/>
      <c r="B18" s="13" t="s">
        <v>36</v>
      </c>
      <c r="C18" s="530">
        <f>SUM('By Area'!C15+'By Area'!C32+'By Area'!C45)</f>
        <v>93</v>
      </c>
      <c r="D18" s="530">
        <f ca="1">SUM('By Area'!D15+'By Area'!D32+'By Area'!D45)</f>
        <v>51</v>
      </c>
      <c r="E18" s="531">
        <f ca="1">SUM('By Area'!E15+'By Area'!E32+'By Area'!E45)</f>
        <v>49</v>
      </c>
      <c r="F18" s="531">
        <f ca="1">SUM('By Area'!F15+'By Area'!F32+'By Area'!F45)</f>
        <v>48</v>
      </c>
      <c r="G18" s="531">
        <f ca="1">SUM('By Area'!G15+'By Area'!G32+'By Area'!G45)</f>
        <v>42</v>
      </c>
      <c r="H18" s="531">
        <f ca="1">SUM('By Area'!H15+'By Area'!H32+'By Area'!H45)</f>
        <v>43</v>
      </c>
      <c r="I18" s="531">
        <f ca="1">SUM('By Area'!I15+'By Area'!I32+'By Area'!I45)</f>
        <v>41</v>
      </c>
      <c r="J18" s="531">
        <f ca="1">SUM('By Area'!J15+'By Area'!J32+'By Area'!J45)</f>
        <v>38</v>
      </c>
      <c r="K18" s="531">
        <f ca="1">SUM('By Area'!K15+'By Area'!K32+'By Area'!K45)</f>
        <v>36</v>
      </c>
      <c r="L18" s="531">
        <f ca="1">SUM('By Area'!L15+'By Area'!L32+'By Area'!L45)</f>
        <v>39</v>
      </c>
      <c r="M18" s="532">
        <f ca="1">SUM('By Area'!M15+'By Area'!M32+'By Area'!M45)</f>
        <v>40</v>
      </c>
      <c r="N18" s="546">
        <f t="shared" ca="1" si="0"/>
        <v>36</v>
      </c>
      <c r="O18" s="546">
        <f t="shared" ca="1" si="1"/>
        <v>57</v>
      </c>
      <c r="P18" s="122">
        <f t="shared" ca="1" si="2"/>
        <v>0.61290322580645162</v>
      </c>
      <c r="Q18" s="504"/>
    </row>
    <row r="19" spans="1:17" ht="11.25" customHeight="1">
      <c r="A19" s="109"/>
      <c r="B19" s="13" t="s">
        <v>37</v>
      </c>
      <c r="C19" s="530">
        <f>SUM('By Area'!C16+'By Area'!C33+'By Area'!C46)</f>
        <v>124</v>
      </c>
      <c r="D19" s="543">
        <f ca="1">SUM('By Area'!D16+'By Area'!D33+'By Area'!D46)</f>
        <v>82</v>
      </c>
      <c r="E19" s="544">
        <f ca="1">SUM('By Area'!E16+'By Area'!E33+'By Area'!E46)</f>
        <v>73</v>
      </c>
      <c r="F19" s="544">
        <f ca="1">SUM('By Area'!F16+'By Area'!F33+'By Area'!F46)</f>
        <v>61</v>
      </c>
      <c r="G19" s="544">
        <f ca="1">SUM('By Area'!G16+'By Area'!G33+'By Area'!G46)</f>
        <v>56</v>
      </c>
      <c r="H19" s="544">
        <f ca="1">SUM('By Area'!H16+'By Area'!H33+'By Area'!H46)</f>
        <v>56</v>
      </c>
      <c r="I19" s="544">
        <f ca="1">SUM('By Area'!I16+'By Area'!I33+'By Area'!I46)</f>
        <v>50</v>
      </c>
      <c r="J19" s="544">
        <f ca="1">SUM('By Area'!J16+'By Area'!J33+'By Area'!J46)</f>
        <v>52</v>
      </c>
      <c r="K19" s="544">
        <f ca="1">SUM('By Area'!K16+'By Area'!K33+'By Area'!K46)</f>
        <v>59</v>
      </c>
      <c r="L19" s="544">
        <f ca="1">SUM('By Area'!L16+'By Area'!L33+'By Area'!L46)</f>
        <v>53</v>
      </c>
      <c r="M19" s="545">
        <f ca="1">SUM('By Area'!M16+'By Area'!M33+'By Area'!M46)</f>
        <v>69</v>
      </c>
      <c r="N19" s="546">
        <f t="shared" ca="1" si="0"/>
        <v>50</v>
      </c>
      <c r="O19" s="546">
        <f t="shared" ca="1" si="1"/>
        <v>74</v>
      </c>
      <c r="P19" s="122">
        <f t="shared" ca="1" si="2"/>
        <v>0.59677419354838712</v>
      </c>
      <c r="Q19" s="504"/>
    </row>
    <row r="20" spans="1:17" ht="11.25" customHeight="1">
      <c r="A20" s="117"/>
      <c r="B20" s="3" t="s">
        <v>38</v>
      </c>
      <c r="C20" s="8">
        <f>SUM(C7:C19)</f>
        <v>16109</v>
      </c>
      <c r="D20" s="114">
        <f t="shared" ref="D20:M20" ca="1" si="3">SUM(D7:D19)</f>
        <v>8461</v>
      </c>
      <c r="E20" s="115">
        <f t="shared" ca="1" si="3"/>
        <v>7147</v>
      </c>
      <c r="F20" s="115">
        <f t="shared" ca="1" si="3"/>
        <v>6389</v>
      </c>
      <c r="G20" s="115">
        <f t="shared" ca="1" si="3"/>
        <v>6057</v>
      </c>
      <c r="H20" s="115">
        <f t="shared" ca="1" si="3"/>
        <v>6256</v>
      </c>
      <c r="I20" s="115">
        <f t="shared" ca="1" si="3"/>
        <v>5998</v>
      </c>
      <c r="J20" s="115">
        <f t="shared" ca="1" si="3"/>
        <v>6177</v>
      </c>
      <c r="K20" s="115">
        <f t="shared" ca="1" si="3"/>
        <v>6437</v>
      </c>
      <c r="L20" s="115">
        <f t="shared" ca="1" si="3"/>
        <v>7343</v>
      </c>
      <c r="M20" s="5">
        <f t="shared" ca="1" si="3"/>
        <v>8256</v>
      </c>
      <c r="N20" s="6">
        <f t="shared" ca="1" si="0"/>
        <v>5998</v>
      </c>
      <c r="O20" s="70">
        <f t="shared" ca="1" si="1"/>
        <v>10111</v>
      </c>
      <c r="P20" s="7">
        <f t="shared" ca="1" si="2"/>
        <v>0.6276615556521199</v>
      </c>
      <c r="Q20" s="504"/>
    </row>
    <row r="21" spans="1:17" ht="11.25" customHeight="1">
      <c r="A21" s="104" t="s">
        <v>44</v>
      </c>
      <c r="B21" s="104" t="s">
        <v>23</v>
      </c>
      <c r="C21" s="9">
        <f>SUM('By Area'!C48)</f>
        <v>266</v>
      </c>
      <c r="D21" s="118">
        <f>SUM('By Area'!D48)</f>
        <v>131</v>
      </c>
      <c r="E21" s="118">
        <f>SUM('By Area'!E48)</f>
        <v>119</v>
      </c>
      <c r="F21" s="118">
        <f>SUM('By Area'!F48)</f>
        <v>94</v>
      </c>
      <c r="G21" s="118">
        <f>SUM('By Area'!G48)</f>
        <v>97</v>
      </c>
      <c r="H21" s="118">
        <f>SUM('By Area'!H48)</f>
        <v>95</v>
      </c>
      <c r="I21" s="118">
        <f>SUM('By Area'!I48)</f>
        <v>103</v>
      </c>
      <c r="J21" s="118">
        <f>SUM('By Area'!J48)</f>
        <v>98</v>
      </c>
      <c r="K21" s="118">
        <f>SUM('By Area'!K48)</f>
        <v>121</v>
      </c>
      <c r="L21" s="118">
        <f>SUM('By Area'!L48)</f>
        <v>166</v>
      </c>
      <c r="M21" s="118">
        <f>SUM('By Area'!M48)</f>
        <v>189</v>
      </c>
      <c r="N21" s="119">
        <f t="shared" si="0"/>
        <v>94</v>
      </c>
      <c r="O21" s="118">
        <f t="shared" si="1"/>
        <v>172</v>
      </c>
      <c r="P21" s="120">
        <f t="shared" si="2"/>
        <v>0.64661654135338342</v>
      </c>
      <c r="Q21" s="504"/>
    </row>
    <row r="22" spans="1:17" ht="11.25" customHeight="1">
      <c r="A22" s="103" t="s">
        <v>45</v>
      </c>
      <c r="B22" s="103" t="s">
        <v>25</v>
      </c>
      <c r="C22" s="10">
        <f>SUM('By Area'!C49)</f>
        <v>1227</v>
      </c>
      <c r="D22" s="11">
        <f>SUM('By Area'!D49)</f>
        <v>505</v>
      </c>
      <c r="E22" s="11">
        <f>SUM('By Area'!E49)</f>
        <v>425</v>
      </c>
      <c r="F22" s="11">
        <f>SUM('By Area'!F49)</f>
        <v>392</v>
      </c>
      <c r="G22" s="11">
        <f>SUM('By Area'!G49)</f>
        <v>362</v>
      </c>
      <c r="H22" s="11">
        <f>SUM('By Area'!H49)</f>
        <v>351</v>
      </c>
      <c r="I22" s="11">
        <f>SUM('By Area'!I49)</f>
        <v>347</v>
      </c>
      <c r="J22" s="11">
        <f>SUM('By Area'!J49)</f>
        <v>396</v>
      </c>
      <c r="K22" s="11">
        <f>SUM('By Area'!K49)</f>
        <v>483</v>
      </c>
      <c r="L22" s="11">
        <f>SUM('By Area'!L49)</f>
        <v>571</v>
      </c>
      <c r="M22" s="11">
        <f>SUM('By Area'!M49)</f>
        <v>637</v>
      </c>
      <c r="N22" s="121">
        <f t="shared" si="0"/>
        <v>347</v>
      </c>
      <c r="O22" s="11">
        <f t="shared" si="1"/>
        <v>880</v>
      </c>
      <c r="P22" s="122">
        <f t="shared" si="2"/>
        <v>0.71719641401792988</v>
      </c>
      <c r="Q22" s="504"/>
    </row>
    <row r="23" spans="1:17" ht="11.25" customHeight="1">
      <c r="A23" s="103" t="s">
        <v>46</v>
      </c>
      <c r="B23" s="103" t="s">
        <v>27</v>
      </c>
      <c r="C23" s="10"/>
      <c r="D23" s="91"/>
      <c r="E23" s="12"/>
      <c r="F23" s="12"/>
      <c r="G23" s="12"/>
      <c r="H23" s="12"/>
      <c r="I23" s="12"/>
      <c r="J23" s="12"/>
      <c r="K23" s="12"/>
      <c r="L23" s="12"/>
      <c r="M23" s="12"/>
      <c r="N23" s="103"/>
      <c r="O23" s="12"/>
      <c r="P23" s="123"/>
      <c r="Q23" s="504"/>
    </row>
    <row r="24" spans="1:17" ht="11.25" customHeight="1">
      <c r="A24" s="13"/>
      <c r="B24" s="103" t="s">
        <v>31</v>
      </c>
      <c r="C24" s="10">
        <f>SUM('By Area'!C51)</f>
        <v>273</v>
      </c>
      <c r="D24" s="11">
        <f>SUM('By Area'!D51)</f>
        <v>168</v>
      </c>
      <c r="E24" s="11">
        <f>SUM('By Area'!E51)</f>
        <v>153</v>
      </c>
      <c r="F24" s="11">
        <f>SUM('By Area'!F51)</f>
        <v>151</v>
      </c>
      <c r="G24" s="11">
        <f>SUM('By Area'!G51)</f>
        <v>145</v>
      </c>
      <c r="H24" s="11">
        <f>SUM('By Area'!H51)</f>
        <v>148</v>
      </c>
      <c r="I24" s="11">
        <f>SUM('By Area'!I51)</f>
        <v>156</v>
      </c>
      <c r="J24" s="11">
        <f>SUM('By Area'!J51)</f>
        <v>168</v>
      </c>
      <c r="K24" s="11">
        <f>SUM('By Area'!K51)</f>
        <v>186</v>
      </c>
      <c r="L24" s="11">
        <f>SUM('By Area'!L51)</f>
        <v>214</v>
      </c>
      <c r="M24" s="11">
        <f>SUM('By Area'!M51)</f>
        <v>224</v>
      </c>
      <c r="N24" s="121">
        <f t="shared" ref="N24:N31" si="4">MIN(D24:M24)</f>
        <v>145</v>
      </c>
      <c r="O24" s="11">
        <f t="shared" ref="O24:O31" si="5">C24-N24</f>
        <v>128</v>
      </c>
      <c r="P24" s="122">
        <f t="shared" ref="P24:P31" si="6">O24/C24</f>
        <v>0.46886446886446886</v>
      </c>
      <c r="Q24" s="504"/>
    </row>
    <row r="25" spans="1:17" ht="11.25" customHeight="1">
      <c r="A25" s="13"/>
      <c r="B25" s="103" t="s">
        <v>32</v>
      </c>
      <c r="C25" s="10">
        <f>SUM('By Area'!C52)</f>
        <v>100</v>
      </c>
      <c r="D25" s="11">
        <f>SUM('By Area'!D52)</f>
        <v>82</v>
      </c>
      <c r="E25" s="11">
        <f>SUM('By Area'!E52)</f>
        <v>75</v>
      </c>
      <c r="F25" s="11">
        <f>SUM('By Area'!F52)</f>
        <v>65</v>
      </c>
      <c r="G25" s="11">
        <f>SUM('By Area'!G52)</f>
        <v>64</v>
      </c>
      <c r="H25" s="11">
        <f>SUM('By Area'!H52)</f>
        <v>70</v>
      </c>
      <c r="I25" s="11">
        <f>SUM('By Area'!I52)</f>
        <v>69</v>
      </c>
      <c r="J25" s="11">
        <f>SUM('By Area'!J52)</f>
        <v>71</v>
      </c>
      <c r="K25" s="11">
        <f>SUM('By Area'!K52)</f>
        <v>74</v>
      </c>
      <c r="L25" s="11">
        <f>SUM('By Area'!L52)</f>
        <v>73</v>
      </c>
      <c r="M25" s="11">
        <f>SUM('By Area'!M52)</f>
        <v>78</v>
      </c>
      <c r="N25" s="121">
        <f t="shared" si="4"/>
        <v>64</v>
      </c>
      <c r="O25" s="11">
        <f t="shared" si="5"/>
        <v>36</v>
      </c>
      <c r="P25" s="122">
        <f t="shared" si="6"/>
        <v>0.36</v>
      </c>
      <c r="Q25" s="504"/>
    </row>
    <row r="26" spans="1:17" ht="11.25" customHeight="1">
      <c r="A26" s="13"/>
      <c r="B26" s="103" t="s">
        <v>33</v>
      </c>
      <c r="C26" s="10">
        <f>SUM('By Area'!C53)</f>
        <v>107</v>
      </c>
      <c r="D26" s="11">
        <f>SUM('By Area'!D53)</f>
        <v>73</v>
      </c>
      <c r="E26" s="11">
        <f>SUM('By Area'!E53)</f>
        <v>76</v>
      </c>
      <c r="F26" s="11">
        <f>SUM('By Area'!F53)</f>
        <v>77</v>
      </c>
      <c r="G26" s="11">
        <f>SUM('By Area'!G53)</f>
        <v>64</v>
      </c>
      <c r="H26" s="11">
        <f>SUM('By Area'!H53)</f>
        <v>68</v>
      </c>
      <c r="I26" s="11">
        <f>SUM('By Area'!I53)</f>
        <v>68</v>
      </c>
      <c r="J26" s="11">
        <f>SUM('By Area'!J53)</f>
        <v>68</v>
      </c>
      <c r="K26" s="11">
        <f>SUM('By Area'!K53)</f>
        <v>70</v>
      </c>
      <c r="L26" s="11">
        <f>SUM('By Area'!L53)</f>
        <v>75</v>
      </c>
      <c r="M26" s="11">
        <f>SUM('By Area'!M53)</f>
        <v>81</v>
      </c>
      <c r="N26" s="121">
        <f t="shared" si="4"/>
        <v>64</v>
      </c>
      <c r="O26" s="11">
        <f t="shared" si="5"/>
        <v>43</v>
      </c>
      <c r="P26" s="122">
        <f t="shared" si="6"/>
        <v>0.40186915887850466</v>
      </c>
      <c r="Q26" s="504"/>
    </row>
    <row r="27" spans="1:17" ht="11.25" customHeight="1">
      <c r="A27" s="103"/>
      <c r="B27" s="103" t="s">
        <v>34</v>
      </c>
      <c r="C27" s="10">
        <f>SUM('By Area'!C54)</f>
        <v>43</v>
      </c>
      <c r="D27" s="11">
        <f>SUM('By Area'!D54)</f>
        <v>14</v>
      </c>
      <c r="E27" s="11">
        <f>SUM('By Area'!E54)</f>
        <v>15</v>
      </c>
      <c r="F27" s="11">
        <f>SUM('By Area'!F54)</f>
        <v>15</v>
      </c>
      <c r="G27" s="11">
        <f>SUM('By Area'!G54)</f>
        <v>16</v>
      </c>
      <c r="H27" s="11">
        <f>SUM('By Area'!H54)</f>
        <v>22</v>
      </c>
      <c r="I27" s="11">
        <f>SUM('By Area'!I54)</f>
        <v>23</v>
      </c>
      <c r="J27" s="11">
        <f>SUM('By Area'!J54)</f>
        <v>25</v>
      </c>
      <c r="K27" s="11">
        <f>SUM('By Area'!K54)</f>
        <v>26</v>
      </c>
      <c r="L27" s="11">
        <f>SUM('By Area'!L54)</f>
        <v>22</v>
      </c>
      <c r="M27" s="11">
        <f>SUM('By Area'!M54)</f>
        <v>24</v>
      </c>
      <c r="N27" s="121">
        <f t="shared" si="4"/>
        <v>14</v>
      </c>
      <c r="O27" s="11">
        <f t="shared" si="5"/>
        <v>29</v>
      </c>
      <c r="P27" s="122">
        <f t="shared" si="6"/>
        <v>0.67441860465116277</v>
      </c>
      <c r="Q27" s="504"/>
    </row>
    <row r="28" spans="1:17" ht="11.25" customHeight="1">
      <c r="A28" s="103"/>
      <c r="B28" s="103" t="s">
        <v>35</v>
      </c>
      <c r="C28" s="10">
        <f>SUM('By Area'!C55)</f>
        <v>14</v>
      </c>
      <c r="D28" s="11">
        <f>SUM('By Area'!D55)</f>
        <v>8</v>
      </c>
      <c r="E28" s="11">
        <f>SUM('By Area'!E55)</f>
        <v>8</v>
      </c>
      <c r="F28" s="11">
        <f>SUM('By Area'!F55)</f>
        <v>9</v>
      </c>
      <c r="G28" s="11">
        <f>SUM('By Area'!G55)</f>
        <v>5</v>
      </c>
      <c r="H28" s="11">
        <f>SUM('By Area'!H55)</f>
        <v>6</v>
      </c>
      <c r="I28" s="11">
        <f>SUM('By Area'!I55)</f>
        <v>3</v>
      </c>
      <c r="J28" s="11">
        <f>SUM('By Area'!J55)</f>
        <v>3</v>
      </c>
      <c r="K28" s="11">
        <f>SUM('By Area'!K55)</f>
        <v>6</v>
      </c>
      <c r="L28" s="11">
        <f>SUM('By Area'!L55)</f>
        <v>6</v>
      </c>
      <c r="M28" s="11">
        <f>SUM('By Area'!M55)</f>
        <v>4</v>
      </c>
      <c r="N28" s="121">
        <f t="shared" si="4"/>
        <v>3</v>
      </c>
      <c r="O28" s="11">
        <f t="shared" si="5"/>
        <v>11</v>
      </c>
      <c r="P28" s="122">
        <f t="shared" si="6"/>
        <v>0.7857142857142857</v>
      </c>
      <c r="Q28" s="504"/>
    </row>
    <row r="29" spans="1:17" ht="11.25" customHeight="1">
      <c r="A29" s="103"/>
      <c r="B29" s="103" t="s">
        <v>36</v>
      </c>
      <c r="C29" s="10">
        <f>SUM('By Area'!C56)</f>
        <v>12</v>
      </c>
      <c r="D29" s="11">
        <f>SUM('By Area'!D56)</f>
        <v>9</v>
      </c>
      <c r="E29" s="11">
        <f>SUM('By Area'!E56)</f>
        <v>9</v>
      </c>
      <c r="F29" s="11">
        <f>SUM('By Area'!F56)</f>
        <v>9</v>
      </c>
      <c r="G29" s="11">
        <f>SUM('By Area'!G56)</f>
        <v>9</v>
      </c>
      <c r="H29" s="11">
        <f>SUM('By Area'!H56)</f>
        <v>7</v>
      </c>
      <c r="I29" s="11">
        <f>SUM('By Area'!I56)</f>
        <v>6</v>
      </c>
      <c r="J29" s="11">
        <f>SUM('By Area'!J56)</f>
        <v>6</v>
      </c>
      <c r="K29" s="11">
        <f>SUM('By Area'!K56)</f>
        <v>8</v>
      </c>
      <c r="L29" s="11">
        <f>SUM('By Area'!L56)</f>
        <v>8</v>
      </c>
      <c r="M29" s="11">
        <f>SUM('By Area'!M56)</f>
        <v>6</v>
      </c>
      <c r="N29" s="121">
        <f t="shared" si="4"/>
        <v>6</v>
      </c>
      <c r="O29" s="11">
        <f t="shared" si="5"/>
        <v>6</v>
      </c>
      <c r="P29" s="122">
        <f t="shared" si="6"/>
        <v>0.5</v>
      </c>
      <c r="Q29" s="504"/>
    </row>
    <row r="30" spans="1:17" ht="11.25" customHeight="1">
      <c r="A30" s="103"/>
      <c r="B30" s="103" t="s">
        <v>37</v>
      </c>
      <c r="C30" s="14">
        <f>SUM('By Area'!C57)</f>
        <v>6</v>
      </c>
      <c r="D30" s="11">
        <f>SUM('By Area'!D57)</f>
        <v>2</v>
      </c>
      <c r="E30" s="11">
        <f>SUM('By Area'!E57)</f>
        <v>2</v>
      </c>
      <c r="F30" s="11">
        <f>SUM('By Area'!F57)</f>
        <v>2</v>
      </c>
      <c r="G30" s="11">
        <f>SUM('By Area'!G57)</f>
        <v>0</v>
      </c>
      <c r="H30" s="11">
        <f>SUM('By Area'!H57)</f>
        <v>2</v>
      </c>
      <c r="I30" s="11">
        <f>SUM('By Area'!I57)</f>
        <v>2</v>
      </c>
      <c r="J30" s="11">
        <f>SUM('By Area'!J57)</f>
        <v>2</v>
      </c>
      <c r="K30" s="11">
        <f>SUM('By Area'!K57)</f>
        <v>1</v>
      </c>
      <c r="L30" s="11">
        <f>SUM('By Area'!L57)</f>
        <v>2</v>
      </c>
      <c r="M30" s="11">
        <f>SUM('By Area'!M57)</f>
        <v>3</v>
      </c>
      <c r="N30" s="121">
        <f t="shared" si="4"/>
        <v>0</v>
      </c>
      <c r="O30" s="11">
        <f t="shared" si="5"/>
        <v>6</v>
      </c>
      <c r="P30" s="122">
        <f t="shared" si="6"/>
        <v>1</v>
      </c>
      <c r="Q30" s="504"/>
    </row>
    <row r="31" spans="1:17" ht="11.25" customHeight="1">
      <c r="A31" s="124"/>
      <c r="B31" s="6" t="s">
        <v>38</v>
      </c>
      <c r="C31" s="15">
        <f>SUM(C21:C30)</f>
        <v>2048</v>
      </c>
      <c r="D31" s="16">
        <f t="shared" ref="D31:M31" si="7">SUM(D21:D30)</f>
        <v>992</v>
      </c>
      <c r="E31" s="16">
        <f t="shared" si="7"/>
        <v>882</v>
      </c>
      <c r="F31" s="16">
        <f t="shared" si="7"/>
        <v>814</v>
      </c>
      <c r="G31" s="16">
        <f t="shared" si="7"/>
        <v>762</v>
      </c>
      <c r="H31" s="16">
        <f t="shared" si="7"/>
        <v>769</v>
      </c>
      <c r="I31" s="16">
        <f t="shared" si="7"/>
        <v>777</v>
      </c>
      <c r="J31" s="16">
        <f t="shared" si="7"/>
        <v>837</v>
      </c>
      <c r="K31" s="16">
        <f t="shared" si="7"/>
        <v>975</v>
      </c>
      <c r="L31" s="16">
        <f t="shared" si="7"/>
        <v>1137</v>
      </c>
      <c r="M31" s="16">
        <f t="shared" si="7"/>
        <v>1246</v>
      </c>
      <c r="N31" s="17">
        <f t="shared" si="4"/>
        <v>762</v>
      </c>
      <c r="O31" s="16">
        <f t="shared" si="5"/>
        <v>1286</v>
      </c>
      <c r="P31" s="59">
        <f t="shared" si="6"/>
        <v>0.6279296875</v>
      </c>
      <c r="Q31" s="504"/>
    </row>
    <row r="32" spans="1:17" ht="11.25" customHeight="1">
      <c r="A32" s="504"/>
      <c r="B32" s="504"/>
      <c r="C32" s="504"/>
      <c r="D32" s="504"/>
      <c r="E32" s="504"/>
      <c r="F32" s="504"/>
      <c r="G32" s="504"/>
      <c r="H32" s="504"/>
      <c r="I32" s="504"/>
      <c r="J32" s="504"/>
      <c r="K32" s="504"/>
      <c r="L32" s="504"/>
      <c r="M32" s="504"/>
      <c r="N32" s="504"/>
      <c r="O32" s="504"/>
      <c r="P32" s="504"/>
      <c r="Q32" s="50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S999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defaultColWidth="14.453125" defaultRowHeight="15" customHeight="1"/>
  <cols>
    <col min="1" max="1" width="11.453125" customWidth="1"/>
    <col min="2" max="2" width="12" customWidth="1"/>
    <col min="3" max="3" width="7" customWidth="1"/>
    <col min="4" max="5" width="5" customWidth="1"/>
    <col min="6" max="12" width="4.90625" customWidth="1"/>
    <col min="13" max="13" width="5" customWidth="1"/>
    <col min="14" max="14" width="6.90625" customWidth="1"/>
    <col min="15" max="17" width="8" customWidth="1"/>
  </cols>
  <sheetData>
    <row r="1" spans="1:17" ht="14.25" customHeight="1">
      <c r="A1" s="565" t="str">
        <f>'University-wide'!A1</f>
        <v>University of California, San Diego Survey of Parking Space Occupancy Levels, Spring 2021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</row>
    <row r="2" spans="1:17" ht="14.25" customHeight="1">
      <c r="A2" s="565" t="s">
        <v>47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</row>
    <row r="3" spans="1:17" ht="11.25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</row>
    <row r="4" spans="1:17" ht="11.25" customHeight="1">
      <c r="A4" s="92" t="s">
        <v>48</v>
      </c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</row>
    <row r="5" spans="1:17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</row>
    <row r="6" spans="1:17" ht="11.25" customHeight="1">
      <c r="A6" s="100"/>
      <c r="B6" s="100"/>
      <c r="C6" s="100"/>
      <c r="D6" s="101" t="s">
        <v>20</v>
      </c>
      <c r="E6" s="102" t="s">
        <v>20</v>
      </c>
      <c r="F6" s="102" t="s">
        <v>20</v>
      </c>
      <c r="G6" s="102" t="s">
        <v>20</v>
      </c>
      <c r="H6" s="102" t="s">
        <v>21</v>
      </c>
      <c r="I6" s="102" t="s">
        <v>21</v>
      </c>
      <c r="J6" s="102" t="s">
        <v>21</v>
      </c>
      <c r="K6" s="102" t="s">
        <v>21</v>
      </c>
      <c r="L6" s="102" t="s">
        <v>21</v>
      </c>
      <c r="M6" s="81" t="s">
        <v>21</v>
      </c>
      <c r="N6" s="101" t="s">
        <v>6</v>
      </c>
      <c r="O6" s="102" t="s">
        <v>6</v>
      </c>
      <c r="P6" s="81" t="s">
        <v>18</v>
      </c>
      <c r="Q6" s="504"/>
    </row>
    <row r="7" spans="1:17" ht="11.25" customHeight="1">
      <c r="A7" s="43" t="s">
        <v>49</v>
      </c>
      <c r="B7" s="13" t="s">
        <v>23</v>
      </c>
      <c r="C7" s="536"/>
      <c r="D7" s="109"/>
      <c r="E7" s="504"/>
      <c r="F7" s="504"/>
      <c r="G7" s="504"/>
      <c r="H7" s="504"/>
      <c r="I7" s="504"/>
      <c r="J7" s="504"/>
      <c r="K7" s="504"/>
      <c r="L7" s="504"/>
      <c r="M7" s="110"/>
      <c r="N7" s="109"/>
      <c r="O7" s="504"/>
      <c r="P7" s="107"/>
      <c r="Q7" s="504"/>
    </row>
    <row r="8" spans="1:17" ht="11.25" customHeight="1">
      <c r="A8" s="13" t="s">
        <v>50</v>
      </c>
      <c r="B8" s="13" t="s">
        <v>25</v>
      </c>
      <c r="C8" s="536">
        <f>SUM('By Neighborhood'!C8,'By Neighborhood'!C19,'By Neighborhood'!C30,'By Neighborhood'!C41)</f>
        <v>106</v>
      </c>
      <c r="D8" s="109">
        <f>SUM('By Neighborhood'!D8,'By Neighborhood'!D19,'By Neighborhood'!D30,'By Neighborhood'!D41)</f>
        <v>99</v>
      </c>
      <c r="E8" s="504">
        <f>SUM('By Neighborhood'!E8,'By Neighborhood'!E19,'By Neighborhood'!E30,'By Neighborhood'!E41)</f>
        <v>91</v>
      </c>
      <c r="F8" s="504">
        <f>SUM('By Neighborhood'!F8,'By Neighborhood'!F19,'By Neighborhood'!F30,'By Neighborhood'!F41)</f>
        <v>84</v>
      </c>
      <c r="G8" s="504">
        <f>SUM('By Neighborhood'!G8,'By Neighborhood'!G19,'By Neighborhood'!G30,'By Neighborhood'!G41)</f>
        <v>79</v>
      </c>
      <c r="H8" s="504">
        <f>SUM('By Neighborhood'!H8,'By Neighborhood'!H19,'By Neighborhood'!H30,'By Neighborhood'!H41)</f>
        <v>75</v>
      </c>
      <c r="I8" s="504">
        <f>SUM('By Neighborhood'!I8,'By Neighborhood'!I19,'By Neighborhood'!I30,'By Neighborhood'!I41)</f>
        <v>79</v>
      </c>
      <c r="J8" s="504">
        <f>SUM('By Neighborhood'!J8,'By Neighborhood'!J19,'By Neighborhood'!J30,'By Neighborhood'!J41)</f>
        <v>86</v>
      </c>
      <c r="K8" s="504">
        <f>SUM('By Neighborhood'!K8,'By Neighborhood'!K19,'By Neighborhood'!K30,'By Neighborhood'!K41)</f>
        <v>88</v>
      </c>
      <c r="L8" s="504">
        <f>SUM('By Neighborhood'!L8,'By Neighborhood'!L19,'By Neighborhood'!L30,'By Neighborhood'!L41)</f>
        <v>92</v>
      </c>
      <c r="M8" s="110">
        <f>SUM('By Neighborhood'!M8,'By Neighborhood'!M19,'By Neighborhood'!M30,'By Neighborhood'!M41)</f>
        <v>95</v>
      </c>
      <c r="N8" s="109">
        <f t="shared" ref="N8:N38" si="0">MIN(D8:M8)</f>
        <v>75</v>
      </c>
      <c r="O8" s="504">
        <f t="shared" ref="O8:O38" si="1">C8-N8</f>
        <v>31</v>
      </c>
      <c r="P8" s="107">
        <f t="shared" ref="P8:P38" si="2">O8/C8</f>
        <v>0.29245283018867924</v>
      </c>
      <c r="Q8" s="504"/>
    </row>
    <row r="9" spans="1:17" ht="11.25" customHeight="1">
      <c r="A9" s="13" t="s">
        <v>24</v>
      </c>
      <c r="B9" s="13" t="s">
        <v>27</v>
      </c>
      <c r="C9" s="536">
        <f>SUM('By Neighborhood'!C9,'By Neighborhood'!C20,'By Neighborhood'!C31,'By Neighborhood'!C42)</f>
        <v>26</v>
      </c>
      <c r="D9" s="109">
        <f>SUM('By Neighborhood'!D9,'By Neighborhood'!D20,'By Neighborhood'!D31,'By Neighborhood'!D42)</f>
        <v>23</v>
      </c>
      <c r="E9" s="504">
        <f>SUM('By Neighborhood'!E9,'By Neighborhood'!E20,'By Neighborhood'!E31,'By Neighborhood'!E42)</f>
        <v>23</v>
      </c>
      <c r="F9" s="504">
        <f>SUM('By Neighborhood'!F9,'By Neighborhood'!F20,'By Neighborhood'!F31,'By Neighborhood'!F42)</f>
        <v>23</v>
      </c>
      <c r="G9" s="504">
        <f>SUM('By Neighborhood'!G9,'By Neighborhood'!G20,'By Neighborhood'!G31,'By Neighborhood'!G42)</f>
        <v>23</v>
      </c>
      <c r="H9" s="504">
        <f>SUM('By Neighborhood'!H9,'By Neighborhood'!H20,'By Neighborhood'!H31,'By Neighborhood'!H42)</f>
        <v>23</v>
      </c>
      <c r="I9" s="504">
        <f>SUM('By Neighborhood'!I9,'By Neighborhood'!I20,'By Neighborhood'!I31,'By Neighborhood'!I42)</f>
        <v>23</v>
      </c>
      <c r="J9" s="504">
        <f>SUM('By Neighborhood'!J9,'By Neighborhood'!J20,'By Neighborhood'!J31,'By Neighborhood'!J42)</f>
        <v>23</v>
      </c>
      <c r="K9" s="504">
        <f>SUM('By Neighborhood'!K9,'By Neighborhood'!K20,'By Neighborhood'!K31,'By Neighborhood'!K42)</f>
        <v>23</v>
      </c>
      <c r="L9" s="504">
        <f>SUM('By Neighborhood'!L9,'By Neighborhood'!L20,'By Neighborhood'!L31,'By Neighborhood'!L42)</f>
        <v>23</v>
      </c>
      <c r="M9" s="110">
        <f>SUM('By Neighborhood'!M9,'By Neighborhood'!M20,'By Neighborhood'!M31,'By Neighborhood'!M42)</f>
        <v>23</v>
      </c>
      <c r="N9" s="109">
        <f t="shared" si="0"/>
        <v>23</v>
      </c>
      <c r="O9" s="504">
        <f t="shared" si="1"/>
        <v>3</v>
      </c>
      <c r="P9" s="107">
        <f t="shared" si="2"/>
        <v>0.11538461538461539</v>
      </c>
      <c r="Q9" s="504"/>
    </row>
    <row r="10" spans="1:17" ht="11.25" customHeight="1">
      <c r="A10" s="13" t="s">
        <v>51</v>
      </c>
      <c r="B10" s="13" t="s">
        <v>31</v>
      </c>
      <c r="C10" s="536">
        <f>SUM('By Neighborhood'!C10,'By Neighborhood'!C21,'By Neighborhood'!C32,'By Neighborhood'!C43)</f>
        <v>4</v>
      </c>
      <c r="D10" s="109">
        <f>SUM('By Neighborhood'!D10,'By Neighborhood'!D21,'By Neighborhood'!D32,'By Neighborhood'!D43)</f>
        <v>4</v>
      </c>
      <c r="E10" s="504">
        <f>SUM('By Neighborhood'!E10,'By Neighborhood'!E21,'By Neighborhood'!E32,'By Neighborhood'!E43)</f>
        <v>4</v>
      </c>
      <c r="F10" s="504">
        <f>SUM('By Neighborhood'!F10,'By Neighborhood'!F21,'By Neighborhood'!F32,'By Neighborhood'!F43)</f>
        <v>4</v>
      </c>
      <c r="G10" s="504">
        <f>SUM('By Neighborhood'!G10,'By Neighborhood'!G21,'By Neighborhood'!G32,'By Neighborhood'!G43)</f>
        <v>4</v>
      </c>
      <c r="H10" s="504">
        <f>SUM('By Neighborhood'!H10,'By Neighborhood'!H21,'By Neighborhood'!H32,'By Neighborhood'!H43)</f>
        <v>4</v>
      </c>
      <c r="I10" s="504">
        <f>SUM('By Neighborhood'!I10,'By Neighborhood'!I21,'By Neighborhood'!I32,'By Neighborhood'!I43)</f>
        <v>4</v>
      </c>
      <c r="J10" s="504">
        <f>SUM('By Neighborhood'!J10,'By Neighborhood'!J21,'By Neighborhood'!J32,'By Neighborhood'!J43)</f>
        <v>4</v>
      </c>
      <c r="K10" s="504">
        <f>SUM('By Neighborhood'!K10,'By Neighborhood'!K21,'By Neighborhood'!K32,'By Neighborhood'!K43)</f>
        <v>4</v>
      </c>
      <c r="L10" s="504">
        <f>SUM('By Neighborhood'!L10,'By Neighborhood'!L21,'By Neighborhood'!L32,'By Neighborhood'!L43)</f>
        <v>4</v>
      </c>
      <c r="M10" s="110">
        <f>SUM('By Neighborhood'!M10,'By Neighborhood'!M21,'By Neighborhood'!M32,'By Neighborhood'!M43)</f>
        <v>4</v>
      </c>
      <c r="N10" s="109">
        <f t="shared" si="0"/>
        <v>4</v>
      </c>
      <c r="O10" s="504">
        <f t="shared" si="1"/>
        <v>0</v>
      </c>
      <c r="P10" s="107">
        <f t="shared" si="2"/>
        <v>0</v>
      </c>
      <c r="Q10" s="504"/>
    </row>
    <row r="11" spans="1:17" ht="11.25" customHeight="1">
      <c r="A11" s="13"/>
      <c r="B11" s="13" t="s">
        <v>32</v>
      </c>
      <c r="C11" s="536">
        <f>SUM('By Neighborhood'!C11,'By Neighborhood'!C22,'By Neighborhood'!C33,'By Neighborhood'!C44)</f>
        <v>1</v>
      </c>
      <c r="D11" s="109">
        <f>SUM('By Neighborhood'!D11,'By Neighborhood'!D22,'By Neighborhood'!D33,'By Neighborhood'!D44)</f>
        <v>0</v>
      </c>
      <c r="E11" s="504">
        <f>SUM('By Neighborhood'!E11,'By Neighborhood'!E22,'By Neighborhood'!E33,'By Neighborhood'!E44)</f>
        <v>0</v>
      </c>
      <c r="F11" s="504">
        <f>SUM('By Neighborhood'!F11,'By Neighborhood'!F22,'By Neighborhood'!F33,'By Neighborhood'!F44)</f>
        <v>0</v>
      </c>
      <c r="G11" s="504">
        <f>SUM('By Neighborhood'!G11,'By Neighborhood'!G22,'By Neighborhood'!G33,'By Neighborhood'!G44)</f>
        <v>0</v>
      </c>
      <c r="H11" s="504">
        <f>SUM('By Neighborhood'!H11,'By Neighborhood'!H22,'By Neighborhood'!H33,'By Neighborhood'!H44)</f>
        <v>0</v>
      </c>
      <c r="I11" s="504">
        <f>SUM('By Neighborhood'!I11,'By Neighborhood'!I22,'By Neighborhood'!I33,'By Neighborhood'!I44)</f>
        <v>0</v>
      </c>
      <c r="J11" s="504">
        <f>SUM('By Neighborhood'!J11,'By Neighborhood'!J22,'By Neighborhood'!J33,'By Neighborhood'!J44)</f>
        <v>0</v>
      </c>
      <c r="K11" s="504">
        <f>SUM('By Neighborhood'!K11,'By Neighborhood'!K22,'By Neighborhood'!K33,'By Neighborhood'!K44)</f>
        <v>0</v>
      </c>
      <c r="L11" s="504">
        <f>SUM('By Neighborhood'!L11,'By Neighborhood'!L22,'By Neighborhood'!L33,'By Neighborhood'!L44)</f>
        <v>0</v>
      </c>
      <c r="M11" s="110">
        <f>SUM('By Neighborhood'!M11,'By Neighborhood'!M22,'By Neighborhood'!M33,'By Neighborhood'!M44)</f>
        <v>0</v>
      </c>
      <c r="N11" s="109">
        <f t="shared" si="0"/>
        <v>0</v>
      </c>
      <c r="O11" s="504">
        <f t="shared" si="1"/>
        <v>1</v>
      </c>
      <c r="P11" s="107">
        <f t="shared" si="2"/>
        <v>1</v>
      </c>
      <c r="Q11" s="504"/>
    </row>
    <row r="12" spans="1:17" ht="11.25" customHeight="1">
      <c r="A12" s="13"/>
      <c r="B12" s="13" t="s">
        <v>33</v>
      </c>
      <c r="C12" s="536">
        <f>SUM('By Neighborhood'!C12,'By Neighborhood'!C23,'By Neighborhood'!C34,'By Neighborhood'!C45)</f>
        <v>596</v>
      </c>
      <c r="D12" s="109">
        <f>SUM('By Neighborhood'!D12,'By Neighborhood'!D23,'By Neighborhood'!D34,'By Neighborhood'!D45)</f>
        <v>207</v>
      </c>
      <c r="E12" s="504">
        <f>SUM('By Neighborhood'!E12,'By Neighborhood'!E23,'By Neighborhood'!E34,'By Neighborhood'!E45)</f>
        <v>185</v>
      </c>
      <c r="F12" s="504">
        <f>SUM('By Neighborhood'!F12,'By Neighborhood'!F23,'By Neighborhood'!F34,'By Neighborhood'!F45)</f>
        <v>160</v>
      </c>
      <c r="G12" s="504">
        <f>SUM('By Neighborhood'!G12,'By Neighborhood'!G23,'By Neighborhood'!G34,'By Neighborhood'!G45)</f>
        <v>130</v>
      </c>
      <c r="H12" s="504">
        <f>SUM('By Neighborhood'!H12,'By Neighborhood'!H23,'By Neighborhood'!H34,'By Neighborhood'!H45)</f>
        <v>121</v>
      </c>
      <c r="I12" s="504">
        <f>SUM('By Neighborhood'!I12,'By Neighborhood'!I23,'By Neighborhood'!I34,'By Neighborhood'!I45)</f>
        <v>132</v>
      </c>
      <c r="J12" s="504">
        <f>SUM('By Neighborhood'!J12,'By Neighborhood'!J23,'By Neighborhood'!J34,'By Neighborhood'!J45)</f>
        <v>148</v>
      </c>
      <c r="K12" s="504">
        <f>SUM('By Neighborhood'!K12,'By Neighborhood'!K23,'By Neighborhood'!K34,'By Neighborhood'!K45)</f>
        <v>161</v>
      </c>
      <c r="L12" s="504">
        <f>SUM('By Neighborhood'!L12,'By Neighborhood'!L23,'By Neighborhood'!L34,'By Neighborhood'!L45)</f>
        <v>180</v>
      </c>
      <c r="M12" s="110">
        <f>SUM('By Neighborhood'!M12,'By Neighborhood'!M23,'By Neighborhood'!M34,'By Neighborhood'!M45)</f>
        <v>197</v>
      </c>
      <c r="N12" s="109">
        <f t="shared" si="0"/>
        <v>121</v>
      </c>
      <c r="O12" s="504">
        <f t="shared" si="1"/>
        <v>475</v>
      </c>
      <c r="P12" s="107">
        <f t="shared" si="2"/>
        <v>0.79697986577181212</v>
      </c>
      <c r="Q12" s="504"/>
    </row>
    <row r="13" spans="1:17" ht="11.25" customHeight="1">
      <c r="A13" s="13"/>
      <c r="B13" s="13" t="s">
        <v>34</v>
      </c>
      <c r="C13" s="536">
        <f>SUM('By Neighborhood'!C13,'By Neighborhood'!C24,'By Neighborhood'!C35,'By Neighborhood'!C46)</f>
        <v>31</v>
      </c>
      <c r="D13" s="109">
        <f>SUM('By Neighborhood'!D13,'By Neighborhood'!D24,'By Neighborhood'!D35,'By Neighborhood'!D46)</f>
        <v>18</v>
      </c>
      <c r="E13" s="504">
        <f>SUM('By Neighborhood'!E13,'By Neighborhood'!E24,'By Neighborhood'!E35,'By Neighborhood'!E46)</f>
        <v>18</v>
      </c>
      <c r="F13" s="504">
        <f>SUM('By Neighborhood'!F13,'By Neighborhood'!F24,'By Neighborhood'!F35,'By Neighborhood'!F46)</f>
        <v>16</v>
      </c>
      <c r="G13" s="504">
        <f>SUM('By Neighborhood'!G13,'By Neighborhood'!G24,'By Neighborhood'!G35,'By Neighborhood'!G46)</f>
        <v>16</v>
      </c>
      <c r="H13" s="504">
        <f>SUM('By Neighborhood'!H13,'By Neighborhood'!H24,'By Neighborhood'!H35,'By Neighborhood'!H46)</f>
        <v>16</v>
      </c>
      <c r="I13" s="504">
        <f>SUM('By Neighborhood'!I13,'By Neighborhood'!I24,'By Neighborhood'!I35,'By Neighborhood'!I46)</f>
        <v>16</v>
      </c>
      <c r="J13" s="504">
        <f>SUM('By Neighborhood'!J13,'By Neighborhood'!J24,'By Neighborhood'!J35,'By Neighborhood'!J46)</f>
        <v>16</v>
      </c>
      <c r="K13" s="504">
        <f>SUM('By Neighborhood'!K13,'By Neighborhood'!K24,'By Neighborhood'!K35,'By Neighborhood'!K46)</f>
        <v>16</v>
      </c>
      <c r="L13" s="504">
        <f>SUM('By Neighborhood'!L13,'By Neighborhood'!L24,'By Neighborhood'!L35,'By Neighborhood'!L46)</f>
        <v>16</v>
      </c>
      <c r="M13" s="110">
        <f>SUM('By Neighborhood'!M13,'By Neighborhood'!M24,'By Neighborhood'!M35,'By Neighborhood'!M46)</f>
        <v>16</v>
      </c>
      <c r="N13" s="109">
        <f t="shared" si="0"/>
        <v>16</v>
      </c>
      <c r="O13" s="504">
        <f t="shared" si="1"/>
        <v>15</v>
      </c>
      <c r="P13" s="107">
        <f t="shared" si="2"/>
        <v>0.4838709677419355</v>
      </c>
      <c r="Q13" s="504"/>
    </row>
    <row r="14" spans="1:17" ht="11.25" customHeight="1">
      <c r="A14" s="13"/>
      <c r="B14" s="13" t="s">
        <v>35</v>
      </c>
      <c r="C14" s="536">
        <f>SUM('By Neighborhood'!C14,'By Neighborhood'!C25,'By Neighborhood'!C36,'By Neighborhood'!C47)</f>
        <v>7</v>
      </c>
      <c r="D14" s="109">
        <f>SUM('By Neighborhood'!D14,'By Neighborhood'!D25,'By Neighborhood'!D36,'By Neighborhood'!D47)</f>
        <v>3</v>
      </c>
      <c r="E14" s="504">
        <f>SUM('By Neighborhood'!E14,'By Neighborhood'!E25,'By Neighborhood'!E36,'By Neighborhood'!E47)</f>
        <v>2</v>
      </c>
      <c r="F14" s="504">
        <f>SUM('By Neighborhood'!F14,'By Neighborhood'!F25,'By Neighborhood'!F36,'By Neighborhood'!F47)</f>
        <v>1</v>
      </c>
      <c r="G14" s="504">
        <f>SUM('By Neighborhood'!G14,'By Neighborhood'!G25,'By Neighborhood'!G36,'By Neighborhood'!G47)</f>
        <v>3</v>
      </c>
      <c r="H14" s="504">
        <f>SUM('By Neighborhood'!H14,'By Neighborhood'!H25,'By Neighborhood'!H36,'By Neighborhood'!H47)</f>
        <v>2</v>
      </c>
      <c r="I14" s="504">
        <f>SUM('By Neighborhood'!I14,'By Neighborhood'!I25,'By Neighborhood'!I36,'By Neighborhood'!I47)</f>
        <v>2</v>
      </c>
      <c r="J14" s="504">
        <f>SUM('By Neighborhood'!J14,'By Neighborhood'!J25,'By Neighborhood'!J36,'By Neighborhood'!J47)</f>
        <v>1</v>
      </c>
      <c r="K14" s="504">
        <f>SUM('By Neighborhood'!K14,'By Neighborhood'!K25,'By Neighborhood'!K36,'By Neighborhood'!K47)</f>
        <v>1</v>
      </c>
      <c r="L14" s="504">
        <f>SUM('By Neighborhood'!L14,'By Neighborhood'!L25,'By Neighborhood'!L36,'By Neighborhood'!L47)</f>
        <v>1</v>
      </c>
      <c r="M14" s="110">
        <f>SUM('By Neighborhood'!M14,'By Neighborhood'!M25,'By Neighborhood'!M36,'By Neighborhood'!M47)</f>
        <v>1</v>
      </c>
      <c r="N14" s="109">
        <f t="shared" si="0"/>
        <v>1</v>
      </c>
      <c r="O14" s="504">
        <f t="shared" si="1"/>
        <v>6</v>
      </c>
      <c r="P14" s="107">
        <f t="shared" si="2"/>
        <v>0.8571428571428571</v>
      </c>
      <c r="Q14" s="504"/>
    </row>
    <row r="15" spans="1:17" ht="11.25" customHeight="1">
      <c r="A15" s="13"/>
      <c r="B15" s="13" t="s">
        <v>36</v>
      </c>
      <c r="C15" s="536">
        <f>SUM('By Neighborhood'!C15,'By Neighborhood'!C26,'By Neighborhood'!C37,'By Neighborhood'!C48)</f>
        <v>3</v>
      </c>
      <c r="D15" s="109">
        <f>SUM('By Neighborhood'!D15,'By Neighborhood'!D26,'By Neighborhood'!D37,'By Neighborhood'!D48)</f>
        <v>3</v>
      </c>
      <c r="E15" s="504">
        <f>SUM('By Neighborhood'!E15,'By Neighborhood'!E26,'By Neighborhood'!E37,'By Neighborhood'!E48)</f>
        <v>3</v>
      </c>
      <c r="F15" s="504">
        <f>SUM('By Neighborhood'!F15,'By Neighborhood'!F26,'By Neighborhood'!F37,'By Neighborhood'!F48)</f>
        <v>2</v>
      </c>
      <c r="G15" s="504">
        <f>SUM('By Neighborhood'!G15,'By Neighborhood'!G26,'By Neighborhood'!G37,'By Neighborhood'!G48)</f>
        <v>2</v>
      </c>
      <c r="H15" s="504">
        <f>SUM('By Neighborhood'!H15,'By Neighborhood'!H26,'By Neighborhood'!H37,'By Neighborhood'!H48)</f>
        <v>2</v>
      </c>
      <c r="I15" s="504">
        <f>SUM('By Neighborhood'!I15,'By Neighborhood'!I26,'By Neighborhood'!I37,'By Neighborhood'!I48)</f>
        <v>2</v>
      </c>
      <c r="J15" s="504">
        <f>SUM('By Neighborhood'!J15,'By Neighborhood'!J26,'By Neighborhood'!J37,'By Neighborhood'!J48)</f>
        <v>2</v>
      </c>
      <c r="K15" s="504">
        <f>SUM('By Neighborhood'!K15,'By Neighborhood'!K26,'By Neighborhood'!K37,'By Neighborhood'!K48)</f>
        <v>2</v>
      </c>
      <c r="L15" s="504">
        <f>SUM('By Neighborhood'!L15,'By Neighborhood'!L26,'By Neighborhood'!L37,'By Neighborhood'!L48)</f>
        <v>2</v>
      </c>
      <c r="M15" s="110">
        <f>SUM('By Neighborhood'!M15,'By Neighborhood'!M26,'By Neighborhood'!M37,'By Neighborhood'!M48)</f>
        <v>2</v>
      </c>
      <c r="N15" s="109">
        <f t="shared" si="0"/>
        <v>2</v>
      </c>
      <c r="O15" s="504">
        <f t="shared" si="1"/>
        <v>1</v>
      </c>
      <c r="P15" s="107">
        <f t="shared" si="2"/>
        <v>0.33333333333333331</v>
      </c>
      <c r="Q15" s="504"/>
    </row>
    <row r="16" spans="1:17" ht="11.25" customHeight="1">
      <c r="A16" s="13"/>
      <c r="B16" s="13" t="s">
        <v>37</v>
      </c>
      <c r="C16" s="536">
        <f>SUM('By Neighborhood'!C16,'By Neighborhood'!C27,'By Neighborhood'!C38,'By Neighborhood'!C49)</f>
        <v>12</v>
      </c>
      <c r="D16" s="109">
        <f>SUM('By Neighborhood'!D16,'By Neighborhood'!D27,'By Neighborhood'!D38,'By Neighborhood'!D49)</f>
        <v>6</v>
      </c>
      <c r="E16" s="504">
        <f>SUM('By Neighborhood'!E16,'By Neighborhood'!E27,'By Neighborhood'!E38,'By Neighborhood'!E49)</f>
        <v>5</v>
      </c>
      <c r="F16" s="504">
        <f>SUM('By Neighborhood'!F16,'By Neighborhood'!F27,'By Neighborhood'!F38,'By Neighborhood'!F49)</f>
        <v>4</v>
      </c>
      <c r="G16" s="504">
        <f>SUM('By Neighborhood'!G16,'By Neighborhood'!G27,'By Neighborhood'!G38,'By Neighborhood'!G49)</f>
        <v>4</v>
      </c>
      <c r="H16" s="504">
        <f>SUM('By Neighborhood'!H16,'By Neighborhood'!H27,'By Neighborhood'!H38,'By Neighborhood'!H49)</f>
        <v>4</v>
      </c>
      <c r="I16" s="504">
        <f>SUM('By Neighborhood'!I16,'By Neighborhood'!I27,'By Neighborhood'!I38,'By Neighborhood'!I49)</f>
        <v>4</v>
      </c>
      <c r="J16" s="504">
        <f>SUM('By Neighborhood'!J16,'By Neighborhood'!J27,'By Neighborhood'!J38,'By Neighborhood'!J49)</f>
        <v>4</v>
      </c>
      <c r="K16" s="504">
        <f>SUM('By Neighborhood'!K16,'By Neighborhood'!K27,'By Neighborhood'!K38,'By Neighborhood'!K49)</f>
        <v>4</v>
      </c>
      <c r="L16" s="504">
        <f>SUM('By Neighborhood'!L16,'By Neighborhood'!L27,'By Neighborhood'!L38,'By Neighborhood'!L49)</f>
        <v>4</v>
      </c>
      <c r="M16" s="110">
        <f>SUM('By Neighborhood'!M16,'By Neighborhood'!M27,'By Neighborhood'!M38,'By Neighborhood'!M49)</f>
        <v>4</v>
      </c>
      <c r="N16" s="109">
        <f t="shared" si="0"/>
        <v>4</v>
      </c>
      <c r="O16" s="504">
        <f t="shared" si="1"/>
        <v>8</v>
      </c>
      <c r="P16" s="107">
        <f t="shared" si="2"/>
        <v>0.66666666666666663</v>
      </c>
      <c r="Q16" s="504"/>
    </row>
    <row r="17" spans="1:19" ht="11.25" customHeight="1">
      <c r="A17" s="2"/>
      <c r="B17" s="3" t="s">
        <v>38</v>
      </c>
      <c r="C17" s="537">
        <f t="shared" ref="C17:M17" si="3">SUM(C7:C16)</f>
        <v>786</v>
      </c>
      <c r="D17" s="18">
        <f t="shared" si="3"/>
        <v>363</v>
      </c>
      <c r="E17" s="19">
        <f t="shared" si="3"/>
        <v>331</v>
      </c>
      <c r="F17" s="19">
        <f t="shared" si="3"/>
        <v>294</v>
      </c>
      <c r="G17" s="19">
        <f t="shared" si="3"/>
        <v>261</v>
      </c>
      <c r="H17" s="19">
        <f t="shared" si="3"/>
        <v>247</v>
      </c>
      <c r="I17" s="19">
        <f t="shared" si="3"/>
        <v>262</v>
      </c>
      <c r="J17" s="19">
        <f t="shared" si="3"/>
        <v>284</v>
      </c>
      <c r="K17" s="19">
        <f t="shared" si="3"/>
        <v>299</v>
      </c>
      <c r="L17" s="19">
        <f t="shared" si="3"/>
        <v>322</v>
      </c>
      <c r="M17" s="20">
        <f t="shared" si="3"/>
        <v>342</v>
      </c>
      <c r="N17" s="21">
        <f t="shared" si="0"/>
        <v>247</v>
      </c>
      <c r="O17" s="71">
        <f t="shared" si="1"/>
        <v>539</v>
      </c>
      <c r="P17" s="7">
        <f t="shared" si="2"/>
        <v>0.68575063613231557</v>
      </c>
      <c r="Q17" s="504"/>
    </row>
    <row r="18" spans="1:19" ht="11.25" customHeight="1">
      <c r="A18" s="43" t="s">
        <v>52</v>
      </c>
      <c r="B18" s="13" t="s">
        <v>23</v>
      </c>
      <c r="C18" s="530">
        <f>SUM('By Neighborhood'!C62+'By Neighborhood'!C75+'By Neighborhood'!C88+'By Neighborhood'!C99+'By Neighborhood'!C111+'By Neighborhood'!C134+'By Neighborhood'!C146+'By Neighborhood'!C157+'By Neighborhood'!C169+'By Neighborhood'!C181)</f>
        <v>1427</v>
      </c>
      <c r="D18" s="540">
        <f ca="1">SUM('By Neighborhood'!D62+'By Neighborhood'!D75+'By Neighborhood'!D88+'By Neighborhood'!D99+'By Neighborhood'!D111+'By Neighborhood'!D134+'By Neighborhood'!D146+'By Neighborhood'!D157+'By Neighborhood'!D169+'By Neighborhood'!D181)</f>
        <v>900</v>
      </c>
      <c r="E18" s="541">
        <f ca="1">SUM('By Neighborhood'!E62+'By Neighborhood'!E75+'By Neighborhood'!E88+'By Neighborhood'!E99+'By Neighborhood'!E111+'By Neighborhood'!E134+'By Neighborhood'!E146+'By Neighborhood'!E157+'By Neighborhood'!E169+'By Neighborhood'!E181)</f>
        <v>753</v>
      </c>
      <c r="F18" s="541">
        <f ca="1">SUM('By Neighborhood'!F62+'By Neighborhood'!F75+'By Neighborhood'!F88+'By Neighborhood'!F99+'By Neighborhood'!F111+'By Neighborhood'!F134+'By Neighborhood'!F146+'By Neighborhood'!F157+'By Neighborhood'!F169+'By Neighborhood'!F181)</f>
        <v>600</v>
      </c>
      <c r="G18" s="541">
        <f ca="1">SUM('By Neighborhood'!G62+'By Neighborhood'!G75+'By Neighborhood'!G88+'By Neighborhood'!G99+'By Neighborhood'!G111+'By Neighborhood'!G134+'By Neighborhood'!G146+'By Neighborhood'!G157+'By Neighborhood'!G169+'By Neighborhood'!G181)</f>
        <v>575</v>
      </c>
      <c r="H18" s="541">
        <f ca="1">SUM('By Neighborhood'!H62+'By Neighborhood'!H75+'By Neighborhood'!H88+'By Neighborhood'!H99+'By Neighborhood'!H111+'By Neighborhood'!H134+'By Neighborhood'!H146+'By Neighborhood'!H157+'By Neighborhood'!H169+'By Neighborhood'!H181)</f>
        <v>582</v>
      </c>
      <c r="I18" s="541">
        <f ca="1">SUM('By Neighborhood'!I62+'By Neighborhood'!I75+'By Neighborhood'!I88+'By Neighborhood'!I99+'By Neighborhood'!I111+'By Neighborhood'!I134+'By Neighborhood'!I146+'By Neighborhood'!I157+'By Neighborhood'!I169+'By Neighborhood'!I181)</f>
        <v>573</v>
      </c>
      <c r="J18" s="541">
        <f ca="1">SUM('By Neighborhood'!J62+'By Neighborhood'!J75+'By Neighborhood'!J88+'By Neighborhood'!J99+'By Neighborhood'!J111+'By Neighborhood'!J134+'By Neighborhood'!J146+'By Neighborhood'!J157+'By Neighborhood'!J169+'By Neighborhood'!J181)</f>
        <v>595</v>
      </c>
      <c r="K18" s="541">
        <f ca="1">SUM('By Neighborhood'!K62+'By Neighborhood'!K75+'By Neighborhood'!K88+'By Neighborhood'!K99+'By Neighborhood'!K111+'By Neighborhood'!K134+'By Neighborhood'!K146+'By Neighborhood'!K157+'By Neighborhood'!K169+'By Neighborhood'!K181)</f>
        <v>607</v>
      </c>
      <c r="L18" s="541">
        <f ca="1">SUM('By Neighborhood'!L62+'By Neighborhood'!L75+'By Neighborhood'!L88+'By Neighborhood'!L99+'By Neighborhood'!L111+'By Neighborhood'!L134+'By Neighborhood'!L146+'By Neighborhood'!L157+'By Neighborhood'!L169+'By Neighborhood'!L181)</f>
        <v>655</v>
      </c>
      <c r="M18" s="542">
        <f ca="1">SUM('By Neighborhood'!M62+'By Neighborhood'!M75+'By Neighborhood'!M88+'By Neighborhood'!M99+'By Neighborhood'!M111+'By Neighborhood'!M134+'By Neighborhood'!M146+'By Neighborhood'!M157+'By Neighborhood'!M169+'By Neighborhood'!M181)</f>
        <v>720</v>
      </c>
      <c r="N18" s="531">
        <f t="shared" ca="1" si="0"/>
        <v>573</v>
      </c>
      <c r="O18" s="531">
        <f t="shared" ca="1" si="1"/>
        <v>854</v>
      </c>
      <c r="P18" s="107">
        <f t="shared" ca="1" si="2"/>
        <v>0.59845830413454804</v>
      </c>
      <c r="Q18" s="504"/>
    </row>
    <row r="19" spans="1:19" ht="11.25" customHeight="1">
      <c r="A19" s="13" t="s">
        <v>42</v>
      </c>
      <c r="B19" s="13" t="s">
        <v>53</v>
      </c>
      <c r="C19" s="530">
        <f>SUM('By Neighborhood'!C64,'By Neighborhood'!C170)</f>
        <v>60</v>
      </c>
      <c r="D19" s="530">
        <f>SUM('By Neighborhood'!D64,'By Neighborhood'!D170)</f>
        <v>51</v>
      </c>
      <c r="E19" s="531">
        <f>SUM('By Neighborhood'!E64,'By Neighborhood'!E170)</f>
        <v>50</v>
      </c>
      <c r="F19" s="531">
        <f>SUM('By Neighborhood'!F64,'By Neighborhood'!F170)</f>
        <v>39</v>
      </c>
      <c r="G19" s="531">
        <f>SUM('By Neighborhood'!G64,'By Neighborhood'!G170)</f>
        <v>25</v>
      </c>
      <c r="H19" s="531">
        <f>SUM('By Neighborhood'!H64,'By Neighborhood'!H170)</f>
        <v>21</v>
      </c>
      <c r="I19" s="531">
        <f>SUM('By Neighborhood'!I64,'By Neighborhood'!I170)</f>
        <v>19</v>
      </c>
      <c r="J19" s="531">
        <f>SUM('By Neighborhood'!J64,'By Neighborhood'!J170)</f>
        <v>22</v>
      </c>
      <c r="K19" s="531">
        <f>SUM('By Neighborhood'!K64,'By Neighborhood'!K170)</f>
        <v>25</v>
      </c>
      <c r="L19" s="531">
        <f>SUM('By Neighborhood'!L64,'By Neighborhood'!L170)</f>
        <v>39</v>
      </c>
      <c r="M19" s="532">
        <f>SUM('By Neighborhood'!M64,'By Neighborhood'!M170)</f>
        <v>50</v>
      </c>
      <c r="N19" s="531">
        <f t="shared" si="0"/>
        <v>19</v>
      </c>
      <c r="O19" s="531">
        <f t="shared" si="1"/>
        <v>41</v>
      </c>
      <c r="P19" s="107">
        <f t="shared" si="2"/>
        <v>0.68333333333333335</v>
      </c>
      <c r="Q19" s="504"/>
    </row>
    <row r="20" spans="1:19" ht="11.25" customHeight="1">
      <c r="A20" s="13"/>
      <c r="B20" s="13" t="s">
        <v>54</v>
      </c>
      <c r="C20" s="530">
        <f>'By Neighborhood'!C77</f>
        <v>20</v>
      </c>
      <c r="D20" s="530">
        <f>'By Neighborhood'!D77</f>
        <v>20</v>
      </c>
      <c r="E20" s="531">
        <f>'By Neighborhood'!E77</f>
        <v>18</v>
      </c>
      <c r="F20" s="531">
        <f>'By Neighborhood'!F77</f>
        <v>17</v>
      </c>
      <c r="G20" s="531">
        <f>'By Neighborhood'!G77</f>
        <v>20</v>
      </c>
      <c r="H20" s="531">
        <f>'By Neighborhood'!H77</f>
        <v>19</v>
      </c>
      <c r="I20" s="531">
        <f>'By Neighborhood'!I77</f>
        <v>19</v>
      </c>
      <c r="J20" s="531">
        <f>'By Neighborhood'!J77</f>
        <v>19</v>
      </c>
      <c r="K20" s="531">
        <f>'By Neighborhood'!K77</f>
        <v>19</v>
      </c>
      <c r="L20" s="531">
        <f>'By Neighborhood'!L77</f>
        <v>19</v>
      </c>
      <c r="M20" s="532">
        <f>'By Neighborhood'!M77</f>
        <v>19</v>
      </c>
      <c r="N20" s="531">
        <f t="shared" si="0"/>
        <v>17</v>
      </c>
      <c r="O20" s="531">
        <f t="shared" si="1"/>
        <v>3</v>
      </c>
      <c r="P20" s="107">
        <f t="shared" si="2"/>
        <v>0.15</v>
      </c>
      <c r="Q20" s="504"/>
    </row>
    <row r="21" spans="1:19" ht="11.25" customHeight="1">
      <c r="A21" s="13"/>
      <c r="B21" s="13" t="s">
        <v>55</v>
      </c>
      <c r="C21" s="530">
        <f>'By Neighborhood'!C135</f>
        <v>8</v>
      </c>
      <c r="D21" s="530">
        <f>'By Neighborhood'!D135</f>
        <v>0</v>
      </c>
      <c r="E21" s="531">
        <f>'By Neighborhood'!E135</f>
        <v>0</v>
      </c>
      <c r="F21" s="531">
        <f>'By Neighborhood'!F135</f>
        <v>0</v>
      </c>
      <c r="G21" s="531">
        <f>'By Neighborhood'!G135</f>
        <v>0</v>
      </c>
      <c r="H21" s="531">
        <f>'By Neighborhood'!H135</f>
        <v>1</v>
      </c>
      <c r="I21" s="531">
        <f>'By Neighborhood'!I135</f>
        <v>0</v>
      </c>
      <c r="J21" s="531">
        <f>'By Neighborhood'!J135</f>
        <v>1</v>
      </c>
      <c r="K21" s="531">
        <f>'By Neighborhood'!K135</f>
        <v>1</v>
      </c>
      <c r="L21" s="531">
        <f>'By Neighborhood'!L135</f>
        <v>3</v>
      </c>
      <c r="M21" s="532">
        <f>'By Neighborhood'!M135</f>
        <v>3</v>
      </c>
      <c r="N21" s="531">
        <f t="shared" si="0"/>
        <v>0</v>
      </c>
      <c r="O21" s="531">
        <f t="shared" si="1"/>
        <v>8</v>
      </c>
      <c r="P21" s="107">
        <f t="shared" si="2"/>
        <v>1</v>
      </c>
      <c r="Q21" s="504"/>
    </row>
    <row r="22" spans="1:19" ht="11.25" customHeight="1">
      <c r="A22" s="13"/>
      <c r="B22" s="13" t="s">
        <v>56</v>
      </c>
      <c r="C22" s="530">
        <f>SUM('By Neighborhood'!C63,'By Neighborhood'!C76,'By Neighborhood'!C158)</f>
        <v>71</v>
      </c>
      <c r="D22" s="530">
        <f>SUM('By Neighborhood'!D63,'By Neighborhood'!D76,'By Neighborhood'!D158)</f>
        <v>48</v>
      </c>
      <c r="E22" s="531">
        <f>SUM('By Neighborhood'!E63,'By Neighborhood'!E76,'By Neighborhood'!E158)</f>
        <v>42</v>
      </c>
      <c r="F22" s="531">
        <f>SUM('By Neighborhood'!F63,'By Neighborhood'!F76,'By Neighborhood'!F158)</f>
        <v>36</v>
      </c>
      <c r="G22" s="531">
        <f>SUM('By Neighborhood'!G63,'By Neighborhood'!G76,'By Neighborhood'!G158)</f>
        <v>28</v>
      </c>
      <c r="H22" s="531">
        <f>SUM('By Neighborhood'!H63,'By Neighborhood'!H76,'By Neighborhood'!H158)</f>
        <v>39</v>
      </c>
      <c r="I22" s="531">
        <f>SUM('By Neighborhood'!I63,'By Neighborhood'!I76,'By Neighborhood'!I158)</f>
        <v>39</v>
      </c>
      <c r="J22" s="531">
        <f>SUM('By Neighborhood'!J63,'By Neighborhood'!J76,'By Neighborhood'!J158)</f>
        <v>29</v>
      </c>
      <c r="K22" s="531">
        <f>SUM('By Neighborhood'!K63,'By Neighborhood'!K76,'By Neighborhood'!K158)</f>
        <v>27</v>
      </c>
      <c r="L22" s="531">
        <f>SUM('By Neighborhood'!L63,'By Neighborhood'!L76,'By Neighborhood'!L158)</f>
        <v>33</v>
      </c>
      <c r="M22" s="532">
        <f>SUM('By Neighborhood'!M63,'By Neighborhood'!M76,'By Neighborhood'!M158)</f>
        <v>31</v>
      </c>
      <c r="N22" s="531">
        <f t="shared" si="0"/>
        <v>27</v>
      </c>
      <c r="O22" s="531">
        <f t="shared" si="1"/>
        <v>44</v>
      </c>
      <c r="P22" s="107">
        <f t="shared" si="2"/>
        <v>0.61971830985915488</v>
      </c>
      <c r="Q22" s="504"/>
    </row>
    <row r="23" spans="1:19" ht="11.25" customHeight="1">
      <c r="A23" s="13"/>
      <c r="B23" s="13" t="s">
        <v>25</v>
      </c>
      <c r="C23" s="530">
        <f>SUM('By Neighborhood'!C65+'By Neighborhood'!C78+'By Neighborhood'!C89+'By Neighborhood'!C100+'By Neighborhood'!C112+'By Neighborhood'!C123+'By Neighborhood'!C136+'By Neighborhood'!C147+'By Neighborhood'!C159+'By Neighborhood'!C171+'By Neighborhood'!C182)</f>
        <v>3107</v>
      </c>
      <c r="D23" s="530">
        <f ca="1">SUM('By Neighborhood'!D65+'By Neighborhood'!D78+'By Neighborhood'!D89+'By Neighborhood'!D100+'By Neighborhood'!D112+'By Neighborhood'!D123+'By Neighborhood'!D136+'By Neighborhood'!D147+'By Neighborhood'!D159+'By Neighborhood'!D171+'By Neighborhood'!D182)</f>
        <v>1181</v>
      </c>
      <c r="E23" s="531">
        <f ca="1">SUM('By Neighborhood'!E65+'By Neighborhood'!E78+'By Neighborhood'!E89+'By Neighborhood'!E100+'By Neighborhood'!E112+'By Neighborhood'!E123+'By Neighborhood'!E136+'By Neighborhood'!E147+'By Neighborhood'!E159+'By Neighborhood'!E171+'By Neighborhood'!E182)</f>
        <v>1045</v>
      </c>
      <c r="F23" s="531">
        <f ca="1">SUM('By Neighborhood'!F65+'By Neighborhood'!F78+'By Neighborhood'!F89+'By Neighborhood'!F100+'By Neighborhood'!F112+'By Neighborhood'!F123+'By Neighborhood'!F136+'By Neighborhood'!F147+'By Neighborhood'!F159+'By Neighborhood'!F171+'By Neighborhood'!F182)</f>
        <v>897</v>
      </c>
      <c r="G23" s="531">
        <f ca="1">SUM('By Neighborhood'!G65+'By Neighborhood'!G78+'By Neighborhood'!G89+'By Neighborhood'!G100+'By Neighborhood'!G112+'By Neighborhood'!G123+'By Neighborhood'!G136+'By Neighborhood'!G147+'By Neighborhood'!G159+'By Neighborhood'!G171+'By Neighborhood'!G182)</f>
        <v>822</v>
      </c>
      <c r="H23" s="531">
        <f ca="1">SUM('By Neighborhood'!H65+'By Neighborhood'!H78+'By Neighborhood'!H89+'By Neighborhood'!H100+'By Neighborhood'!H112+'By Neighborhood'!H123+'By Neighborhood'!H136+'By Neighborhood'!H147+'By Neighborhood'!H159+'By Neighborhood'!H171+'By Neighborhood'!H182)</f>
        <v>797</v>
      </c>
      <c r="I23" s="531">
        <f ca="1">SUM('By Neighborhood'!I65+'By Neighborhood'!I78+'By Neighborhood'!I89+'By Neighborhood'!I100+'By Neighborhood'!I112+'By Neighborhood'!I123+'By Neighborhood'!I136+'By Neighborhood'!I147+'By Neighborhood'!I159+'By Neighborhood'!I171+'By Neighborhood'!I182)</f>
        <v>809</v>
      </c>
      <c r="J23" s="531">
        <f ca="1">SUM('By Neighborhood'!J65+'By Neighborhood'!J78+'By Neighborhood'!J89+'By Neighborhood'!J100+'By Neighborhood'!J112+'By Neighborhood'!J123+'By Neighborhood'!J136+'By Neighborhood'!J147+'By Neighborhood'!J159+'By Neighborhood'!J171+'By Neighborhood'!J182)</f>
        <v>790</v>
      </c>
      <c r="K23" s="531">
        <f ca="1">SUM('By Neighborhood'!K65+'By Neighborhood'!K78+'By Neighborhood'!K89+'By Neighborhood'!K100+'By Neighborhood'!K112+'By Neighborhood'!K123+'By Neighborhood'!K136+'By Neighborhood'!K147+'By Neighborhood'!K159+'By Neighborhood'!K171+'By Neighborhood'!K182)</f>
        <v>894</v>
      </c>
      <c r="L23" s="531">
        <f ca="1">SUM('By Neighborhood'!L65+'By Neighborhood'!L78+'By Neighborhood'!L89+'By Neighborhood'!L100+'By Neighborhood'!L112+'By Neighborhood'!L123+'By Neighborhood'!L136+'By Neighborhood'!L147+'By Neighborhood'!L159+'By Neighborhood'!L171+'By Neighborhood'!L182)</f>
        <v>1018</v>
      </c>
      <c r="M23" s="532">
        <f ca="1">SUM('By Neighborhood'!M65+'By Neighborhood'!M78+'By Neighborhood'!M89+'By Neighborhood'!M100+'By Neighborhood'!M112+'By Neighborhood'!M123+'By Neighborhood'!M136+'By Neighborhood'!M147+'By Neighborhood'!M159+'By Neighborhood'!M171+'By Neighborhood'!M182)</f>
        <v>1102</v>
      </c>
      <c r="N23" s="531">
        <f t="shared" ca="1" si="0"/>
        <v>790</v>
      </c>
      <c r="O23" s="531">
        <f t="shared" ca="1" si="1"/>
        <v>2317</v>
      </c>
      <c r="P23" s="107">
        <f t="shared" ca="1" si="2"/>
        <v>0.7457354361120051</v>
      </c>
      <c r="Q23" s="504"/>
      <c r="R23" s="552"/>
      <c r="S23" s="552"/>
    </row>
    <row r="24" spans="1:19" ht="11.25" customHeight="1">
      <c r="A24" s="13"/>
      <c r="B24" s="13" t="s">
        <v>27</v>
      </c>
      <c r="C24" s="530">
        <f>SUM('By Neighborhood'!C66+'By Neighborhood'!C101+'By Neighborhood'!C124+'By Neighborhood'!C137+'By Neighborhood'!C160+'By Neighborhood'!C172)</f>
        <v>961</v>
      </c>
      <c r="D24" s="530">
        <f>SUM('By Neighborhood'!D66+'By Neighborhood'!D101+'By Neighborhood'!D124+'By Neighborhood'!D137+'By Neighborhood'!D160+'By Neighborhood'!D172)</f>
        <v>592</v>
      </c>
      <c r="E24" s="531">
        <f>SUM('By Neighborhood'!E66+'By Neighborhood'!E101+'By Neighborhood'!E124+'By Neighborhood'!E137+'By Neighborhood'!E160+'By Neighborhood'!E172)</f>
        <v>585</v>
      </c>
      <c r="F24" s="531">
        <f>SUM('By Neighborhood'!F66+'By Neighborhood'!F101+'By Neighborhood'!F124+'By Neighborhood'!F137+'By Neighborhood'!F160+'By Neighborhood'!F172)</f>
        <v>516</v>
      </c>
      <c r="G24" s="531">
        <f>SUM('By Neighborhood'!G66+'By Neighborhood'!G101+'By Neighborhood'!G124+'By Neighborhood'!G137+'By Neighborhood'!G160+'By Neighborhood'!G172)</f>
        <v>516</v>
      </c>
      <c r="H24" s="531">
        <f>SUM('By Neighborhood'!H66+'By Neighborhood'!H101+'By Neighborhood'!H124+'By Neighborhood'!H137+'By Neighborhood'!H160+'By Neighborhood'!H172)</f>
        <v>515</v>
      </c>
      <c r="I24" s="531">
        <f>SUM('By Neighborhood'!I66+'By Neighborhood'!I101+'By Neighborhood'!I124+'By Neighborhood'!I137+'By Neighborhood'!I160+'By Neighborhood'!I172)</f>
        <v>521</v>
      </c>
      <c r="J24" s="531">
        <f>SUM('By Neighborhood'!J66+'By Neighborhood'!J101+'By Neighborhood'!J124+'By Neighborhood'!J137+'By Neighborhood'!J160+'By Neighborhood'!J172)</f>
        <v>517</v>
      </c>
      <c r="K24" s="531">
        <f>SUM('By Neighborhood'!K66+'By Neighborhood'!K101+'By Neighborhood'!K124+'By Neighborhood'!K137+'By Neighborhood'!K160+'By Neighborhood'!K172)</f>
        <v>531</v>
      </c>
      <c r="L24" s="531">
        <f>SUM('By Neighborhood'!L66+'By Neighborhood'!L101+'By Neighborhood'!L124+'By Neighborhood'!L137+'By Neighborhood'!L160+'By Neighborhood'!L172)</f>
        <v>559</v>
      </c>
      <c r="M24" s="532">
        <f>SUM('By Neighborhood'!M66+'By Neighborhood'!M101+'By Neighborhood'!M124+'By Neighborhood'!M137+'By Neighborhood'!M160+'By Neighborhood'!M172)</f>
        <v>576</v>
      </c>
      <c r="N24" s="531">
        <f t="shared" si="0"/>
        <v>515</v>
      </c>
      <c r="O24" s="531">
        <f t="shared" si="1"/>
        <v>446</v>
      </c>
      <c r="P24" s="107">
        <f t="shared" si="2"/>
        <v>0.46409989594172735</v>
      </c>
      <c r="Q24" s="504"/>
      <c r="R24" s="552"/>
      <c r="S24" s="552"/>
    </row>
    <row r="25" spans="1:19" ht="11.25" customHeight="1">
      <c r="A25" s="13"/>
      <c r="B25" s="13" t="s">
        <v>29</v>
      </c>
      <c r="C25" s="530">
        <f>'By Neighborhood'!C102</f>
        <v>228</v>
      </c>
      <c r="D25" s="530">
        <f>'By Neighborhood'!D102</f>
        <v>190</v>
      </c>
      <c r="E25" s="531">
        <f>'By Neighborhood'!E102</f>
        <v>183</v>
      </c>
      <c r="F25" s="531">
        <f>'By Neighborhood'!F102</f>
        <v>176</v>
      </c>
      <c r="G25" s="531">
        <f>'By Neighborhood'!G102</f>
        <v>168</v>
      </c>
      <c r="H25" s="531">
        <f>'By Neighborhood'!H102</f>
        <v>161</v>
      </c>
      <c r="I25" s="531">
        <f>'By Neighborhood'!I102</f>
        <v>158</v>
      </c>
      <c r="J25" s="531">
        <f>'By Neighborhood'!J102</f>
        <v>157</v>
      </c>
      <c r="K25" s="531">
        <f>'By Neighborhood'!K102</f>
        <v>153</v>
      </c>
      <c r="L25" s="531">
        <f>'By Neighborhood'!L102</f>
        <v>159</v>
      </c>
      <c r="M25" s="532">
        <f>'By Neighborhood'!M102</f>
        <v>164</v>
      </c>
      <c r="N25" s="531">
        <f t="shared" si="0"/>
        <v>153</v>
      </c>
      <c r="O25" s="531">
        <f t="shared" si="1"/>
        <v>75</v>
      </c>
      <c r="P25" s="107">
        <f t="shared" si="2"/>
        <v>0.32894736842105265</v>
      </c>
      <c r="Q25" s="504"/>
      <c r="R25" s="552"/>
      <c r="S25" s="552"/>
    </row>
    <row r="26" spans="1:19" ht="11.25" customHeight="1">
      <c r="A26" s="13"/>
      <c r="B26" s="13" t="s">
        <v>43</v>
      </c>
      <c r="C26" s="530">
        <f>SUM('By Neighborhood'!C125)</f>
        <v>398</v>
      </c>
      <c r="D26" s="530">
        <f>'By Neighborhood'!D125</f>
        <v>396</v>
      </c>
      <c r="E26" s="531">
        <f>'By Neighborhood'!E125</f>
        <v>396</v>
      </c>
      <c r="F26" s="531">
        <f>'By Neighborhood'!F125</f>
        <v>396</v>
      </c>
      <c r="G26" s="531">
        <f>'By Neighborhood'!G125</f>
        <v>396</v>
      </c>
      <c r="H26" s="531">
        <f>'By Neighborhood'!H125</f>
        <v>395</v>
      </c>
      <c r="I26" s="531">
        <f>'By Neighborhood'!I125</f>
        <v>393</v>
      </c>
      <c r="J26" s="531">
        <f>'By Neighborhood'!J125</f>
        <v>395</v>
      </c>
      <c r="K26" s="531">
        <f>'By Neighborhood'!K125</f>
        <v>388</v>
      </c>
      <c r="L26" s="531">
        <f>'By Neighborhood'!L125</f>
        <v>387</v>
      </c>
      <c r="M26" s="532">
        <f>'By Neighborhood'!M125</f>
        <v>397</v>
      </c>
      <c r="N26" s="531">
        <f t="shared" si="0"/>
        <v>387</v>
      </c>
      <c r="O26" s="531">
        <f t="shared" si="1"/>
        <v>11</v>
      </c>
      <c r="P26" s="107">
        <f t="shared" si="2"/>
        <v>2.7638190954773871E-2</v>
      </c>
      <c r="Q26" s="504"/>
      <c r="R26" s="552"/>
      <c r="S26" s="552"/>
    </row>
    <row r="27" spans="1:19" ht="11.25" customHeight="1">
      <c r="A27" s="13"/>
      <c r="B27" s="13" t="s">
        <v>31</v>
      </c>
      <c r="C27" s="530">
        <f>SUM('By Neighborhood'!C67+'By Neighborhood'!C80+'By Neighborhood'!C91+'By Neighborhood'!C103+'By Neighborhood'!C114+'By Neighborhood'!C126+'By Neighborhood'!C138+'By Neighborhood'!C149+'By Neighborhood'!C161+'By Neighborhood'!C173+'By Neighborhood'!C184)</f>
        <v>911</v>
      </c>
      <c r="D27" s="530">
        <f ca="1">SUM('By Neighborhood'!D67+'By Neighborhood'!D80+'By Neighborhood'!D91+'By Neighborhood'!D103+'By Neighborhood'!D114+'By Neighborhood'!D126+'By Neighborhood'!D138+'By Neighborhood'!D149+'By Neighborhood'!D161+'By Neighborhood'!D173+'By Neighborhood'!D184)</f>
        <v>434</v>
      </c>
      <c r="E27" s="531">
        <f ca="1">SUM('By Neighborhood'!E67+'By Neighborhood'!E80+'By Neighborhood'!E91+'By Neighborhood'!E103+'By Neighborhood'!E114+'By Neighborhood'!E126+'By Neighborhood'!E138+'By Neighborhood'!E149+'By Neighborhood'!E161+'By Neighborhood'!E173+'By Neighborhood'!E184)</f>
        <v>315</v>
      </c>
      <c r="F27" s="531">
        <f ca="1">SUM('By Neighborhood'!F67+'By Neighborhood'!F80+'By Neighborhood'!F91+'By Neighborhood'!F103+'By Neighborhood'!F114+'By Neighborhood'!F126+'By Neighborhood'!F138+'By Neighborhood'!F149+'By Neighborhood'!F161+'By Neighborhood'!F173+'By Neighborhood'!F184)</f>
        <v>251</v>
      </c>
      <c r="G27" s="531">
        <f ca="1">SUM('By Neighborhood'!G67+'By Neighborhood'!G80+'By Neighborhood'!G91+'By Neighborhood'!G103+'By Neighborhood'!G114+'By Neighborhood'!G126+'By Neighborhood'!G138+'By Neighborhood'!G149+'By Neighborhood'!G161+'By Neighborhood'!G173+'By Neighborhood'!G184)</f>
        <v>234</v>
      </c>
      <c r="H27" s="531">
        <f ca="1">SUM('By Neighborhood'!H67+'By Neighborhood'!H80+'By Neighborhood'!H91+'By Neighborhood'!H103+'By Neighborhood'!H114+'By Neighborhood'!H126+'By Neighborhood'!H138+'By Neighborhood'!H149+'By Neighborhood'!H161+'By Neighborhood'!H173+'By Neighborhood'!H184)</f>
        <v>243</v>
      </c>
      <c r="I27" s="531">
        <f ca="1">SUM('By Neighborhood'!I67+'By Neighborhood'!I80+'By Neighborhood'!I91+'By Neighborhood'!I103+'By Neighborhood'!I114+'By Neighborhood'!I126+'By Neighborhood'!I138+'By Neighborhood'!I149+'By Neighborhood'!I161+'By Neighborhood'!I173+'By Neighborhood'!I184)</f>
        <v>232</v>
      </c>
      <c r="J27" s="531">
        <f ca="1">SUM('By Neighborhood'!J67+'By Neighborhood'!J80+'By Neighborhood'!J91+'By Neighborhood'!J103+'By Neighborhood'!J114+'By Neighborhood'!J126+'By Neighborhood'!J138+'By Neighborhood'!J149+'By Neighborhood'!J161+'By Neighborhood'!J173+'By Neighborhood'!J184)</f>
        <v>236</v>
      </c>
      <c r="K27" s="531">
        <f ca="1">SUM('By Neighborhood'!K67+'By Neighborhood'!K80+'By Neighborhood'!K91+'By Neighborhood'!K103+'By Neighborhood'!K114+'By Neighborhood'!K126+'By Neighborhood'!K138+'By Neighborhood'!K149+'By Neighborhood'!K161+'By Neighborhood'!K173+'By Neighborhood'!K184)</f>
        <v>308</v>
      </c>
      <c r="L27" s="531">
        <f ca="1">SUM('By Neighborhood'!L67+'By Neighborhood'!L80+'By Neighborhood'!L91+'By Neighborhood'!L103+'By Neighborhood'!L114+'By Neighborhood'!L126+'By Neighborhood'!L138+'By Neighborhood'!L149+'By Neighborhood'!L161+'By Neighborhood'!L173+'By Neighborhood'!L184)</f>
        <v>386</v>
      </c>
      <c r="M27" s="532">
        <f ca="1">SUM('By Neighborhood'!M67+'By Neighborhood'!M80+'By Neighborhood'!M91+'By Neighborhood'!M103+'By Neighborhood'!M114+'By Neighborhood'!M126+'By Neighborhood'!M138+'By Neighborhood'!M149+'By Neighborhood'!M161+'By Neighborhood'!M173+'By Neighborhood'!M184)</f>
        <v>393</v>
      </c>
      <c r="N27" s="531">
        <f t="shared" ca="1" si="0"/>
        <v>232</v>
      </c>
      <c r="O27" s="531">
        <f t="shared" ca="1" si="1"/>
        <v>679</v>
      </c>
      <c r="P27" s="107">
        <f t="shared" ca="1" si="2"/>
        <v>0.74533479692645443</v>
      </c>
      <c r="Q27" s="504"/>
      <c r="R27" s="552"/>
      <c r="S27" s="552"/>
    </row>
    <row r="28" spans="1:19" ht="11.25" customHeight="1">
      <c r="A28" s="13"/>
      <c r="B28" s="13" t="s">
        <v>32</v>
      </c>
      <c r="C28" s="530">
        <f>SUM('By Neighborhood'!C68+'By Neighborhood'!C81+'By Neighborhood'!C92+'By Neighborhood'!C104+'By Neighborhood'!C115+'By Neighborhood'!C127+'By Neighborhood'!C139+'By Neighborhood'!C150+'By Neighborhood'!C162+'By Neighborhood'!C174+'By Neighborhood'!C185)</f>
        <v>396</v>
      </c>
      <c r="D28" s="530">
        <f ca="1">SUM('By Neighborhood'!D68+'By Neighborhood'!D81+'By Neighborhood'!D92+'By Neighborhood'!D104+'By Neighborhood'!D115+'By Neighborhood'!D127+'By Neighborhood'!D139+'By Neighborhood'!D162+'By Neighborhood'!D174+'By Neighborhood'!D185)</f>
        <v>265</v>
      </c>
      <c r="E28" s="531">
        <f ca="1">SUM('By Neighborhood'!E68+'By Neighborhood'!E81+'By Neighborhood'!E92+'By Neighborhood'!E104+'By Neighborhood'!E115+'By Neighborhood'!E127+'By Neighborhood'!E139+'By Neighborhood'!E162+'By Neighborhood'!E174+'By Neighborhood'!E185)</f>
        <v>258</v>
      </c>
      <c r="F28" s="531">
        <f ca="1">SUM('By Neighborhood'!F68+'By Neighborhood'!F81+'By Neighborhood'!F92+'By Neighborhood'!F104+'By Neighborhood'!F115+'By Neighborhood'!F127+'By Neighborhood'!F139+'By Neighborhood'!F162+'By Neighborhood'!F174+'By Neighborhood'!F185)</f>
        <v>248</v>
      </c>
      <c r="G28" s="531">
        <f ca="1">SUM('By Neighborhood'!G68+'By Neighborhood'!G81+'By Neighborhood'!G92+'By Neighborhood'!G104+'By Neighborhood'!G115+'By Neighborhood'!G127+'By Neighborhood'!G139+'By Neighborhood'!G162+'By Neighborhood'!G174+'By Neighborhood'!G185)</f>
        <v>238</v>
      </c>
      <c r="H28" s="531">
        <f ca="1">SUM('By Neighborhood'!H68+'By Neighborhood'!H81+'By Neighborhood'!H92+'By Neighborhood'!H104+'By Neighborhood'!H115+'By Neighborhood'!H127+'By Neighborhood'!H139+'By Neighborhood'!H162+'By Neighborhood'!H174+'By Neighborhood'!H185)</f>
        <v>238</v>
      </c>
      <c r="I28" s="531">
        <f ca="1">SUM('By Neighborhood'!I68+'By Neighborhood'!I81+'By Neighborhood'!I92+'By Neighborhood'!I104+'By Neighborhood'!I115+'By Neighborhood'!I127+'By Neighborhood'!I139+'By Neighborhood'!I162+'By Neighborhood'!I174+'By Neighborhood'!I185)</f>
        <v>229</v>
      </c>
      <c r="J28" s="531">
        <f ca="1">SUM('By Neighborhood'!J68+'By Neighborhood'!J81+'By Neighborhood'!J92+'By Neighborhood'!J104+'By Neighborhood'!J115+'By Neighborhood'!J127+'By Neighborhood'!J139+'By Neighborhood'!J162+'By Neighborhood'!J174+'By Neighborhood'!J185)</f>
        <v>226</v>
      </c>
      <c r="K28" s="531">
        <f ca="1">SUM('By Neighborhood'!K68+'By Neighborhood'!K81+'By Neighborhood'!K92+'By Neighborhood'!K104+'By Neighborhood'!K115+'By Neighborhood'!K127+'By Neighborhood'!K139+'By Neighborhood'!K162+'By Neighborhood'!K174+'By Neighborhood'!K185)</f>
        <v>228</v>
      </c>
      <c r="L28" s="531">
        <f ca="1">SUM('By Neighborhood'!L68+'By Neighborhood'!L81+'By Neighborhood'!L92+'By Neighborhood'!L104+'By Neighborhood'!L115+'By Neighborhood'!L127+'By Neighborhood'!L139+'By Neighborhood'!L162+'By Neighborhood'!L174+'By Neighborhood'!L185)</f>
        <v>239</v>
      </c>
      <c r="M28" s="532">
        <f ca="1">SUM('By Neighborhood'!M68+'By Neighborhood'!M81+'By Neighborhood'!M92+'By Neighborhood'!M104+'By Neighborhood'!M115+'By Neighborhood'!M127+'By Neighborhood'!M139+'By Neighborhood'!M162+'By Neighborhood'!M174+'By Neighborhood'!M185)</f>
        <v>247</v>
      </c>
      <c r="N28" s="531">
        <f t="shared" ca="1" si="0"/>
        <v>226</v>
      </c>
      <c r="O28" s="531">
        <f t="shared" ca="1" si="1"/>
        <v>170</v>
      </c>
      <c r="P28" s="107">
        <f t="shared" ca="1" si="2"/>
        <v>0.42929292929292928</v>
      </c>
      <c r="Q28" s="504"/>
      <c r="R28" s="552"/>
      <c r="S28" s="552"/>
    </row>
    <row r="29" spans="1:19" ht="11.25" customHeight="1">
      <c r="A29" s="13"/>
      <c r="B29" s="13" t="s">
        <v>33</v>
      </c>
      <c r="C29" s="530">
        <f>SUM('By Neighborhood'!C56+'By Neighborhood'!C69+'By Neighborhood'!C82+'By Neighborhood'!C93+'By Neighborhood'!C105+'By Neighborhood'!C116+'By Neighborhood'!C128+'By Neighborhood'!C151+'By Neighborhood'!C163+'By Neighborhood'!C175+'By Neighborhood'!C186)</f>
        <v>1510</v>
      </c>
      <c r="D29" s="530">
        <f ca="1">SUM('By Neighborhood'!D56+'By Neighborhood'!D69+'By Neighborhood'!D82+'By Neighborhood'!D93+'By Neighborhood'!D105+'By Neighborhood'!D116+'By Neighborhood'!D128+'By Neighborhood'!D151+'By Neighborhood'!D163+'By Neighborhood'!D175+'By Neighborhood'!D186)</f>
        <v>1070</v>
      </c>
      <c r="E29" s="531">
        <f ca="1">SUM('By Neighborhood'!E56+'By Neighborhood'!E69+'By Neighborhood'!E82+'By Neighborhood'!E93+'By Neighborhood'!E105+'By Neighborhood'!E116+'By Neighborhood'!E128+'By Neighborhood'!E151+'By Neighborhood'!E163+'By Neighborhood'!E175+'By Neighborhood'!E186)</f>
        <v>1029</v>
      </c>
      <c r="F29" s="531">
        <f ca="1">SUM('By Neighborhood'!F56+'By Neighborhood'!F69+'By Neighborhood'!F82+'By Neighborhood'!F93+'By Neighborhood'!F105+'By Neighborhood'!F116+'By Neighborhood'!F128+'By Neighborhood'!F151+'By Neighborhood'!F163+'By Neighborhood'!F175+'By Neighborhood'!F186)</f>
        <v>967</v>
      </c>
      <c r="G29" s="531">
        <f ca="1">SUM('By Neighborhood'!G56+'By Neighborhood'!G69+'By Neighborhood'!G82+'By Neighborhood'!G93+'By Neighborhood'!G105+'By Neighborhood'!G116+'By Neighborhood'!G128+'By Neighborhood'!G151+'By Neighborhood'!G163+'By Neighborhood'!G175+'By Neighborhood'!G186)</f>
        <v>979</v>
      </c>
      <c r="H29" s="531">
        <f ca="1">SUM('By Neighborhood'!H56+'By Neighborhood'!H69+'By Neighborhood'!H82+'By Neighborhood'!H93+'By Neighborhood'!H105+'By Neighborhood'!H116+'By Neighborhood'!H128+'By Neighborhood'!H151+'By Neighborhood'!H163+'By Neighborhood'!H175+'By Neighborhood'!H186)</f>
        <v>975</v>
      </c>
      <c r="I29" s="531">
        <f ca="1">SUM('By Neighborhood'!I56+'By Neighborhood'!I69+'By Neighborhood'!I82+'By Neighborhood'!I93+'By Neighborhood'!I105+'By Neighborhood'!I116+'By Neighborhood'!I128+'By Neighborhood'!I151+'By Neighborhood'!I163+'By Neighborhood'!I175+'By Neighborhood'!I186)</f>
        <v>975</v>
      </c>
      <c r="J29" s="531">
        <f ca="1">SUM('By Neighborhood'!J56+'By Neighborhood'!J69+'By Neighborhood'!J82+'By Neighborhood'!J93+'By Neighborhood'!J105+'By Neighborhood'!J116+'By Neighborhood'!J128+'By Neighborhood'!J151+'By Neighborhood'!J163+'By Neighborhood'!J175+'By Neighborhood'!J186)</f>
        <v>986</v>
      </c>
      <c r="K29" s="531">
        <f ca="1">SUM('By Neighborhood'!K56+'By Neighborhood'!K69+'By Neighborhood'!K82+'By Neighborhood'!K93+'By Neighborhood'!K105+'By Neighborhood'!K116+'By Neighborhood'!K128+'By Neighborhood'!K151+'By Neighborhood'!K163+'By Neighborhood'!K175+'By Neighborhood'!K186)</f>
        <v>1022</v>
      </c>
      <c r="L29" s="531">
        <f ca="1">SUM('By Neighborhood'!L56+'By Neighborhood'!L69+'By Neighborhood'!L82+'By Neighborhood'!L93+'By Neighborhood'!L105+'By Neighborhood'!L116+'By Neighborhood'!L128+'By Neighborhood'!L151+'By Neighborhood'!L163+'By Neighborhood'!L175+'By Neighborhood'!L186)</f>
        <v>1056</v>
      </c>
      <c r="M29" s="532">
        <f ca="1">SUM('By Neighborhood'!M56+'By Neighborhood'!M69+'By Neighborhood'!M82+'By Neighborhood'!M93+'By Neighborhood'!M105+'By Neighborhood'!M116+'By Neighborhood'!M128+'By Neighborhood'!M151+'By Neighborhood'!M163+'By Neighborhood'!M175+'By Neighborhood'!M186)</f>
        <v>1111</v>
      </c>
      <c r="N29" s="531">
        <f t="shared" ca="1" si="0"/>
        <v>967</v>
      </c>
      <c r="O29" s="531">
        <f t="shared" ca="1" si="1"/>
        <v>543</v>
      </c>
      <c r="P29" s="107">
        <f t="shared" ca="1" si="2"/>
        <v>0.35960264900662253</v>
      </c>
      <c r="Q29" s="504"/>
      <c r="R29" s="552"/>
      <c r="S29" s="552"/>
    </row>
    <row r="30" spans="1:19" ht="11.25" customHeight="1">
      <c r="A30" s="13"/>
      <c r="B30" s="13" t="s">
        <v>34</v>
      </c>
      <c r="C30" s="530">
        <f>SUM('By Neighborhood'!C70+'By Neighborhood'!C83+'By Neighborhood'!C94+'By Neighborhood'!C106+'By Neighborhood'!C117+'By Neighborhood'!C129+'By Neighborhood'!C141+'By Neighborhood'!C152+'By Neighborhood'!C164+'By Neighborhood'!C176+'By Neighborhood'!C187)</f>
        <v>391</v>
      </c>
      <c r="D30" s="530">
        <f ca="1">SUM('By Neighborhood'!D70+'By Neighborhood'!D83+'By Neighborhood'!D94+'By Neighborhood'!D106+'By Neighborhood'!D117+'By Neighborhood'!D129+'By Neighborhood'!D141+'By Neighborhood'!D152+'By Neighborhood'!D164+'By Neighborhood'!D176+'By Neighborhood'!D187)</f>
        <v>261</v>
      </c>
      <c r="E30" s="531">
        <f ca="1">SUM('By Neighborhood'!E70+'By Neighborhood'!E83+'By Neighborhood'!E94+'By Neighborhood'!E106+'By Neighborhood'!E117+'By Neighborhood'!E129+'By Neighborhood'!E141+'By Neighborhood'!E152+'By Neighborhood'!E164+'By Neighborhood'!E176+'By Neighborhood'!E187)</f>
        <v>246</v>
      </c>
      <c r="F30" s="531">
        <f ca="1">SUM('By Neighborhood'!F70+'By Neighborhood'!F83+'By Neighborhood'!F94+'By Neighborhood'!F106+'By Neighborhood'!F117+'By Neighborhood'!F129+'By Neighborhood'!F141+'By Neighborhood'!F152+'By Neighborhood'!F164+'By Neighborhood'!F176+'By Neighborhood'!F187)</f>
        <v>235</v>
      </c>
      <c r="G30" s="531">
        <f ca="1">SUM('By Neighborhood'!G70+'By Neighborhood'!G83+'By Neighborhood'!G94+'By Neighborhood'!G106+'By Neighborhood'!G117+'By Neighborhood'!G129+'By Neighborhood'!G141+'By Neighborhood'!G152+'By Neighborhood'!G164+'By Neighborhood'!G176+'By Neighborhood'!G187)</f>
        <v>227</v>
      </c>
      <c r="H30" s="531">
        <f ca="1">SUM('By Neighborhood'!H70+'By Neighborhood'!H83+'By Neighborhood'!H94+'By Neighborhood'!H106+'By Neighborhood'!H117+'By Neighborhood'!H129+'By Neighborhood'!H141+'By Neighborhood'!H152+'By Neighborhood'!H164+'By Neighborhood'!H176+'By Neighborhood'!H187)</f>
        <v>230</v>
      </c>
      <c r="I30" s="531">
        <f ca="1">SUM('By Neighborhood'!I70+'By Neighborhood'!I83+'By Neighborhood'!I94+'By Neighborhood'!I106+'By Neighborhood'!I117+'By Neighborhood'!I129+'By Neighborhood'!I141+'By Neighborhood'!I152+'By Neighborhood'!I164+'By Neighborhood'!I176+'By Neighborhood'!I187)</f>
        <v>230</v>
      </c>
      <c r="J30" s="531">
        <f ca="1">SUM('By Neighborhood'!J70+'By Neighborhood'!J83+'By Neighborhood'!J94+'By Neighborhood'!J106+'By Neighborhood'!J117+'By Neighborhood'!J129+'By Neighborhood'!J141+'By Neighborhood'!J152+'By Neighborhood'!J164+'By Neighborhood'!J176+'By Neighborhood'!J187)</f>
        <v>233</v>
      </c>
      <c r="K30" s="531">
        <f ca="1">SUM('By Neighborhood'!K70+'By Neighborhood'!K83+'By Neighborhood'!K94+'By Neighborhood'!K106+'By Neighborhood'!K117+'By Neighborhood'!K129+'By Neighborhood'!K141+'By Neighborhood'!K152+'By Neighborhood'!K164+'By Neighborhood'!K176+'By Neighborhood'!K187)</f>
        <v>242</v>
      </c>
      <c r="L30" s="531">
        <f ca="1">SUM('By Neighborhood'!L70+'By Neighborhood'!L83+'By Neighborhood'!L94+'By Neighborhood'!L106+'By Neighborhood'!L117+'By Neighborhood'!L129+'By Neighborhood'!L141+'By Neighborhood'!L152+'By Neighborhood'!L164+'By Neighborhood'!L176+'By Neighborhood'!L187)</f>
        <v>267</v>
      </c>
      <c r="M30" s="532">
        <f ca="1">SUM('By Neighborhood'!M70+'By Neighborhood'!M83+'By Neighborhood'!M94+'By Neighborhood'!M106+'By Neighborhood'!M117+'By Neighborhood'!M129+'By Neighborhood'!M141+'By Neighborhood'!M152+'By Neighborhood'!M164+'By Neighborhood'!M176+'By Neighborhood'!M187)</f>
        <v>280</v>
      </c>
      <c r="N30" s="531">
        <f t="shared" ca="1" si="0"/>
        <v>227</v>
      </c>
      <c r="O30" s="531">
        <f t="shared" ca="1" si="1"/>
        <v>164</v>
      </c>
      <c r="P30" s="107">
        <f t="shared" ca="1" si="2"/>
        <v>0.41943734015345269</v>
      </c>
      <c r="Q30" s="504"/>
      <c r="R30" s="552"/>
      <c r="S30" s="552"/>
    </row>
    <row r="31" spans="1:19" ht="11.25" customHeight="1">
      <c r="A31" s="13"/>
      <c r="B31" s="13" t="s">
        <v>35</v>
      </c>
      <c r="C31" s="530">
        <f>SUM('By Neighborhood'!C71+'By Neighborhood'!C84+'By Neighborhood'!C107+'By Neighborhood'!C118+'By Neighborhood'!C130+'By Neighborhood'!C153+'By Neighborhood'!C165+'By Neighborhood'!C177+'By Neighborhood'!C188)</f>
        <v>233</v>
      </c>
      <c r="D31" s="530">
        <f>SUM('By Neighborhood'!D71+'By Neighborhood'!D84+'By Neighborhood'!D107+'By Neighborhood'!D118+'By Neighborhood'!D130+'By Neighborhood'!D153+'By Neighborhood'!D165+'By Neighborhood'!D177+'By Neighborhood'!D188)</f>
        <v>81</v>
      </c>
      <c r="E31" s="531">
        <f>SUM('By Neighborhood'!E71+'By Neighborhood'!E84+'By Neighborhood'!E107+'By Neighborhood'!E118+'By Neighborhood'!E130+'By Neighborhood'!E153+'By Neighborhood'!E165+'By Neighborhood'!E177+'By Neighborhood'!E188)</f>
        <v>86</v>
      </c>
      <c r="F31" s="531">
        <f>SUM('By Neighborhood'!F71+'By Neighborhood'!F84+'By Neighborhood'!F107+'By Neighborhood'!F118+'By Neighborhood'!F130+'By Neighborhood'!F153+'By Neighborhood'!F165+'By Neighborhood'!F177+'By Neighborhood'!F188)</f>
        <v>81</v>
      </c>
      <c r="G31" s="531">
        <f>SUM('By Neighborhood'!G71+'By Neighborhood'!G84+'By Neighborhood'!G107+'By Neighborhood'!G118+'By Neighborhood'!G130+'By Neighborhood'!G153+'By Neighborhood'!G165+'By Neighborhood'!G177+'By Neighborhood'!G188)</f>
        <v>93</v>
      </c>
      <c r="H31" s="531">
        <f>SUM('By Neighborhood'!H71+'By Neighborhood'!H84+'By Neighborhood'!H107+'By Neighborhood'!H118+'By Neighborhood'!H130+'By Neighborhood'!H153+'By Neighborhood'!H165+'By Neighborhood'!H177+'By Neighborhood'!H188)</f>
        <v>75</v>
      </c>
      <c r="I31" s="531">
        <f>SUM('By Neighborhood'!I71+'By Neighborhood'!I84+'By Neighborhood'!I107+'By Neighborhood'!I118+'By Neighborhood'!I130+'By Neighborhood'!I153+'By Neighborhood'!I165+'By Neighborhood'!I177+'By Neighborhood'!I188)</f>
        <v>77</v>
      </c>
      <c r="J31" s="531">
        <f>SUM('By Neighborhood'!J71+'By Neighborhood'!J84+'By Neighborhood'!J107+'By Neighborhood'!J118+'By Neighborhood'!J130+'By Neighborhood'!J153+'By Neighborhood'!J165+'By Neighborhood'!J177+'By Neighborhood'!J188)</f>
        <v>60</v>
      </c>
      <c r="K31" s="531">
        <f>SUM('By Neighborhood'!K71+'By Neighborhood'!K84+'By Neighborhood'!K107+'By Neighborhood'!K118+'By Neighborhood'!K130+'By Neighborhood'!K153+'By Neighborhood'!K165+'By Neighborhood'!K177+'By Neighborhood'!K188)</f>
        <v>51</v>
      </c>
      <c r="L31" s="531">
        <f>SUM('By Neighborhood'!L71+'By Neighborhood'!L84+'By Neighborhood'!L107+'By Neighborhood'!L118+'By Neighborhood'!L130+'By Neighborhood'!L153+'By Neighborhood'!L165+'By Neighborhood'!L177+'By Neighborhood'!L188)</f>
        <v>51</v>
      </c>
      <c r="M31" s="532">
        <f>SUM('By Neighborhood'!M71+'By Neighborhood'!M84+'By Neighborhood'!M107+'By Neighborhood'!M118+'By Neighborhood'!M130+'By Neighborhood'!M153+'By Neighborhood'!M165+'By Neighborhood'!M177+'By Neighborhood'!M188)</f>
        <v>52</v>
      </c>
      <c r="N31" s="531">
        <f t="shared" si="0"/>
        <v>51</v>
      </c>
      <c r="O31" s="531">
        <f t="shared" si="1"/>
        <v>182</v>
      </c>
      <c r="P31" s="107">
        <f t="shared" si="2"/>
        <v>0.7811158798283262</v>
      </c>
      <c r="Q31" s="504"/>
      <c r="R31" s="552"/>
      <c r="S31" s="552"/>
    </row>
    <row r="32" spans="1:19" ht="11.25" customHeight="1">
      <c r="A32" s="13"/>
      <c r="B32" s="13" t="s">
        <v>36</v>
      </c>
      <c r="C32" s="530">
        <f>SUM('By Neighborhood'!C72+'By Neighborhood'!C85+'By Neighborhood'!C96+'By Neighborhood'!C108+'By Neighborhood'!C119+'By Neighborhood'!C131+'By Neighborhood'!C143+'By Neighborhood'!C154+'By Neighborhood'!C166+'By Neighborhood'!C178+'By Neighborhood'!C189)</f>
        <v>87</v>
      </c>
      <c r="D32" s="530">
        <f ca="1">SUM('By Neighborhood'!D72+'By Neighborhood'!D85+'By Neighborhood'!D96+'By Neighborhood'!D108+'By Neighborhood'!D119+'By Neighborhood'!D131+'By Neighborhood'!D143+'By Neighborhood'!D154+'By Neighborhood'!D166+'By Neighborhood'!D178+'By Neighborhood'!D189)</f>
        <v>47</v>
      </c>
      <c r="E32" s="531">
        <f ca="1">SUM('By Neighborhood'!E72+'By Neighborhood'!E85+'By Neighborhood'!E96+'By Neighborhood'!E108+'By Neighborhood'!E119+'By Neighborhood'!E131+'By Neighborhood'!E143+'By Neighborhood'!E154+'By Neighborhood'!E166+'By Neighborhood'!E178+'By Neighborhood'!E189)</f>
        <v>46</v>
      </c>
      <c r="F32" s="531">
        <f ca="1">SUM('By Neighborhood'!F72+'By Neighborhood'!F85+'By Neighborhood'!F96+'By Neighborhood'!F108+'By Neighborhood'!F119+'By Neighborhood'!F131+'By Neighborhood'!F143+'By Neighborhood'!F154+'By Neighborhood'!F166+'By Neighborhood'!F178+'By Neighborhood'!F189)</f>
        <v>46</v>
      </c>
      <c r="G32" s="531">
        <f ca="1">SUM('By Neighborhood'!G72+'By Neighborhood'!G85+'By Neighborhood'!G96+'By Neighborhood'!G108+'By Neighborhood'!G119+'By Neighborhood'!G131+'By Neighborhood'!G143+'By Neighborhood'!G154+'By Neighborhood'!G166+'By Neighborhood'!G178+'By Neighborhood'!G189)</f>
        <v>40</v>
      </c>
      <c r="H32" s="531">
        <f ca="1">SUM('By Neighborhood'!H72+'By Neighborhood'!H85+'By Neighborhood'!H96+'By Neighborhood'!H108+'By Neighborhood'!H119+'By Neighborhood'!H131+'By Neighborhood'!H143+'By Neighborhood'!H154+'By Neighborhood'!H166+'By Neighborhood'!H178+'By Neighborhood'!H189)</f>
        <v>40</v>
      </c>
      <c r="I32" s="531">
        <f ca="1">SUM('By Neighborhood'!I72+'By Neighborhood'!I85+'By Neighborhood'!I96+'By Neighborhood'!I108+'By Neighborhood'!I119+'By Neighborhood'!I131+'By Neighborhood'!I143+'By Neighborhood'!I154+'By Neighborhood'!I166+'By Neighborhood'!I178+'By Neighborhood'!I189)</f>
        <v>39</v>
      </c>
      <c r="J32" s="531">
        <f ca="1">SUM('By Neighborhood'!J72+'By Neighborhood'!J85+'By Neighborhood'!J96+'By Neighborhood'!J108+'By Neighborhood'!J119+'By Neighborhood'!J131+'By Neighborhood'!J143+'By Neighborhood'!J154+'By Neighborhood'!J166+'By Neighborhood'!J178+'By Neighborhood'!J189)</f>
        <v>36</v>
      </c>
      <c r="K32" s="531">
        <f ca="1">SUM('By Neighborhood'!K72+'By Neighborhood'!K85+'By Neighborhood'!K96+'By Neighborhood'!K108+'By Neighborhood'!K119+'By Neighborhood'!K131+'By Neighborhood'!K143+'By Neighborhood'!K154+'By Neighborhood'!K166+'By Neighborhood'!K178+'By Neighborhood'!K189)</f>
        <v>33</v>
      </c>
      <c r="L32" s="531">
        <f ca="1">SUM('By Neighborhood'!L72+'By Neighborhood'!L85+'By Neighborhood'!L96+'By Neighborhood'!L108+'By Neighborhood'!L119+'By Neighborhood'!L131+'By Neighborhood'!L143+'By Neighborhood'!L154+'By Neighborhood'!L166+'By Neighborhood'!L178+'By Neighborhood'!L189)</f>
        <v>37</v>
      </c>
      <c r="M32" s="532">
        <f ca="1">SUM('By Neighborhood'!M72+'By Neighborhood'!M85+'By Neighborhood'!M96+'By Neighborhood'!M108+'By Neighborhood'!M119+'By Neighborhood'!M131+'By Neighborhood'!M143+'By Neighborhood'!M154+'By Neighborhood'!M166+'By Neighborhood'!M178+'By Neighborhood'!M189)</f>
        <v>36</v>
      </c>
      <c r="N32" s="531">
        <f t="shared" ca="1" si="0"/>
        <v>33</v>
      </c>
      <c r="O32" s="531">
        <f t="shared" ca="1" si="1"/>
        <v>54</v>
      </c>
      <c r="P32" s="107">
        <f t="shared" ca="1" si="2"/>
        <v>0.62068965517241381</v>
      </c>
      <c r="Q32" s="504"/>
      <c r="R32" s="552"/>
      <c r="S32" s="552"/>
    </row>
    <row r="33" spans="1:18" ht="11.25" customHeight="1">
      <c r="A33" s="13"/>
      <c r="B33" s="13" t="s">
        <v>37</v>
      </c>
      <c r="C33" s="530">
        <f>SUM('By Neighborhood'!C73+'By Neighborhood'!C86+'By Neighborhood'!C97+'By Neighborhood'!C109+'By Neighborhood'!C120+'By Neighborhood'!C132+'By Neighborhood'!C144+'By Neighborhood'!C155+'By Neighborhood'!C167+'By Neighborhood'!C179+'By Neighborhood'!C190)</f>
        <v>99</v>
      </c>
      <c r="D33" s="543">
        <f ca="1">SUM('By Neighborhood'!D73+'By Neighborhood'!D86+'By Neighborhood'!D97+'By Neighborhood'!D109+'By Neighborhood'!D132+'By Neighborhood'!D144+'By Neighborhood'!D155+'By Neighborhood'!D167+'By Neighborhood'!D179+'By Neighborhood'!D190)</f>
        <v>67</v>
      </c>
      <c r="E33" s="544">
        <f ca="1">SUM('By Neighborhood'!E73+'By Neighborhood'!E86+'By Neighborhood'!E97+'By Neighborhood'!E109+'By Neighborhood'!E132+'By Neighborhood'!E144+'By Neighborhood'!E155+'By Neighborhood'!E167+'By Neighborhood'!E179+'By Neighborhood'!E190)</f>
        <v>60</v>
      </c>
      <c r="F33" s="544">
        <f ca="1">SUM('By Neighborhood'!F73+'By Neighborhood'!F86+'By Neighborhood'!F97+'By Neighborhood'!F109+'By Neighborhood'!F132+'By Neighborhood'!F144+'By Neighborhood'!F155+'By Neighborhood'!F167+'By Neighborhood'!F179+'By Neighborhood'!F190)</f>
        <v>54</v>
      </c>
      <c r="G33" s="544">
        <f ca="1">SUM('By Neighborhood'!G73+'By Neighborhood'!G86+'By Neighborhood'!G97+'By Neighborhood'!G109+'By Neighborhood'!G132+'By Neighborhood'!G144+'By Neighborhood'!G155+'By Neighborhood'!G167+'By Neighborhood'!G179+'By Neighborhood'!G190)</f>
        <v>49</v>
      </c>
      <c r="H33" s="544">
        <f ca="1">SUM('By Neighborhood'!H73+'By Neighborhood'!H86+'By Neighborhood'!H97+'By Neighborhood'!H109+'By Neighborhood'!H132+'By Neighborhood'!H144+'By Neighborhood'!H155+'By Neighborhood'!H167+'By Neighborhood'!H179+'By Neighborhood'!H190)</f>
        <v>47</v>
      </c>
      <c r="I33" s="544">
        <f ca="1">SUM('By Neighborhood'!I73+'By Neighborhood'!I86+'By Neighborhood'!I97+'By Neighborhood'!I109+'By Neighborhood'!I132+'By Neighborhood'!I144+'By Neighborhood'!I155+'By Neighborhood'!I167+'By Neighborhood'!I179+'By Neighborhood'!I190)</f>
        <v>39</v>
      </c>
      <c r="J33" s="544">
        <f ca="1">SUM('By Neighborhood'!J73+'By Neighborhood'!J86+'By Neighborhood'!J97+'By Neighborhood'!J109+'By Neighborhood'!J132+'By Neighborhood'!J144+'By Neighborhood'!J155+'By Neighborhood'!J167+'By Neighborhood'!J179+'By Neighborhood'!J190)</f>
        <v>43</v>
      </c>
      <c r="K33" s="544">
        <f ca="1">SUM('By Neighborhood'!K73+'By Neighborhood'!K86+'By Neighborhood'!K97+'By Neighborhood'!K109+'By Neighborhood'!K132+'By Neighborhood'!K144+'By Neighborhood'!K155+'By Neighborhood'!K167+'By Neighborhood'!K179+'By Neighborhood'!K190)</f>
        <v>49</v>
      </c>
      <c r="L33" s="544">
        <f ca="1">SUM('By Neighborhood'!L73+'By Neighborhood'!L86+'By Neighborhood'!L97+'By Neighborhood'!L109+'By Neighborhood'!L132+'By Neighborhood'!L144+'By Neighborhood'!L155+'By Neighborhood'!L167+'By Neighborhood'!L179+'By Neighborhood'!L190)</f>
        <v>44</v>
      </c>
      <c r="M33" s="545">
        <f ca="1">SUM('By Neighborhood'!M73+'By Neighborhood'!M86+'By Neighborhood'!M97+'By Neighborhood'!M109+'By Neighborhood'!M132+'By Neighborhood'!M144+'By Neighborhood'!M155+'By Neighborhood'!M167+'By Neighborhood'!M179+'By Neighborhood'!M190)</f>
        <v>56</v>
      </c>
      <c r="N33" s="531">
        <f t="shared" ca="1" si="0"/>
        <v>39</v>
      </c>
      <c r="O33" s="531">
        <f t="shared" ca="1" si="1"/>
        <v>60</v>
      </c>
      <c r="P33" s="107">
        <f t="shared" ca="1" si="2"/>
        <v>0.60606060606060608</v>
      </c>
      <c r="Q33" s="504"/>
    </row>
    <row r="34" spans="1:18" ht="11.25" customHeight="1">
      <c r="A34" s="2"/>
      <c r="B34" s="3" t="s">
        <v>38</v>
      </c>
      <c r="C34" s="537">
        <f>SUM(C18:C33)</f>
        <v>9907</v>
      </c>
      <c r="D34" s="125">
        <f t="shared" ref="D34:M34" ca="1" si="4">SUM(D23:D33)</f>
        <v>4584</v>
      </c>
      <c r="E34" s="126">
        <f t="shared" ca="1" si="4"/>
        <v>4249</v>
      </c>
      <c r="F34" s="126">
        <f t="shared" ca="1" si="4"/>
        <v>3867</v>
      </c>
      <c r="G34" s="126">
        <f t="shared" ca="1" si="4"/>
        <v>3762</v>
      </c>
      <c r="H34" s="126">
        <f t="shared" ca="1" si="4"/>
        <v>3716</v>
      </c>
      <c r="I34" s="126">
        <f t="shared" ca="1" si="4"/>
        <v>3702</v>
      </c>
      <c r="J34" s="126">
        <f t="shared" ca="1" si="4"/>
        <v>3679</v>
      </c>
      <c r="K34" s="126">
        <f t="shared" ca="1" si="4"/>
        <v>3899</v>
      </c>
      <c r="L34" s="126">
        <f t="shared" ca="1" si="4"/>
        <v>4203</v>
      </c>
      <c r="M34" s="127">
        <f t="shared" ca="1" si="4"/>
        <v>4414</v>
      </c>
      <c r="N34" s="6">
        <f t="shared" ca="1" si="0"/>
        <v>3679</v>
      </c>
      <c r="O34" s="70">
        <f t="shared" ca="1" si="1"/>
        <v>6228</v>
      </c>
      <c r="P34" s="7">
        <f t="shared" ca="1" si="2"/>
        <v>0.62864641162814172</v>
      </c>
      <c r="Q34" s="504"/>
      <c r="R34" s="552"/>
    </row>
    <row r="35" spans="1:18" ht="11.25" customHeight="1">
      <c r="A35" s="43" t="s">
        <v>57</v>
      </c>
      <c r="B35" s="13" t="s">
        <v>23</v>
      </c>
      <c r="C35" s="530">
        <f>SUM('By Neighborhood'!C192+'By Neighborhood'!C203+'By Neighborhood'!C214)</f>
        <v>647</v>
      </c>
      <c r="D35" s="116">
        <f>SUM('By Neighborhood'!D192+'By Neighborhood'!D203+'By Neighborhood'!D214)</f>
        <v>426</v>
      </c>
      <c r="E35" s="128">
        <f>SUM('By Neighborhood'!E192+'By Neighborhood'!E203+'By Neighborhood'!E214)</f>
        <v>290</v>
      </c>
      <c r="F35" s="128">
        <f>SUM('By Neighborhood'!F192+'By Neighborhood'!F203+'By Neighborhood'!F214)</f>
        <v>213</v>
      </c>
      <c r="G35" s="128">
        <f>SUM('By Neighborhood'!G192+'By Neighborhood'!G203+'By Neighborhood'!G214)</f>
        <v>172</v>
      </c>
      <c r="H35" s="128">
        <f>SUM('By Neighborhood'!H192+'By Neighborhood'!H203+'By Neighborhood'!H214)</f>
        <v>142</v>
      </c>
      <c r="I35" s="128">
        <f>SUM('By Neighborhood'!I192+'By Neighborhood'!I203+'By Neighborhood'!I214)</f>
        <v>155</v>
      </c>
      <c r="J35" s="128">
        <f>SUM('By Neighborhood'!J192+'By Neighborhood'!J203+'By Neighborhood'!J214)</f>
        <v>174</v>
      </c>
      <c r="K35" s="128">
        <f>SUM('By Neighborhood'!K192+'By Neighborhood'!K203+'By Neighborhood'!K214)</f>
        <v>196</v>
      </c>
      <c r="L35" s="128">
        <f>SUM('By Neighborhood'!L192+'By Neighborhood'!L203+'By Neighborhood'!L214)</f>
        <v>297</v>
      </c>
      <c r="M35" s="129">
        <f>SUM('By Neighborhood'!M192+'By Neighborhood'!M203+'By Neighborhood'!M214)</f>
        <v>426</v>
      </c>
      <c r="N35" s="531">
        <f t="shared" si="0"/>
        <v>142</v>
      </c>
      <c r="O35" s="531">
        <f t="shared" si="1"/>
        <v>505</v>
      </c>
      <c r="P35" s="107">
        <f t="shared" si="2"/>
        <v>0.78052550231839257</v>
      </c>
      <c r="Q35" s="504"/>
    </row>
    <row r="36" spans="1:18" ht="11.25" customHeight="1">
      <c r="A36" s="13" t="s">
        <v>42</v>
      </c>
      <c r="B36" s="13" t="s">
        <v>25</v>
      </c>
      <c r="C36" s="530">
        <f>SUM('By Neighborhood'!C193+'By Neighborhood'!C204+'By Neighborhood'!C215)</f>
        <v>1992</v>
      </c>
      <c r="D36" s="109">
        <f>SUM('By Neighborhood'!D193+'By Neighborhood'!D204+'By Neighborhood'!D215)</f>
        <v>824</v>
      </c>
      <c r="E36" s="504">
        <f>SUM('By Neighborhood'!E193+'By Neighborhood'!E204+'By Neighborhood'!E215)</f>
        <v>400</v>
      </c>
      <c r="F36" s="504">
        <f>SUM('By Neighborhood'!F193+'By Neighborhood'!F204+'By Neighborhood'!F215)</f>
        <v>386</v>
      </c>
      <c r="G36" s="504">
        <f>SUM('By Neighborhood'!G193+'By Neighborhood'!G204+'By Neighborhood'!G215)</f>
        <v>307</v>
      </c>
      <c r="H36" s="504">
        <f>SUM('By Neighborhood'!H193+'By Neighborhood'!H204+'By Neighborhood'!H215)</f>
        <v>406</v>
      </c>
      <c r="I36" s="504">
        <f>SUM('By Neighborhood'!I193+'By Neighborhood'!I204+'By Neighborhood'!I215)</f>
        <v>290</v>
      </c>
      <c r="J36" s="504">
        <f>SUM('By Neighborhood'!J193+'By Neighborhood'!J204+'By Neighborhood'!J215)</f>
        <v>425</v>
      </c>
      <c r="K36" s="504">
        <f>SUM('By Neighborhood'!K193+'By Neighborhood'!K204+'By Neighborhood'!K215)</f>
        <v>334</v>
      </c>
      <c r="L36" s="504">
        <f>SUM('By Neighborhood'!L193+'By Neighborhood'!L204+'By Neighborhood'!L215)</f>
        <v>553</v>
      </c>
      <c r="M36" s="110">
        <f>SUM('By Neighborhood'!M193+'By Neighborhood'!M204+'By Neighborhood'!M215)</f>
        <v>759</v>
      </c>
      <c r="N36" s="531">
        <f t="shared" si="0"/>
        <v>290</v>
      </c>
      <c r="O36" s="531">
        <f t="shared" si="1"/>
        <v>1702</v>
      </c>
      <c r="P36" s="107">
        <f t="shared" si="2"/>
        <v>0.85441767068273089</v>
      </c>
      <c r="Q36" s="504"/>
    </row>
    <row r="37" spans="1:18" ht="11.25" customHeight="1">
      <c r="A37" s="13"/>
      <c r="B37" s="13" t="s">
        <v>27</v>
      </c>
      <c r="C37" s="530">
        <f>SUM('By Neighborhood'!C195)</f>
        <v>257</v>
      </c>
      <c r="D37" s="109">
        <f>SUM('By Neighborhood'!D195)</f>
        <v>0</v>
      </c>
      <c r="E37" s="504">
        <f>SUM('By Neighborhood'!E195)</f>
        <v>0</v>
      </c>
      <c r="F37" s="504">
        <f>SUM('By Neighborhood'!F195)</f>
        <v>0</v>
      </c>
      <c r="G37" s="504">
        <f>SUM('By Neighborhood'!G195)</f>
        <v>0</v>
      </c>
      <c r="H37" s="504">
        <f>SUM('By Neighborhood'!H195)</f>
        <v>132</v>
      </c>
      <c r="I37" s="504">
        <f>SUM('By Neighborhood'!I195)</f>
        <v>0</v>
      </c>
      <c r="J37" s="504">
        <f>SUM('By Neighborhood'!J195)</f>
        <v>0</v>
      </c>
      <c r="K37" s="504">
        <f>SUM('By Neighborhood'!K195)</f>
        <v>0</v>
      </c>
      <c r="L37" s="504">
        <f>SUM('By Neighborhood'!L195)</f>
        <v>0</v>
      </c>
      <c r="M37" s="110">
        <f>SUM('By Neighborhood'!M195)</f>
        <v>0</v>
      </c>
      <c r="N37" s="531">
        <f t="shared" si="0"/>
        <v>0</v>
      </c>
      <c r="O37" s="531">
        <f t="shared" si="1"/>
        <v>257</v>
      </c>
      <c r="P37" s="107">
        <f t="shared" si="2"/>
        <v>1</v>
      </c>
      <c r="Q37" s="504"/>
    </row>
    <row r="38" spans="1:18" ht="11.25" customHeight="1">
      <c r="A38" s="13"/>
      <c r="B38" s="13" t="s">
        <v>30</v>
      </c>
      <c r="C38" s="530">
        <f>SUM('By Neighborhood'!C194)</f>
        <v>776</v>
      </c>
      <c r="D38" s="109">
        <f>SUM('By Neighborhood'!D194)</f>
        <v>463</v>
      </c>
      <c r="E38" s="504">
        <f>SUM('By Neighborhood'!E194)</f>
        <v>406</v>
      </c>
      <c r="F38" s="504">
        <f>SUM('By Neighborhood'!F194)</f>
        <v>384</v>
      </c>
      <c r="G38" s="504">
        <f>SUM('By Neighborhood'!G194)</f>
        <v>383</v>
      </c>
      <c r="H38" s="504">
        <f>SUM('By Neighborhood'!H194)</f>
        <v>386</v>
      </c>
      <c r="I38" s="91">
        <f>SUM('By Neighborhood'!I194)</f>
        <v>387</v>
      </c>
      <c r="J38" s="91">
        <f>SUM('By Neighborhood'!J194)</f>
        <v>390</v>
      </c>
      <c r="K38" s="91">
        <f>SUM('By Neighborhood'!K194)</f>
        <v>433</v>
      </c>
      <c r="L38" s="91">
        <f>SUM('By Neighborhood'!L194)</f>
        <v>457</v>
      </c>
      <c r="M38" s="108">
        <f>SUM('By Neighborhood'!M194)</f>
        <v>515</v>
      </c>
      <c r="N38" s="531">
        <f t="shared" si="0"/>
        <v>383</v>
      </c>
      <c r="O38" s="531">
        <f t="shared" si="1"/>
        <v>393</v>
      </c>
      <c r="P38" s="107">
        <f t="shared" si="2"/>
        <v>0.50644329896907214</v>
      </c>
      <c r="Q38" s="504"/>
    </row>
    <row r="39" spans="1:18" ht="11.25" customHeight="1">
      <c r="A39" s="13"/>
      <c r="B39" s="364" t="s">
        <v>43</v>
      </c>
      <c r="C39" s="538">
        <f>'By Neighborhood'!C216</f>
        <v>0</v>
      </c>
      <c r="D39" s="365"/>
      <c r="E39" s="366"/>
      <c r="F39" s="366" t="s">
        <v>58</v>
      </c>
      <c r="G39" s="366"/>
      <c r="H39" s="366"/>
      <c r="I39" s="366"/>
      <c r="J39" s="366"/>
      <c r="K39" s="366"/>
      <c r="L39" s="366"/>
      <c r="M39" s="367"/>
      <c r="N39" s="556"/>
      <c r="O39" s="556"/>
      <c r="P39" s="368"/>
      <c r="Q39" s="504"/>
    </row>
    <row r="40" spans="1:18" ht="11.25" customHeight="1">
      <c r="A40" s="13"/>
      <c r="B40" s="13" t="s">
        <v>31</v>
      </c>
      <c r="C40" s="530">
        <f>SUM('By Neighborhood'!C206)</f>
        <v>922</v>
      </c>
      <c r="D40" s="109">
        <f>SUM('By Neighborhood'!D206)</f>
        <v>429</v>
      </c>
      <c r="E40" s="504">
        <f>SUM('By Neighborhood'!E206)</f>
        <v>350</v>
      </c>
      <c r="F40" s="504">
        <f>SUM('By Neighborhood'!F206)</f>
        <v>304</v>
      </c>
      <c r="G40" s="504">
        <f>SUM('By Neighborhood'!G206)</f>
        <v>305</v>
      </c>
      <c r="H40" s="504">
        <f>SUM('By Neighborhood'!H206)</f>
        <v>309</v>
      </c>
      <c r="I40" s="504">
        <f>SUM('By Neighborhood'!I206)</f>
        <v>299</v>
      </c>
      <c r="J40" s="504">
        <f>SUM('By Neighborhood'!J206)</f>
        <v>295</v>
      </c>
      <c r="K40" s="504">
        <f>SUM('By Neighborhood'!K206)</f>
        <v>333</v>
      </c>
      <c r="L40" s="504">
        <f>SUM('By Neighborhood'!L206)</f>
        <v>436</v>
      </c>
      <c r="M40" s="110">
        <f>SUM('By Neighborhood'!M206)</f>
        <v>553</v>
      </c>
      <c r="N40" s="531">
        <f t="shared" ref="N40:N49" si="5">MIN(D40:M40)</f>
        <v>295</v>
      </c>
      <c r="O40" s="531">
        <f t="shared" ref="O40:O49" si="6">C40-N40</f>
        <v>627</v>
      </c>
      <c r="P40" s="107">
        <f t="shared" ref="P40:P49" si="7">O40/C40</f>
        <v>0.68004338394793928</v>
      </c>
      <c r="Q40" s="504"/>
    </row>
    <row r="41" spans="1:18" ht="11.25" customHeight="1">
      <c r="A41" s="13"/>
      <c r="B41" s="13" t="s">
        <v>32</v>
      </c>
      <c r="C41" s="530">
        <f>SUM('By Neighborhood'!C196+'By Neighborhood'!C207)</f>
        <v>116</v>
      </c>
      <c r="D41" s="109">
        <f>SUM('By Neighborhood'!D196+'By Neighborhood'!D207)</f>
        <v>83</v>
      </c>
      <c r="E41" s="504">
        <f>SUM('By Neighborhood'!E196+'By Neighborhood'!E207)</f>
        <v>74</v>
      </c>
      <c r="F41" s="504">
        <f>SUM('By Neighborhood'!F196+'By Neighborhood'!F207)</f>
        <v>70</v>
      </c>
      <c r="G41" s="504">
        <f>SUM('By Neighborhood'!G196+'By Neighborhood'!G207)</f>
        <v>69</v>
      </c>
      <c r="H41" s="504">
        <f>SUM('By Neighborhood'!H196+'By Neighborhood'!H207)</f>
        <v>67</v>
      </c>
      <c r="I41" s="504">
        <f>SUM('By Neighborhood'!I196+'By Neighborhood'!I207)</f>
        <v>73</v>
      </c>
      <c r="J41" s="504">
        <f>SUM('By Neighborhood'!J196+'By Neighborhood'!J207)</f>
        <v>72</v>
      </c>
      <c r="K41" s="504">
        <f>SUM('By Neighborhood'!K196+'By Neighborhood'!K207)</f>
        <v>77</v>
      </c>
      <c r="L41" s="504">
        <f>SUM('By Neighborhood'!L196+'By Neighborhood'!L207)</f>
        <v>82</v>
      </c>
      <c r="M41" s="110">
        <f>SUM('By Neighborhood'!M196+'By Neighborhood'!M207)</f>
        <v>91</v>
      </c>
      <c r="N41" s="531">
        <f t="shared" si="5"/>
        <v>67</v>
      </c>
      <c r="O41" s="531">
        <f t="shared" si="6"/>
        <v>49</v>
      </c>
      <c r="P41" s="107">
        <f t="shared" si="7"/>
        <v>0.42241379310344829</v>
      </c>
      <c r="Q41" s="504"/>
    </row>
    <row r="42" spans="1:18" ht="11.25" customHeight="1">
      <c r="A42" s="13"/>
      <c r="B42" s="13" t="s">
        <v>33</v>
      </c>
      <c r="C42" s="530">
        <f>SUM('By Neighborhood'!C197+'By Neighborhood'!C208+'By Neighborhood'!C219)</f>
        <v>387</v>
      </c>
      <c r="D42" s="109">
        <f>SUM('By Neighborhood'!D197+'By Neighborhood'!D208+'By Neighborhood'!D219)</f>
        <v>117</v>
      </c>
      <c r="E42" s="504">
        <f>SUM('By Neighborhood'!E197+'By Neighborhood'!E208+'By Neighborhood'!E219)</f>
        <v>67</v>
      </c>
      <c r="F42" s="504">
        <f>SUM('By Neighborhood'!F197+'By Neighborhood'!F208+'By Neighborhood'!F219)</f>
        <v>88</v>
      </c>
      <c r="G42" s="504">
        <f>SUM('By Neighborhood'!G197+'By Neighborhood'!G208+'By Neighborhood'!G219)</f>
        <v>60</v>
      </c>
      <c r="H42" s="504">
        <f>SUM('By Neighborhood'!H197+'By Neighborhood'!H208+'By Neighborhood'!H219)</f>
        <v>84</v>
      </c>
      <c r="I42" s="504">
        <f>SUM('By Neighborhood'!I197+'By Neighborhood'!I208+'By Neighborhood'!I219)</f>
        <v>79</v>
      </c>
      <c r="J42" s="504">
        <f>SUM('By Neighborhood'!J197+'By Neighborhood'!J208+'By Neighborhood'!J219)</f>
        <v>84</v>
      </c>
      <c r="K42" s="504">
        <f>SUM('By Neighborhood'!K197+'By Neighborhood'!K208+'By Neighborhood'!K219)</f>
        <v>66</v>
      </c>
      <c r="L42" s="504">
        <f>SUM('By Neighborhood'!L197+'By Neighborhood'!L208+'By Neighborhood'!L219)</f>
        <v>90</v>
      </c>
      <c r="M42" s="110">
        <f>SUM('By Neighborhood'!M197+'By Neighborhood'!M208+'By Neighborhood'!M219)</f>
        <v>116</v>
      </c>
      <c r="N42" s="531">
        <f t="shared" si="5"/>
        <v>60</v>
      </c>
      <c r="O42" s="531">
        <f t="shared" si="6"/>
        <v>327</v>
      </c>
      <c r="P42" s="107">
        <f t="shared" si="7"/>
        <v>0.84496124031007747</v>
      </c>
      <c r="Q42" s="504"/>
    </row>
    <row r="43" spans="1:18" ht="11.25" customHeight="1">
      <c r="A43" s="13"/>
      <c r="B43" s="13" t="s">
        <v>34</v>
      </c>
      <c r="C43" s="530">
        <f>SUM('By Neighborhood'!C198+'By Neighborhood'!C209+'By Neighborhood'!C220)</f>
        <v>288</v>
      </c>
      <c r="D43" s="109">
        <f>SUM('By Neighborhood'!D198+'By Neighborhood'!D209+'By Neighborhood'!D220)</f>
        <v>131</v>
      </c>
      <c r="E43" s="504">
        <f>SUM('By Neighborhood'!E198+'By Neighborhood'!E209+'By Neighborhood'!E220)</f>
        <v>98</v>
      </c>
      <c r="F43" s="504">
        <f>SUM('By Neighborhood'!F198+'By Neighborhood'!F209+'By Neighborhood'!F220)</f>
        <v>78</v>
      </c>
      <c r="G43" s="504">
        <f>SUM('By Neighborhood'!G198+'By Neighborhood'!G209+'By Neighborhood'!G220)</f>
        <v>78</v>
      </c>
      <c r="H43" s="504">
        <f>SUM('By Neighborhood'!H198+'By Neighborhood'!H209+'By Neighborhood'!H220)</f>
        <v>88</v>
      </c>
      <c r="I43" s="504">
        <f>SUM('By Neighborhood'!I198+'By Neighborhood'!I209+'By Neighborhood'!I220)</f>
        <v>85</v>
      </c>
      <c r="J43" s="504">
        <f>SUM('By Neighborhood'!J198+'By Neighborhood'!J209+'By Neighborhood'!J220)</f>
        <v>92</v>
      </c>
      <c r="K43" s="504">
        <f>SUM('By Neighborhood'!K198+'By Neighborhood'!K209+'By Neighborhood'!K220)</f>
        <v>103</v>
      </c>
      <c r="L43" s="504">
        <f>SUM('By Neighborhood'!L198+'By Neighborhood'!L209+'By Neighborhood'!L220)</f>
        <v>138</v>
      </c>
      <c r="M43" s="110">
        <f>SUM('By Neighborhood'!M198+'By Neighborhood'!M209+'By Neighborhood'!M220)</f>
        <v>195</v>
      </c>
      <c r="N43" s="531">
        <f t="shared" si="5"/>
        <v>78</v>
      </c>
      <c r="O43" s="531">
        <f t="shared" si="6"/>
        <v>210</v>
      </c>
      <c r="P43" s="107">
        <f t="shared" si="7"/>
        <v>0.72916666666666663</v>
      </c>
      <c r="Q43" s="504"/>
    </row>
    <row r="44" spans="1:18" ht="11.25" customHeight="1">
      <c r="A44" s="13"/>
      <c r="B44" s="13" t="s">
        <v>35</v>
      </c>
      <c r="C44" s="530">
        <f>SUM('By Neighborhood'!C199+'By Neighborhood'!C210)</f>
        <v>15</v>
      </c>
      <c r="D44" s="109">
        <f>SUM('By Neighborhood'!D199+'By Neighborhood'!D210)</f>
        <v>12</v>
      </c>
      <c r="E44" s="504">
        <f>SUM('By Neighborhood'!E199+'By Neighborhood'!E210)</f>
        <v>11</v>
      </c>
      <c r="F44" s="504">
        <f>SUM('By Neighborhood'!F199+'By Neighborhood'!F210)</f>
        <v>10</v>
      </c>
      <c r="G44" s="504">
        <f>SUM('By Neighborhood'!G199+'By Neighborhood'!G210)</f>
        <v>9</v>
      </c>
      <c r="H44" s="504">
        <f>SUM('By Neighborhood'!H199+'By Neighborhood'!H210)</f>
        <v>11</v>
      </c>
      <c r="I44" s="504">
        <f>SUM('By Neighborhood'!I199+'By Neighborhood'!I210)</f>
        <v>9</v>
      </c>
      <c r="J44" s="504">
        <f>SUM('By Neighborhood'!J199+'By Neighborhood'!J210)</f>
        <v>11</v>
      </c>
      <c r="K44" s="504">
        <f>SUM('By Neighborhood'!K199+'By Neighborhood'!K210)</f>
        <v>11</v>
      </c>
      <c r="L44" s="504">
        <f>SUM('By Neighborhood'!L199+'By Neighborhood'!L210)</f>
        <v>11</v>
      </c>
      <c r="M44" s="110">
        <f>SUM('By Neighborhood'!M199+'By Neighborhood'!M210)</f>
        <v>11</v>
      </c>
      <c r="N44" s="531">
        <f t="shared" si="5"/>
        <v>9</v>
      </c>
      <c r="O44" s="531">
        <f t="shared" si="6"/>
        <v>6</v>
      </c>
      <c r="P44" s="107">
        <f t="shared" si="7"/>
        <v>0.4</v>
      </c>
      <c r="Q44" s="504"/>
    </row>
    <row r="45" spans="1:18" ht="11.25" customHeight="1">
      <c r="A45" s="13"/>
      <c r="B45" s="13" t="s">
        <v>36</v>
      </c>
      <c r="C45" s="530">
        <f>SUM('By Neighborhood'!C200+'By Neighborhood'!C211+'By Neighborhood'!C222)</f>
        <v>3</v>
      </c>
      <c r="D45" s="109">
        <f>SUM('By Neighborhood'!D200+'By Neighborhood'!D211+'By Neighborhood'!D222)</f>
        <v>1</v>
      </c>
      <c r="E45" s="504">
        <f>SUM('By Neighborhood'!E200+'By Neighborhood'!E211+'By Neighborhood'!E222)</f>
        <v>0</v>
      </c>
      <c r="F45" s="504">
        <f>SUM('By Neighborhood'!F200+'By Neighborhood'!F211+'By Neighborhood'!F222)</f>
        <v>0</v>
      </c>
      <c r="G45" s="504">
        <f>SUM('By Neighborhood'!G200+'By Neighborhood'!G211+'By Neighborhood'!G222)</f>
        <v>0</v>
      </c>
      <c r="H45" s="504">
        <f>SUM('By Neighborhood'!H200+'By Neighborhood'!H211+'By Neighborhood'!H222)</f>
        <v>1</v>
      </c>
      <c r="I45" s="504">
        <f>SUM('By Neighborhood'!I200+'By Neighborhood'!I211+'By Neighborhood'!I222)</f>
        <v>0</v>
      </c>
      <c r="J45" s="504">
        <f>SUM('By Neighborhood'!J200+'By Neighborhood'!J211+'By Neighborhood'!J222)</f>
        <v>0</v>
      </c>
      <c r="K45" s="504">
        <f>SUM('By Neighborhood'!K200+'By Neighborhood'!K211+'By Neighborhood'!K222)</f>
        <v>1</v>
      </c>
      <c r="L45" s="504">
        <f>SUM('By Neighborhood'!L200+'By Neighborhood'!L211+'By Neighborhood'!L222)</f>
        <v>0</v>
      </c>
      <c r="M45" s="110">
        <f>SUM('By Neighborhood'!M200+'By Neighborhood'!M211+'By Neighborhood'!M222)</f>
        <v>2</v>
      </c>
      <c r="N45" s="531">
        <f t="shared" si="5"/>
        <v>0</v>
      </c>
      <c r="O45" s="531">
        <f t="shared" si="6"/>
        <v>3</v>
      </c>
      <c r="P45" s="107">
        <f t="shared" si="7"/>
        <v>1</v>
      </c>
      <c r="Q45" s="504"/>
    </row>
    <row r="46" spans="1:18" ht="11.25" customHeight="1">
      <c r="A46" s="13"/>
      <c r="B46" s="13" t="s">
        <v>37</v>
      </c>
      <c r="C46" s="530">
        <f>SUM('By Neighborhood'!C201+'By Neighborhood'!C212)</f>
        <v>13</v>
      </c>
      <c r="D46" s="117">
        <f>SUM('By Neighborhood'!D201+'By Neighborhood'!D212)</f>
        <v>9</v>
      </c>
      <c r="E46" s="505">
        <f>SUM('By Neighborhood'!E201+'By Neighborhood'!E212)</f>
        <v>8</v>
      </c>
      <c r="F46" s="505">
        <f>SUM('By Neighborhood'!F201+'By Neighborhood'!F212)</f>
        <v>3</v>
      </c>
      <c r="G46" s="505">
        <f>SUM('By Neighborhood'!G201+'By Neighborhood'!G212)</f>
        <v>3</v>
      </c>
      <c r="H46" s="505">
        <f>SUM('By Neighborhood'!H201+'By Neighborhood'!H212)</f>
        <v>5</v>
      </c>
      <c r="I46" s="505">
        <f>SUM('By Neighborhood'!I201+'By Neighborhood'!I212)</f>
        <v>7</v>
      </c>
      <c r="J46" s="505">
        <f>SUM('By Neighborhood'!J201+'By Neighborhood'!J212)</f>
        <v>5</v>
      </c>
      <c r="K46" s="505">
        <f>SUM('By Neighborhood'!K201+'By Neighborhood'!K212)</f>
        <v>6</v>
      </c>
      <c r="L46" s="505">
        <f>SUM('By Neighborhood'!L201+'By Neighborhood'!L212)</f>
        <v>5</v>
      </c>
      <c r="M46" s="133">
        <f>SUM('By Neighborhood'!M201+'By Neighborhood'!M212)</f>
        <v>9</v>
      </c>
      <c r="N46" s="531">
        <f t="shared" si="5"/>
        <v>3</v>
      </c>
      <c r="O46" s="531">
        <f t="shared" si="6"/>
        <v>10</v>
      </c>
      <c r="P46" s="107">
        <f t="shared" si="7"/>
        <v>0.76923076923076927</v>
      </c>
      <c r="Q46" s="504"/>
    </row>
    <row r="47" spans="1:18" ht="11.25" customHeight="1">
      <c r="A47" s="2"/>
      <c r="B47" s="3" t="s">
        <v>38</v>
      </c>
      <c r="C47" s="537">
        <f t="shared" ref="C47:M47" si="8">SUM(C35:C46)</f>
        <v>5416</v>
      </c>
      <c r="D47" s="73">
        <f t="shared" si="8"/>
        <v>2495</v>
      </c>
      <c r="E47" s="506">
        <f t="shared" si="8"/>
        <v>1704</v>
      </c>
      <c r="F47" s="506">
        <f t="shared" si="8"/>
        <v>1536</v>
      </c>
      <c r="G47" s="506">
        <f t="shared" si="8"/>
        <v>1386</v>
      </c>
      <c r="H47" s="506">
        <f t="shared" si="8"/>
        <v>1631</v>
      </c>
      <c r="I47" s="506">
        <f t="shared" si="8"/>
        <v>1384</v>
      </c>
      <c r="J47" s="506">
        <f t="shared" si="8"/>
        <v>1548</v>
      </c>
      <c r="K47" s="506">
        <f t="shared" si="8"/>
        <v>1560</v>
      </c>
      <c r="L47" s="506">
        <f t="shared" si="8"/>
        <v>2069</v>
      </c>
      <c r="M47" s="134">
        <f t="shared" si="8"/>
        <v>2677</v>
      </c>
      <c r="N47" s="21">
        <f t="shared" si="5"/>
        <v>1384</v>
      </c>
      <c r="O47" s="71">
        <f t="shared" si="6"/>
        <v>4032</v>
      </c>
      <c r="P47" s="7">
        <f t="shared" si="7"/>
        <v>0.74446085672082718</v>
      </c>
      <c r="Q47" s="504"/>
    </row>
    <row r="48" spans="1:18" ht="11.25" customHeight="1">
      <c r="A48" s="104" t="s">
        <v>44</v>
      </c>
      <c r="B48" s="24" t="s">
        <v>23</v>
      </c>
      <c r="C48" s="9">
        <f>SUM('By Neighborhood'!C225)</f>
        <v>266</v>
      </c>
      <c r="D48" s="118">
        <f>SUM('By Neighborhood'!D225)</f>
        <v>131</v>
      </c>
      <c r="E48" s="118">
        <f>SUM('By Neighborhood'!E225)</f>
        <v>119</v>
      </c>
      <c r="F48" s="118">
        <f>SUM('By Neighborhood'!F225)</f>
        <v>94</v>
      </c>
      <c r="G48" s="118">
        <f>SUM('By Neighborhood'!G225)</f>
        <v>97</v>
      </c>
      <c r="H48" s="118">
        <f>SUM('By Neighborhood'!H225)</f>
        <v>95</v>
      </c>
      <c r="I48" s="118">
        <f>SUM('By Neighborhood'!I225)</f>
        <v>103</v>
      </c>
      <c r="J48" s="118">
        <f>SUM('By Neighborhood'!J225)</f>
        <v>98</v>
      </c>
      <c r="K48" s="118">
        <f>SUM('By Neighborhood'!K225)</f>
        <v>121</v>
      </c>
      <c r="L48" s="118">
        <f>SUM('By Neighborhood'!L225)</f>
        <v>166</v>
      </c>
      <c r="M48" s="135">
        <f>SUM('By Neighborhood'!M225)</f>
        <v>189</v>
      </c>
      <c r="N48" s="118">
        <f t="shared" si="5"/>
        <v>94</v>
      </c>
      <c r="O48" s="118">
        <f t="shared" si="6"/>
        <v>172</v>
      </c>
      <c r="P48" s="120">
        <f t="shared" si="7"/>
        <v>0.64661654135338342</v>
      </c>
      <c r="Q48" s="504"/>
    </row>
    <row r="49" spans="1:17" ht="11.25" customHeight="1">
      <c r="A49" s="103" t="s">
        <v>45</v>
      </c>
      <c r="B49" s="1" t="s">
        <v>25</v>
      </c>
      <c r="C49" s="10">
        <f>SUM('By Neighborhood'!C226)</f>
        <v>1227</v>
      </c>
      <c r="D49" s="11">
        <f>SUM('By Neighborhood'!D226)</f>
        <v>505</v>
      </c>
      <c r="E49" s="11">
        <f>SUM('By Neighborhood'!E226)</f>
        <v>425</v>
      </c>
      <c r="F49" s="11">
        <f>SUM('By Neighborhood'!F226)</f>
        <v>392</v>
      </c>
      <c r="G49" s="11">
        <f>SUM('By Neighborhood'!G226)</f>
        <v>362</v>
      </c>
      <c r="H49" s="11">
        <f>SUM('By Neighborhood'!H226)</f>
        <v>351</v>
      </c>
      <c r="I49" s="11">
        <f>SUM('By Neighborhood'!I226)</f>
        <v>347</v>
      </c>
      <c r="J49" s="11">
        <f>SUM('By Neighborhood'!J226)</f>
        <v>396</v>
      </c>
      <c r="K49" s="11">
        <f>SUM('By Neighborhood'!K226)</f>
        <v>483</v>
      </c>
      <c r="L49" s="11">
        <f>SUM('By Neighborhood'!L226)</f>
        <v>571</v>
      </c>
      <c r="M49" s="136">
        <f>SUM('By Neighborhood'!M226)</f>
        <v>637</v>
      </c>
      <c r="N49" s="11">
        <f t="shared" si="5"/>
        <v>347</v>
      </c>
      <c r="O49" s="11">
        <f t="shared" si="6"/>
        <v>880</v>
      </c>
      <c r="P49" s="122">
        <f t="shared" si="7"/>
        <v>0.71719641401792988</v>
      </c>
      <c r="Q49" s="504"/>
    </row>
    <row r="50" spans="1:17" ht="11.25" customHeight="1">
      <c r="A50" s="103" t="s">
        <v>46</v>
      </c>
      <c r="B50" s="1" t="s">
        <v>27</v>
      </c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37"/>
      <c r="N50" s="12"/>
      <c r="O50" s="12"/>
      <c r="P50" s="123"/>
      <c r="Q50" s="504"/>
    </row>
    <row r="51" spans="1:17" ht="11.25" customHeight="1">
      <c r="A51" s="13"/>
      <c r="B51" s="1" t="s">
        <v>31</v>
      </c>
      <c r="C51" s="10">
        <f>SUM('By Neighborhood'!C228)</f>
        <v>273</v>
      </c>
      <c r="D51" s="11">
        <f>SUM('By Neighborhood'!D228)</f>
        <v>168</v>
      </c>
      <c r="E51" s="11">
        <f>SUM('By Neighborhood'!E228)</f>
        <v>153</v>
      </c>
      <c r="F51" s="11">
        <f>SUM('By Neighborhood'!F228)</f>
        <v>151</v>
      </c>
      <c r="G51" s="11">
        <f>SUM('By Neighborhood'!G228)</f>
        <v>145</v>
      </c>
      <c r="H51" s="11">
        <f>SUM('By Neighborhood'!H228)</f>
        <v>148</v>
      </c>
      <c r="I51" s="11">
        <f>SUM('By Neighborhood'!I228)</f>
        <v>156</v>
      </c>
      <c r="J51" s="11">
        <f>SUM('By Neighborhood'!J228)</f>
        <v>168</v>
      </c>
      <c r="K51" s="11">
        <f>SUM('By Neighborhood'!K228)</f>
        <v>186</v>
      </c>
      <c r="L51" s="11">
        <f>SUM('By Neighborhood'!L228)</f>
        <v>214</v>
      </c>
      <c r="M51" s="136">
        <f>SUM('By Neighborhood'!M228)</f>
        <v>224</v>
      </c>
      <c r="N51" s="11">
        <f t="shared" ref="N51:N58" si="9">MIN(D51:M51)</f>
        <v>145</v>
      </c>
      <c r="O51" s="11">
        <f t="shared" ref="O51:O58" si="10">C51-N51</f>
        <v>128</v>
      </c>
      <c r="P51" s="122">
        <f t="shared" ref="P51:P58" si="11">O51/C51</f>
        <v>0.46886446886446886</v>
      </c>
      <c r="Q51" s="504"/>
    </row>
    <row r="52" spans="1:17" ht="11.25" customHeight="1">
      <c r="A52" s="13"/>
      <c r="B52" s="1" t="s">
        <v>32</v>
      </c>
      <c r="C52" s="10">
        <f>SUM('By Neighborhood'!C229)</f>
        <v>100</v>
      </c>
      <c r="D52" s="11">
        <f>SUM('By Neighborhood'!D229)</f>
        <v>82</v>
      </c>
      <c r="E52" s="11">
        <f>SUM('By Neighborhood'!E229)</f>
        <v>75</v>
      </c>
      <c r="F52" s="11">
        <f>SUM('By Neighborhood'!F229)</f>
        <v>65</v>
      </c>
      <c r="G52" s="11">
        <f>SUM('By Neighborhood'!G229)</f>
        <v>64</v>
      </c>
      <c r="H52" s="11">
        <f>SUM('By Neighborhood'!H229)</f>
        <v>70</v>
      </c>
      <c r="I52" s="11">
        <f>SUM('By Neighborhood'!I229)</f>
        <v>69</v>
      </c>
      <c r="J52" s="11">
        <f>SUM('By Neighborhood'!J229)</f>
        <v>71</v>
      </c>
      <c r="K52" s="11">
        <f>SUM('By Neighborhood'!K229)</f>
        <v>74</v>
      </c>
      <c r="L52" s="11">
        <f>SUM('By Neighborhood'!L229)</f>
        <v>73</v>
      </c>
      <c r="M52" s="136">
        <f>SUM('By Neighborhood'!M229)</f>
        <v>78</v>
      </c>
      <c r="N52" s="11">
        <f t="shared" si="9"/>
        <v>64</v>
      </c>
      <c r="O52" s="11">
        <f t="shared" si="10"/>
        <v>36</v>
      </c>
      <c r="P52" s="122">
        <f t="shared" si="11"/>
        <v>0.36</v>
      </c>
      <c r="Q52" s="504"/>
    </row>
    <row r="53" spans="1:17" ht="11.25" customHeight="1">
      <c r="A53" s="13"/>
      <c r="B53" s="1" t="s">
        <v>33</v>
      </c>
      <c r="C53" s="10">
        <f>SUM('By Neighborhood'!C230)</f>
        <v>107</v>
      </c>
      <c r="D53" s="11">
        <f>SUM('By Neighborhood'!D230)</f>
        <v>73</v>
      </c>
      <c r="E53" s="11">
        <f>SUM('By Neighborhood'!E230)</f>
        <v>76</v>
      </c>
      <c r="F53" s="11">
        <f>SUM('By Neighborhood'!F230)</f>
        <v>77</v>
      </c>
      <c r="G53" s="11">
        <f>SUM('By Neighborhood'!G230)</f>
        <v>64</v>
      </c>
      <c r="H53" s="11">
        <f>SUM('By Neighborhood'!H230)</f>
        <v>68</v>
      </c>
      <c r="I53" s="11">
        <f>SUM('By Neighborhood'!I230)</f>
        <v>68</v>
      </c>
      <c r="J53" s="11">
        <f>SUM('By Neighborhood'!J230)</f>
        <v>68</v>
      </c>
      <c r="K53" s="11">
        <f>SUM('By Neighborhood'!K230)</f>
        <v>70</v>
      </c>
      <c r="L53" s="11">
        <f>SUM('By Neighborhood'!L230)</f>
        <v>75</v>
      </c>
      <c r="M53" s="136">
        <f>SUM('By Neighborhood'!M230)</f>
        <v>81</v>
      </c>
      <c r="N53" s="11">
        <f t="shared" si="9"/>
        <v>64</v>
      </c>
      <c r="O53" s="11">
        <f t="shared" si="10"/>
        <v>43</v>
      </c>
      <c r="P53" s="122">
        <f t="shared" si="11"/>
        <v>0.40186915887850466</v>
      </c>
      <c r="Q53" s="504"/>
    </row>
    <row r="54" spans="1:17" ht="11.25" customHeight="1">
      <c r="A54" s="103"/>
      <c r="B54" s="1" t="s">
        <v>34</v>
      </c>
      <c r="C54" s="10">
        <f>SUM('By Neighborhood'!C231)</f>
        <v>43</v>
      </c>
      <c r="D54" s="11">
        <f>SUM('By Neighborhood'!D231)</f>
        <v>14</v>
      </c>
      <c r="E54" s="11">
        <f>SUM('By Neighborhood'!E231)</f>
        <v>15</v>
      </c>
      <c r="F54" s="11">
        <f>SUM('By Neighborhood'!F231)</f>
        <v>15</v>
      </c>
      <c r="G54" s="11">
        <f>SUM('By Neighborhood'!G231)</f>
        <v>16</v>
      </c>
      <c r="H54" s="11">
        <f>SUM('By Neighborhood'!H231)</f>
        <v>22</v>
      </c>
      <c r="I54" s="11">
        <f>SUM('By Neighborhood'!I231)</f>
        <v>23</v>
      </c>
      <c r="J54" s="11">
        <f>SUM('By Neighborhood'!J231)</f>
        <v>25</v>
      </c>
      <c r="K54" s="11">
        <f>SUM('By Neighborhood'!K231)</f>
        <v>26</v>
      </c>
      <c r="L54" s="11">
        <f>SUM('By Neighborhood'!L231)</f>
        <v>22</v>
      </c>
      <c r="M54" s="136">
        <f>SUM('By Neighborhood'!M231)</f>
        <v>24</v>
      </c>
      <c r="N54" s="11">
        <f t="shared" si="9"/>
        <v>14</v>
      </c>
      <c r="O54" s="11">
        <f t="shared" si="10"/>
        <v>29</v>
      </c>
      <c r="P54" s="122">
        <f t="shared" si="11"/>
        <v>0.67441860465116277</v>
      </c>
      <c r="Q54" s="504"/>
    </row>
    <row r="55" spans="1:17" ht="11.25" customHeight="1">
      <c r="A55" s="103"/>
      <c r="B55" s="1" t="s">
        <v>35</v>
      </c>
      <c r="C55" s="10">
        <f>SUM('By Neighborhood'!C232)</f>
        <v>14</v>
      </c>
      <c r="D55" s="11">
        <f>SUM('By Neighborhood'!D232)</f>
        <v>8</v>
      </c>
      <c r="E55" s="11">
        <f>SUM('By Neighborhood'!E232)</f>
        <v>8</v>
      </c>
      <c r="F55" s="11">
        <f>SUM('By Neighborhood'!F232)</f>
        <v>9</v>
      </c>
      <c r="G55" s="11">
        <f>SUM('By Neighborhood'!G232)</f>
        <v>5</v>
      </c>
      <c r="H55" s="11">
        <f>SUM('By Neighborhood'!H232)</f>
        <v>6</v>
      </c>
      <c r="I55" s="11">
        <f>SUM('By Neighborhood'!I232)</f>
        <v>3</v>
      </c>
      <c r="J55" s="11">
        <f>SUM('By Neighborhood'!J232)</f>
        <v>3</v>
      </c>
      <c r="K55" s="11">
        <f>SUM('By Neighborhood'!K232)</f>
        <v>6</v>
      </c>
      <c r="L55" s="11">
        <f>SUM('By Neighborhood'!L232)</f>
        <v>6</v>
      </c>
      <c r="M55" s="136">
        <f>SUM('By Neighborhood'!M232)</f>
        <v>4</v>
      </c>
      <c r="N55" s="11">
        <f t="shared" si="9"/>
        <v>3</v>
      </c>
      <c r="O55" s="11">
        <f t="shared" si="10"/>
        <v>11</v>
      </c>
      <c r="P55" s="122">
        <f t="shared" si="11"/>
        <v>0.7857142857142857</v>
      </c>
      <c r="Q55" s="504"/>
    </row>
    <row r="56" spans="1:17" ht="11.25" customHeight="1">
      <c r="A56" s="103"/>
      <c r="B56" s="1" t="s">
        <v>36</v>
      </c>
      <c r="C56" s="10">
        <f>SUM('By Neighborhood'!C233)</f>
        <v>12</v>
      </c>
      <c r="D56" s="11">
        <f>SUM('By Neighborhood'!D233)</f>
        <v>9</v>
      </c>
      <c r="E56" s="11">
        <f>SUM('By Neighborhood'!E233)</f>
        <v>9</v>
      </c>
      <c r="F56" s="11">
        <f>SUM('By Neighborhood'!F233)</f>
        <v>9</v>
      </c>
      <c r="G56" s="11">
        <f>SUM('By Neighborhood'!G233)</f>
        <v>9</v>
      </c>
      <c r="H56" s="11">
        <f>SUM('By Neighborhood'!H233)</f>
        <v>7</v>
      </c>
      <c r="I56" s="11">
        <f>SUM('By Neighborhood'!I233)</f>
        <v>6</v>
      </c>
      <c r="J56" s="11">
        <f>SUM('By Neighborhood'!J233)</f>
        <v>6</v>
      </c>
      <c r="K56" s="11">
        <f>SUM('By Neighborhood'!K233)</f>
        <v>8</v>
      </c>
      <c r="L56" s="11">
        <f>SUM('By Neighborhood'!L233)</f>
        <v>8</v>
      </c>
      <c r="M56" s="136">
        <f>SUM('By Neighborhood'!M233)</f>
        <v>6</v>
      </c>
      <c r="N56" s="11">
        <f t="shared" si="9"/>
        <v>6</v>
      </c>
      <c r="O56" s="11">
        <f t="shared" si="10"/>
        <v>6</v>
      </c>
      <c r="P56" s="122">
        <f t="shared" si="11"/>
        <v>0.5</v>
      </c>
      <c r="Q56" s="504"/>
    </row>
    <row r="57" spans="1:17" ht="11.25" customHeight="1">
      <c r="A57" s="103"/>
      <c r="B57" s="25" t="s">
        <v>37</v>
      </c>
      <c r="C57" s="14">
        <f>SUM('By Neighborhood'!C234)</f>
        <v>6</v>
      </c>
      <c r="D57" s="11">
        <f>SUM('By Neighborhood'!D234)</f>
        <v>2</v>
      </c>
      <c r="E57" s="11">
        <f>SUM('By Neighborhood'!E234)</f>
        <v>2</v>
      </c>
      <c r="F57" s="11">
        <f>SUM('By Neighborhood'!F234)</f>
        <v>2</v>
      </c>
      <c r="G57" s="11">
        <f>SUM('By Neighborhood'!G234)</f>
        <v>0</v>
      </c>
      <c r="H57" s="11">
        <f>SUM('By Neighborhood'!H234)</f>
        <v>2</v>
      </c>
      <c r="I57" s="11">
        <f>SUM('By Neighborhood'!I234)</f>
        <v>2</v>
      </c>
      <c r="J57" s="11">
        <f>SUM('By Neighborhood'!J234)</f>
        <v>2</v>
      </c>
      <c r="K57" s="11">
        <f>SUM('By Neighborhood'!K234)</f>
        <v>1</v>
      </c>
      <c r="L57" s="11">
        <f>SUM('By Neighborhood'!L234)</f>
        <v>2</v>
      </c>
      <c r="M57" s="136">
        <f>SUM('By Neighborhood'!M234)</f>
        <v>3</v>
      </c>
      <c r="N57" s="11">
        <f t="shared" si="9"/>
        <v>0</v>
      </c>
      <c r="O57" s="11">
        <f t="shared" si="10"/>
        <v>6</v>
      </c>
      <c r="P57" s="122">
        <f t="shared" si="11"/>
        <v>1</v>
      </c>
      <c r="Q57" s="504"/>
    </row>
    <row r="58" spans="1:17" ht="11.25" customHeight="1">
      <c r="A58" s="124"/>
      <c r="B58" s="114" t="s">
        <v>38</v>
      </c>
      <c r="C58" s="15">
        <f t="shared" ref="C58:M58" si="12">SUM(C48:C57)</f>
        <v>2048</v>
      </c>
      <c r="D58" s="16">
        <f t="shared" si="12"/>
        <v>992</v>
      </c>
      <c r="E58" s="16">
        <f t="shared" si="12"/>
        <v>882</v>
      </c>
      <c r="F58" s="16">
        <f t="shared" si="12"/>
        <v>814</v>
      </c>
      <c r="G58" s="16">
        <f t="shared" si="12"/>
        <v>762</v>
      </c>
      <c r="H58" s="16">
        <f t="shared" si="12"/>
        <v>769</v>
      </c>
      <c r="I58" s="16">
        <f t="shared" si="12"/>
        <v>777</v>
      </c>
      <c r="J58" s="16">
        <f t="shared" si="12"/>
        <v>837</v>
      </c>
      <c r="K58" s="16">
        <f t="shared" si="12"/>
        <v>975</v>
      </c>
      <c r="L58" s="16">
        <f t="shared" si="12"/>
        <v>1137</v>
      </c>
      <c r="M58" s="138">
        <f t="shared" si="12"/>
        <v>1246</v>
      </c>
      <c r="N58" s="16">
        <f t="shared" si="9"/>
        <v>762</v>
      </c>
      <c r="O58" s="16">
        <f t="shared" si="10"/>
        <v>1286</v>
      </c>
      <c r="P58" s="59">
        <f t="shared" si="11"/>
        <v>0.6279296875</v>
      </c>
      <c r="Q58" s="504"/>
    </row>
    <row r="59" spans="1:17" ht="11.25" customHeight="1">
      <c r="A59" s="504"/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504"/>
      <c r="Q59" s="504"/>
    </row>
    <row r="60" spans="1:17" ht="15.75" customHeight="1">
      <c r="A60" s="503"/>
      <c r="B60" s="503"/>
      <c r="C60" s="503"/>
      <c r="D60" s="503"/>
      <c r="E60" s="503"/>
      <c r="F60" s="503"/>
      <c r="G60" s="503"/>
      <c r="H60" s="503"/>
      <c r="I60" s="503"/>
      <c r="J60" s="503"/>
      <c r="K60" s="503"/>
      <c r="L60" s="503"/>
      <c r="M60" s="503"/>
      <c r="N60" s="503"/>
      <c r="O60" s="503"/>
      <c r="P60" s="503"/>
      <c r="Q60" s="503"/>
    </row>
    <row r="61" spans="1:17" ht="15.75" customHeight="1">
      <c r="A61" s="503"/>
      <c r="B61" s="503"/>
      <c r="C61" s="503"/>
      <c r="D61" s="503"/>
      <c r="E61" s="503"/>
      <c r="F61" s="503"/>
      <c r="G61" s="503"/>
      <c r="H61" s="503"/>
      <c r="I61" s="503"/>
      <c r="J61" s="503"/>
      <c r="K61" s="503"/>
      <c r="L61" s="503"/>
      <c r="M61" s="503"/>
      <c r="N61" s="503"/>
      <c r="O61" s="503"/>
      <c r="P61" s="503"/>
      <c r="Q61" s="503"/>
    </row>
    <row r="62" spans="1:17" ht="15.75" customHeight="1">
      <c r="A62" s="503"/>
      <c r="B62" s="503"/>
      <c r="C62" s="503"/>
      <c r="D62" s="503"/>
      <c r="E62" s="503"/>
      <c r="F62" s="503"/>
      <c r="G62" s="503"/>
      <c r="H62" s="503"/>
      <c r="I62" s="503"/>
      <c r="J62" s="503"/>
      <c r="K62" s="503"/>
      <c r="L62" s="503"/>
      <c r="M62" s="503"/>
      <c r="N62" s="503"/>
      <c r="O62" s="503"/>
      <c r="P62" s="503"/>
      <c r="Q62" s="503"/>
    </row>
    <row r="63" spans="1:17" ht="15.75" customHeight="1">
      <c r="A63" s="503"/>
      <c r="B63" s="503"/>
      <c r="C63" s="503"/>
      <c r="D63" s="503"/>
      <c r="E63" s="503"/>
      <c r="F63" s="503"/>
      <c r="G63" s="503"/>
      <c r="H63" s="503"/>
      <c r="I63" s="503"/>
      <c r="J63" s="503"/>
      <c r="K63" s="503"/>
      <c r="L63" s="503"/>
      <c r="M63" s="503"/>
      <c r="N63" s="503"/>
      <c r="O63" s="503"/>
      <c r="P63" s="503"/>
      <c r="Q63" s="503"/>
    </row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1" manualBreakCount="1">
    <brk id="34" max="16383" man="1"/>
  </rowBreaks>
  <cellWatches>
    <cellWatch r="C28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Z1001"/>
  <sheetViews>
    <sheetView showGridLines="0" zoomScale="120" zoomScaleNormal="120" workbookViewId="0">
      <pane ySplit="6" topLeftCell="A7" activePane="bottomLeft" state="frozen"/>
      <selection pane="bottomLeft" activeCell="A7" sqref="A7"/>
    </sheetView>
  </sheetViews>
  <sheetFormatPr defaultColWidth="14.453125" defaultRowHeight="15" customHeight="1"/>
  <cols>
    <col min="1" max="1" width="11.453125" customWidth="1"/>
    <col min="2" max="2" width="12" customWidth="1"/>
    <col min="3" max="3" width="7" customWidth="1"/>
    <col min="4" max="5" width="5" customWidth="1"/>
    <col min="6" max="8" width="4.90625" customWidth="1"/>
    <col min="9" max="10" width="4.453125" customWidth="1"/>
    <col min="11" max="12" width="4.90625" customWidth="1"/>
    <col min="13" max="13" width="5" customWidth="1"/>
    <col min="14" max="14" width="6.90625" customWidth="1"/>
    <col min="15" max="26" width="8" customWidth="1"/>
  </cols>
  <sheetData>
    <row r="1" spans="1:26" ht="14.25" hidden="1" customHeight="1">
      <c r="A1" s="565" t="str">
        <f>'University-wide'!A1</f>
        <v>University of California, San Diego Survey of Parking Space Occupancy Levels, Spring 2021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  <c r="R1" s="504"/>
      <c r="S1" s="504"/>
      <c r="T1" s="504"/>
      <c r="U1" s="504"/>
      <c r="V1" s="504"/>
      <c r="W1" s="504"/>
      <c r="X1" s="504"/>
      <c r="Y1" s="504"/>
      <c r="Z1" s="504"/>
    </row>
    <row r="2" spans="1:26" ht="14.25" hidden="1" customHeight="1">
      <c r="A2" s="565" t="s">
        <v>59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  <c r="R2" s="504"/>
      <c r="S2" s="504"/>
      <c r="T2" s="504"/>
      <c r="U2" s="504"/>
      <c r="V2" s="504"/>
      <c r="W2" s="504"/>
      <c r="X2" s="504"/>
      <c r="Y2" s="504"/>
      <c r="Z2" s="504"/>
    </row>
    <row r="3" spans="1:26" ht="11.25" hidden="1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  <c r="R3" s="504"/>
      <c r="S3" s="504"/>
      <c r="T3" s="504"/>
      <c r="U3" s="504"/>
      <c r="V3" s="504"/>
      <c r="W3" s="504"/>
      <c r="X3" s="504"/>
      <c r="Y3" s="504"/>
      <c r="Z3" s="504"/>
    </row>
    <row r="4" spans="1:26" ht="11.25" customHeight="1">
      <c r="A4" s="92" t="s">
        <v>60</v>
      </c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  <c r="R4" s="504"/>
      <c r="S4" s="504"/>
      <c r="T4" s="504"/>
      <c r="U4" s="504"/>
      <c r="V4" s="504"/>
      <c r="W4" s="504"/>
      <c r="X4" s="504"/>
      <c r="Y4" s="504"/>
      <c r="Z4" s="504"/>
    </row>
    <row r="5" spans="1:26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  <c r="R5" s="504"/>
      <c r="S5" s="504"/>
      <c r="T5" s="504"/>
      <c r="U5" s="504"/>
      <c r="V5" s="504"/>
      <c r="W5" s="504"/>
      <c r="X5" s="504"/>
      <c r="Y5" s="504"/>
      <c r="Z5" s="504"/>
    </row>
    <row r="6" spans="1:26" ht="11.25" customHeight="1">
      <c r="A6" s="100"/>
      <c r="B6" s="100"/>
      <c r="C6" s="100"/>
      <c r="D6" s="101" t="s">
        <v>20</v>
      </c>
      <c r="E6" s="102" t="s">
        <v>20</v>
      </c>
      <c r="F6" s="102" t="s">
        <v>20</v>
      </c>
      <c r="G6" s="102" t="s">
        <v>20</v>
      </c>
      <c r="H6" s="102" t="s">
        <v>21</v>
      </c>
      <c r="I6" s="102" t="s">
        <v>21</v>
      </c>
      <c r="J6" s="102" t="s">
        <v>21</v>
      </c>
      <c r="K6" s="102" t="s">
        <v>21</v>
      </c>
      <c r="L6" s="102" t="s">
        <v>21</v>
      </c>
      <c r="M6" s="81" t="s">
        <v>21</v>
      </c>
      <c r="N6" s="101" t="s">
        <v>6</v>
      </c>
      <c r="O6" s="102" t="s">
        <v>6</v>
      </c>
      <c r="P6" s="81" t="s">
        <v>18</v>
      </c>
      <c r="Q6" s="504"/>
      <c r="R6" s="504"/>
      <c r="S6" s="504"/>
      <c r="T6" s="504"/>
      <c r="U6" s="504"/>
      <c r="V6" s="504"/>
      <c r="W6" s="504"/>
      <c r="X6" s="504"/>
      <c r="Y6" s="504"/>
      <c r="Z6" s="504"/>
    </row>
    <row r="7" spans="1:26" ht="11.25" customHeight="1">
      <c r="A7" s="398" t="s">
        <v>61</v>
      </c>
      <c r="B7" s="13" t="s">
        <v>23</v>
      </c>
      <c r="C7" s="13"/>
      <c r="D7" s="109"/>
      <c r="E7" s="504"/>
      <c r="F7" s="504"/>
      <c r="G7" s="504"/>
      <c r="H7" s="504"/>
      <c r="I7" s="504"/>
      <c r="J7" s="504"/>
      <c r="K7" s="504"/>
      <c r="L7" s="504"/>
      <c r="M7" s="110"/>
      <c r="N7" s="109"/>
      <c r="O7" s="504"/>
      <c r="P7" s="107"/>
      <c r="Q7" s="504"/>
      <c r="R7" s="504"/>
      <c r="S7" s="504"/>
      <c r="T7" s="504"/>
      <c r="U7" s="504"/>
      <c r="V7" s="504"/>
      <c r="W7" s="504"/>
      <c r="X7" s="504"/>
      <c r="Y7" s="504"/>
      <c r="Z7" s="504"/>
    </row>
    <row r="8" spans="1:26" ht="11.25" customHeight="1">
      <c r="A8" s="109" t="s">
        <v>62</v>
      </c>
      <c r="B8" s="13" t="s">
        <v>25</v>
      </c>
      <c r="C8" s="13"/>
      <c r="D8" s="109"/>
      <c r="E8" s="504"/>
      <c r="F8" s="504"/>
      <c r="G8" s="504"/>
      <c r="H8" s="504"/>
      <c r="I8" s="504"/>
      <c r="J8" s="504"/>
      <c r="K8" s="504"/>
      <c r="L8" s="504"/>
      <c r="M8" s="110"/>
      <c r="N8" s="109"/>
      <c r="O8" s="504"/>
      <c r="P8" s="107"/>
      <c r="Q8" s="504"/>
      <c r="R8" s="504"/>
      <c r="S8" s="504"/>
      <c r="T8" s="504"/>
      <c r="U8" s="504"/>
      <c r="V8" s="504"/>
      <c r="W8" s="504"/>
      <c r="X8" s="504"/>
      <c r="Y8" s="504"/>
      <c r="Z8" s="504"/>
    </row>
    <row r="9" spans="1:26" ht="11.25" customHeight="1">
      <c r="A9" s="109"/>
      <c r="B9" s="13" t="s">
        <v>27</v>
      </c>
      <c r="C9" s="13"/>
      <c r="D9" s="109"/>
      <c r="E9" s="504"/>
      <c r="F9" s="504"/>
      <c r="G9" s="504"/>
      <c r="H9" s="504"/>
      <c r="I9" s="504"/>
      <c r="J9" s="504"/>
      <c r="K9" s="504"/>
      <c r="L9" s="504"/>
      <c r="M9" s="110"/>
      <c r="N9" s="109"/>
      <c r="O9" s="504"/>
      <c r="P9" s="107"/>
      <c r="Q9" s="504"/>
      <c r="R9" s="504"/>
      <c r="S9" s="504"/>
      <c r="T9" s="504"/>
      <c r="U9" s="504"/>
      <c r="V9" s="504"/>
      <c r="W9" s="504"/>
      <c r="X9" s="504"/>
      <c r="Y9" s="504"/>
      <c r="Z9" s="504"/>
    </row>
    <row r="10" spans="1:26" ht="11.25" customHeight="1">
      <c r="A10" s="109"/>
      <c r="B10" s="13" t="s">
        <v>31</v>
      </c>
      <c r="C10" s="13"/>
      <c r="D10" s="109"/>
      <c r="E10" s="504"/>
      <c r="F10" s="504"/>
      <c r="G10" s="504"/>
      <c r="H10" s="504"/>
      <c r="I10" s="504"/>
      <c r="J10" s="504"/>
      <c r="K10" s="504"/>
      <c r="L10" s="504"/>
      <c r="M10" s="110"/>
      <c r="N10" s="109"/>
      <c r="O10" s="504"/>
      <c r="P10" s="107"/>
      <c r="Q10" s="504"/>
      <c r="R10" s="504"/>
      <c r="S10" s="504"/>
      <c r="T10" s="504"/>
      <c r="U10" s="504"/>
      <c r="V10" s="504"/>
      <c r="W10" s="504"/>
      <c r="X10" s="504"/>
      <c r="Y10" s="504"/>
      <c r="Z10" s="504"/>
    </row>
    <row r="11" spans="1:26" ht="11.25" customHeight="1">
      <c r="A11" s="109"/>
      <c r="B11" s="13" t="s">
        <v>32</v>
      </c>
      <c r="C11" s="13">
        <f>SUM('By Lot'!E12,'By Lot'!E29,'By Lot'!E46,'By Lot'!E63,'By Lot'!E81,'By Lot'!E98,'By Lot'!E115,'By Lot'!E133)</f>
        <v>1</v>
      </c>
      <c r="D11" s="109">
        <f>SUM('By Lot'!F12,'By Lot'!F29,'By Lot'!F46,'By Lot'!F63,'By Lot'!F81,'By Lot'!F98,'By Lot'!F115,'By Lot'!F133)</f>
        <v>0</v>
      </c>
      <c r="E11" s="504">
        <f>SUM('By Lot'!G12,'By Lot'!G29,'By Lot'!G46,'By Lot'!G63,'By Lot'!G81,'By Lot'!G98,'By Lot'!G115,'By Lot'!G133)</f>
        <v>0</v>
      </c>
      <c r="F11" s="504">
        <f>SUM('By Lot'!H12,'By Lot'!H29,'By Lot'!H46,'By Lot'!H63,'By Lot'!H81,'By Lot'!H98,'By Lot'!H115,'By Lot'!H133)</f>
        <v>0</v>
      </c>
      <c r="G11" s="504">
        <f>SUM('By Lot'!I12,'By Lot'!I29,'By Lot'!I46,'By Lot'!I63,'By Lot'!I81,'By Lot'!I98,'By Lot'!I115,'By Lot'!I133)</f>
        <v>0</v>
      </c>
      <c r="H11" s="504">
        <f>SUM('By Lot'!J12,'By Lot'!J29,'By Lot'!J46,'By Lot'!J63,'By Lot'!J81,'By Lot'!J98,'By Lot'!J115,'By Lot'!J133)</f>
        <v>0</v>
      </c>
      <c r="I11" s="504">
        <f>SUM('By Lot'!K12,'By Lot'!K29,'By Lot'!K46,'By Lot'!K63,'By Lot'!K81,'By Lot'!K98,'By Lot'!K115,'By Lot'!K133)</f>
        <v>0</v>
      </c>
      <c r="J11" s="504">
        <f>SUM('By Lot'!L12,'By Lot'!L29,'By Lot'!L46,'By Lot'!L63,'By Lot'!L81,'By Lot'!L98,'By Lot'!L115,'By Lot'!L133)</f>
        <v>0</v>
      </c>
      <c r="K11" s="504">
        <f>SUM('By Lot'!M12,'By Lot'!M29,'By Lot'!M46,'By Lot'!M63,'By Lot'!M81,'By Lot'!M98,'By Lot'!M115,'By Lot'!M133)</f>
        <v>0</v>
      </c>
      <c r="L11" s="504">
        <f>SUM('By Lot'!N12,'By Lot'!N29,'By Lot'!N46,'By Lot'!N63,'By Lot'!N81,'By Lot'!N98,'By Lot'!N115,'By Lot'!N133)</f>
        <v>0</v>
      </c>
      <c r="M11" s="110">
        <f>SUM('By Lot'!O12,'By Lot'!O29,'By Lot'!O46,'By Lot'!O63,'By Lot'!O81,'By Lot'!O98,'By Lot'!O115,'By Lot'!O133)</f>
        <v>0</v>
      </c>
      <c r="N11" s="109">
        <f t="shared" ref="N11:N17" si="0">MIN(D11:M11)</f>
        <v>0</v>
      </c>
      <c r="O11" s="504">
        <f t="shared" ref="O11:O17" si="1">C11-N11</f>
        <v>1</v>
      </c>
      <c r="P11" s="107">
        <f t="shared" ref="P11:P17" si="2">O11/C11</f>
        <v>1</v>
      </c>
      <c r="Q11" s="504"/>
      <c r="R11" s="504"/>
      <c r="S11" s="504"/>
      <c r="T11" s="504"/>
      <c r="U11" s="504"/>
      <c r="V11" s="504"/>
      <c r="W11" s="504"/>
      <c r="X11" s="504"/>
      <c r="Y11" s="504"/>
      <c r="Z11" s="504"/>
    </row>
    <row r="12" spans="1:26" ht="11.25" customHeight="1">
      <c r="A12" s="109"/>
      <c r="B12" s="13" t="s">
        <v>33</v>
      </c>
      <c r="C12" s="13">
        <f>SUM('By Lot'!E13:E18,'By Lot'!E30:E35,'By Lot'!E47:E52,'By Lot'!E64:E69,'By Lot'!E82:E87,'By Lot'!E99:E104,'By Lot'!E116:E121,'By Lot'!E134:E139)</f>
        <v>170</v>
      </c>
      <c r="D12" s="109">
        <f>SUM('By Lot'!F13:F18,'By Lot'!F30:F35,'By Lot'!F47:F52,'By Lot'!F64:F69,'By Lot'!F82:F87,'By Lot'!F99:F104,'By Lot'!F116:F121,'By Lot'!F134:F139)</f>
        <v>125</v>
      </c>
      <c r="E12" s="504">
        <f>SUM('By Lot'!G13:G18,'By Lot'!G30:G35,'By Lot'!G47:G52,'By Lot'!G64:G69,'By Lot'!G82:G87,'By Lot'!G99:G104,'By Lot'!G116:G121,'By Lot'!G134:G139)</f>
        <v>113</v>
      </c>
      <c r="F12" s="504">
        <f>SUM('By Lot'!H13:H18,'By Lot'!H30:H35,'By Lot'!H47:H52,'By Lot'!H64:H69,'By Lot'!H82:H87,'By Lot'!H99:H104,'By Lot'!H116:H121,'By Lot'!H134:H139)</f>
        <v>98</v>
      </c>
      <c r="G12" s="504">
        <f>SUM('By Lot'!I13:I18,'By Lot'!I30:I35,'By Lot'!I47:I52,'By Lot'!I64:I69,'By Lot'!I82:I87,'By Lot'!I99:I104,'By Lot'!I116:I121,'By Lot'!I134:I139)</f>
        <v>85</v>
      </c>
      <c r="H12" s="504">
        <f>SUM('By Lot'!J13:J18,'By Lot'!J30:J35,'By Lot'!J47:J52,'By Lot'!J64:J69,'By Lot'!J82:J87,'By Lot'!J99:J104,'By Lot'!J116:J121,'By Lot'!J134:J139)</f>
        <v>81</v>
      </c>
      <c r="I12" s="504">
        <f>SUM('By Lot'!K13:K18,'By Lot'!K30:K35,'By Lot'!K47:K52,'By Lot'!K64:K69,'By Lot'!K82:K87,'By Lot'!K99:K104,'By Lot'!K116:K121,'By Lot'!K134:K139)</f>
        <v>85</v>
      </c>
      <c r="J12" s="504">
        <f>SUM('By Lot'!L13:L18,'By Lot'!L30:L35,'By Lot'!L47:L52,'By Lot'!L64:L69,'By Lot'!L82:L87,'By Lot'!L99:L104,'By Lot'!L116:L121,'By Lot'!L134:L139)</f>
        <v>93</v>
      </c>
      <c r="K12" s="504">
        <f>SUM('By Lot'!M13:M18,'By Lot'!M30:M35,'By Lot'!M47:M52,'By Lot'!M64:M69,'By Lot'!M82:M87,'By Lot'!M99:M104,'By Lot'!M116:M121,'By Lot'!M134:M139)</f>
        <v>99</v>
      </c>
      <c r="L12" s="504">
        <f>SUM('By Lot'!N13:N18,'By Lot'!N30:N35,'By Lot'!N47:N52,'By Lot'!N64:N69,'By Lot'!N82:N87,'By Lot'!N99:N104,'By Lot'!N116:N121,'By Lot'!N134:N139)</f>
        <v>110</v>
      </c>
      <c r="M12" s="110">
        <f>SUM('By Lot'!O13:O18,'By Lot'!O30:O35,'By Lot'!O47:O52,'By Lot'!O64:O69,'By Lot'!O82:O87,'By Lot'!O99:O104,'By Lot'!O116:O121,'By Lot'!O134:O139)</f>
        <v>122</v>
      </c>
      <c r="N12" s="109">
        <f t="shared" si="0"/>
        <v>81</v>
      </c>
      <c r="O12" s="504">
        <f t="shared" si="1"/>
        <v>89</v>
      </c>
      <c r="P12" s="107">
        <f t="shared" si="2"/>
        <v>0.52352941176470591</v>
      </c>
      <c r="Q12" s="504"/>
      <c r="R12" s="504"/>
      <c r="S12" s="504"/>
      <c r="T12" s="504"/>
      <c r="U12" s="504"/>
      <c r="V12" s="504"/>
      <c r="W12" s="504"/>
      <c r="X12" s="504"/>
      <c r="Y12" s="504"/>
      <c r="Z12" s="504"/>
    </row>
    <row r="13" spans="1:26" ht="11.25" customHeight="1">
      <c r="A13" s="109"/>
      <c r="B13" s="13" t="s">
        <v>34</v>
      </c>
      <c r="C13" s="13">
        <f>SUM('By Lot'!E19,'By Lot'!E36,'By Lot'!E53,'By Lot'!E70,'By Lot'!E88,'By Lot'!E105,'By Lot'!E122,'By Lot'!E140)</f>
        <v>11</v>
      </c>
      <c r="D13" s="109">
        <f>SUM('By Lot'!F19,'By Lot'!F36,'By Lot'!F53,'By Lot'!F70,'By Lot'!F88,'By Lot'!F105,'By Lot'!F122,'By Lot'!F140)</f>
        <v>9</v>
      </c>
      <c r="E13" s="504">
        <f>SUM('By Lot'!G19,'By Lot'!G36,'By Lot'!G53,'By Lot'!G70,'By Lot'!G88,'By Lot'!G105,'By Lot'!G122,'By Lot'!G140)</f>
        <v>9</v>
      </c>
      <c r="F13" s="504">
        <f>SUM('By Lot'!H19,'By Lot'!H36,'By Lot'!H53,'By Lot'!H70,'By Lot'!H88,'By Lot'!H105,'By Lot'!H122,'By Lot'!H140)</f>
        <v>7</v>
      </c>
      <c r="G13" s="504">
        <f>SUM('By Lot'!I19,'By Lot'!I36,'By Lot'!I53,'By Lot'!I70,'By Lot'!I88,'By Lot'!I105,'By Lot'!I122,'By Lot'!I140)</f>
        <v>7</v>
      </c>
      <c r="H13" s="504">
        <f>SUM('By Lot'!J19,'By Lot'!J36,'By Lot'!J53,'By Lot'!J70,'By Lot'!J88,'By Lot'!J105,'By Lot'!J122,'By Lot'!J140)</f>
        <v>7</v>
      </c>
      <c r="I13" s="504">
        <f>SUM('By Lot'!K19,'By Lot'!K36,'By Lot'!K53,'By Lot'!K70,'By Lot'!K88,'By Lot'!K105,'By Lot'!K122,'By Lot'!K140)</f>
        <v>7</v>
      </c>
      <c r="J13" s="504">
        <f>SUM('By Lot'!L19,'By Lot'!L36,'By Lot'!L53,'By Lot'!L70,'By Lot'!L88,'By Lot'!L105,'By Lot'!L122,'By Lot'!L140)</f>
        <v>7</v>
      </c>
      <c r="K13" s="504">
        <f>SUM('By Lot'!M19,'By Lot'!M36,'By Lot'!M53,'By Lot'!M70,'By Lot'!M88,'By Lot'!M105,'By Lot'!M122,'By Lot'!M140)</f>
        <v>7</v>
      </c>
      <c r="L13" s="504">
        <f>SUM('By Lot'!N19,'By Lot'!N36,'By Lot'!N53,'By Lot'!N70,'By Lot'!N88,'By Lot'!N105,'By Lot'!N122,'By Lot'!N140)</f>
        <v>7</v>
      </c>
      <c r="M13" s="110">
        <f>SUM('By Lot'!O19,'By Lot'!O36,'By Lot'!O53,'By Lot'!O70,'By Lot'!O88,'By Lot'!O105,'By Lot'!O122,'By Lot'!O140)</f>
        <v>7</v>
      </c>
      <c r="N13" s="109">
        <f t="shared" si="0"/>
        <v>7</v>
      </c>
      <c r="O13" s="504">
        <f t="shared" si="1"/>
        <v>4</v>
      </c>
      <c r="P13" s="107">
        <f t="shared" si="2"/>
        <v>0.36363636363636365</v>
      </c>
      <c r="Q13" s="504"/>
      <c r="R13" s="504"/>
      <c r="S13" s="504"/>
      <c r="T13" s="504"/>
      <c r="U13" s="504"/>
      <c r="V13" s="504"/>
      <c r="W13" s="504"/>
      <c r="X13" s="504"/>
      <c r="Y13" s="504"/>
      <c r="Z13" s="504"/>
    </row>
    <row r="14" spans="1:26" ht="11.25" customHeight="1">
      <c r="A14" s="109"/>
      <c r="B14" s="13" t="s">
        <v>35</v>
      </c>
      <c r="C14" s="13">
        <f>SUM('By Lot'!E20,'By Lot'!E37,'By Lot'!E54,'By Lot'!E71,'By Lot'!E89,'By Lot'!E106,'By Lot'!E123,'By Lot'!E141)</f>
        <v>7</v>
      </c>
      <c r="D14" s="109">
        <f>SUM('By Lot'!F20,'By Lot'!F37,'By Lot'!F54,'By Lot'!F71,'By Lot'!F89,'By Lot'!F106,'By Lot'!F123,'By Lot'!F141)</f>
        <v>3</v>
      </c>
      <c r="E14" s="504">
        <f>SUM('By Lot'!G20,'By Lot'!G37,'By Lot'!G54,'By Lot'!G71,'By Lot'!G89,'By Lot'!G106,'By Lot'!G123,'By Lot'!G141)</f>
        <v>2</v>
      </c>
      <c r="F14" s="504">
        <f>SUM('By Lot'!H20,'By Lot'!H37,'By Lot'!H54,'By Lot'!H71,'By Lot'!H89,'By Lot'!H106,'By Lot'!H123,'By Lot'!H141)</f>
        <v>1</v>
      </c>
      <c r="G14" s="504">
        <f>SUM('By Lot'!I20,'By Lot'!I37,'By Lot'!I54,'By Lot'!I71,'By Lot'!I89,'By Lot'!I106,'By Lot'!I123,'By Lot'!I141)</f>
        <v>3</v>
      </c>
      <c r="H14" s="504">
        <f>SUM('By Lot'!J20,'By Lot'!J37,'By Lot'!J54,'By Lot'!J71,'By Lot'!J89,'By Lot'!J106,'By Lot'!J123,'By Lot'!J141)</f>
        <v>2</v>
      </c>
      <c r="I14" s="504">
        <f>SUM('By Lot'!K20,'By Lot'!K37,'By Lot'!K54,'By Lot'!K71,'By Lot'!K89,'By Lot'!K106,'By Lot'!K123,'By Lot'!K141)</f>
        <v>2</v>
      </c>
      <c r="J14" s="504">
        <f>SUM('By Lot'!L20,'By Lot'!L37,'By Lot'!L54,'By Lot'!L71,'By Lot'!L89,'By Lot'!L106,'By Lot'!L123,'By Lot'!L141)</f>
        <v>1</v>
      </c>
      <c r="K14" s="504">
        <f>SUM('By Lot'!M20,'By Lot'!M37,'By Lot'!M54,'By Lot'!M71,'By Lot'!M89,'By Lot'!M106,'By Lot'!M123,'By Lot'!M141)</f>
        <v>1</v>
      </c>
      <c r="L14" s="504">
        <f>SUM('By Lot'!N20,'By Lot'!N37,'By Lot'!N54,'By Lot'!N71,'By Lot'!N89,'By Lot'!N106,'By Lot'!N123,'By Lot'!N141)</f>
        <v>1</v>
      </c>
      <c r="M14" s="110">
        <f>SUM('By Lot'!O20,'By Lot'!O37,'By Lot'!O54,'By Lot'!O71,'By Lot'!O89,'By Lot'!O106,'By Lot'!O123,'By Lot'!O141)</f>
        <v>1</v>
      </c>
      <c r="N14" s="109">
        <f t="shared" si="0"/>
        <v>1</v>
      </c>
      <c r="O14" s="504">
        <f t="shared" si="1"/>
        <v>6</v>
      </c>
      <c r="P14" s="107">
        <f t="shared" si="2"/>
        <v>0.8571428571428571</v>
      </c>
      <c r="Q14" s="504"/>
      <c r="R14" s="504"/>
      <c r="S14" s="504"/>
      <c r="T14" s="504"/>
      <c r="U14" s="504"/>
      <c r="V14" s="504"/>
      <c r="W14" s="504"/>
      <c r="X14" s="504"/>
      <c r="Y14" s="504"/>
      <c r="Z14" s="504"/>
    </row>
    <row r="15" spans="1:26" ht="11.25" customHeight="1">
      <c r="A15" s="109"/>
      <c r="B15" s="13" t="s">
        <v>36</v>
      </c>
      <c r="C15" s="13">
        <f>SUM('By Lot'!E21,'By Lot'!E38,'By Lot'!E55,'By Lot'!E72,'By Lot'!E90,'By Lot'!E107,'By Lot'!E124,'By Lot'!E142)</f>
        <v>1</v>
      </c>
      <c r="D15" s="109">
        <f>SUM('By Lot'!F21,'By Lot'!F38,'By Lot'!F55,'By Lot'!F72,'By Lot'!F90,'By Lot'!F107,'By Lot'!F124,'By Lot'!F142)</f>
        <v>1</v>
      </c>
      <c r="E15" s="504">
        <f>SUM('By Lot'!G21,'By Lot'!G38,'By Lot'!G55,'By Lot'!G72,'By Lot'!G90,'By Lot'!G107,'By Lot'!G124,'By Lot'!G142)</f>
        <v>1</v>
      </c>
      <c r="F15" s="504">
        <f>SUM('By Lot'!H21,'By Lot'!H38,'By Lot'!H55,'By Lot'!H72,'By Lot'!H90,'By Lot'!H107,'By Lot'!H124,'By Lot'!H142)</f>
        <v>1</v>
      </c>
      <c r="G15" s="504">
        <f>SUM('By Lot'!I21,'By Lot'!I38,'By Lot'!I55,'By Lot'!I72,'By Lot'!I90,'By Lot'!I107,'By Lot'!I124,'By Lot'!I142)</f>
        <v>1</v>
      </c>
      <c r="H15" s="504">
        <f>SUM('By Lot'!J21,'By Lot'!J38,'By Lot'!J55,'By Lot'!J72,'By Lot'!J90,'By Lot'!J107,'By Lot'!J124,'By Lot'!J142)</f>
        <v>1</v>
      </c>
      <c r="I15" s="504">
        <f>SUM('By Lot'!K21,'By Lot'!K38,'By Lot'!K55,'By Lot'!K72,'By Lot'!K90,'By Lot'!K107,'By Lot'!K124,'By Lot'!K142)</f>
        <v>1</v>
      </c>
      <c r="J15" s="504">
        <f>SUM('By Lot'!L21,'By Lot'!L38,'By Lot'!L55,'By Lot'!L72,'By Lot'!L90,'By Lot'!L107,'By Lot'!L124,'By Lot'!L142)</f>
        <v>1</v>
      </c>
      <c r="K15" s="504">
        <f>SUM('By Lot'!M21,'By Lot'!M38,'By Lot'!M55,'By Lot'!M72,'By Lot'!M90,'By Lot'!M107,'By Lot'!M124,'By Lot'!M142)</f>
        <v>1</v>
      </c>
      <c r="L15" s="504">
        <f>SUM('By Lot'!N21,'By Lot'!N38,'By Lot'!N55,'By Lot'!N72,'By Lot'!N90,'By Lot'!N107,'By Lot'!N124,'By Lot'!N142)</f>
        <v>1</v>
      </c>
      <c r="M15" s="110">
        <f>SUM('By Lot'!O21,'By Lot'!O38,'By Lot'!O55,'By Lot'!O72,'By Lot'!O90,'By Lot'!O107,'By Lot'!O124,'By Lot'!O142)</f>
        <v>1</v>
      </c>
      <c r="N15" s="109">
        <f t="shared" si="0"/>
        <v>1</v>
      </c>
      <c r="O15" s="504">
        <f t="shared" si="1"/>
        <v>0</v>
      </c>
      <c r="P15" s="107">
        <f t="shared" si="2"/>
        <v>0</v>
      </c>
      <c r="Q15" s="504"/>
      <c r="R15" s="504"/>
      <c r="S15" s="504"/>
      <c r="T15" s="504"/>
      <c r="U15" s="504"/>
      <c r="V15" s="504"/>
      <c r="W15" s="504"/>
      <c r="X15" s="504"/>
      <c r="Y15" s="504"/>
      <c r="Z15" s="504"/>
    </row>
    <row r="16" spans="1:26" ht="11.25" customHeight="1">
      <c r="A16" s="109"/>
      <c r="B16" s="109" t="s">
        <v>37</v>
      </c>
      <c r="C16" s="117">
        <f>SUM('By Lot'!E22,'By Lot'!E39,'By Lot'!E56,'By Lot'!E73:E74,'By Lot'!E91,'By Lot'!E108,'By Lot'!E125,'By Lot'!E143)</f>
        <v>10</v>
      </c>
      <c r="D16" s="117">
        <f>SUM('By Lot'!F22,'By Lot'!F39,'By Lot'!F56,'By Lot'!F73:F74,'By Lot'!F91,'By Lot'!F108,'By Lot'!F125,'By Lot'!F143)</f>
        <v>5</v>
      </c>
      <c r="E16" s="505">
        <f>SUM('By Lot'!G22,'By Lot'!G39,'By Lot'!G56,'By Lot'!G73:G74,'By Lot'!G91,'By Lot'!G108,'By Lot'!G125,'By Lot'!G143)</f>
        <v>4</v>
      </c>
      <c r="F16" s="505">
        <f>SUM('By Lot'!H22,'By Lot'!H39,'By Lot'!H56,'By Lot'!H73:H74,'By Lot'!H91,'By Lot'!H108,'By Lot'!H125,'By Lot'!H143)</f>
        <v>3</v>
      </c>
      <c r="G16" s="505">
        <f>SUM('By Lot'!I22,'By Lot'!I39,'By Lot'!I56,'By Lot'!I73:I74,'By Lot'!I91,'By Lot'!I108,'By Lot'!I125,'By Lot'!I143)</f>
        <v>3</v>
      </c>
      <c r="H16" s="505">
        <f>SUM('By Lot'!J22,'By Lot'!J39,'By Lot'!J56,'By Lot'!J73:J74,'By Lot'!J91,'By Lot'!J108,'By Lot'!J125,'By Lot'!J143)</f>
        <v>3</v>
      </c>
      <c r="I16" s="505">
        <f>SUM('By Lot'!K22,'By Lot'!K39,'By Lot'!K56,'By Lot'!K73:K74,'By Lot'!K91,'By Lot'!K108,'By Lot'!K125,'By Lot'!K143)</f>
        <v>3</v>
      </c>
      <c r="J16" s="505">
        <f>SUM('By Lot'!L22,'By Lot'!L39,'By Lot'!L56,'By Lot'!L73:L74,'By Lot'!L91,'By Lot'!L108,'By Lot'!L125,'By Lot'!L143)</f>
        <v>3</v>
      </c>
      <c r="K16" s="505">
        <f>SUM('By Lot'!M22,'By Lot'!M39,'By Lot'!M56,'By Lot'!M73:M74,'By Lot'!M91,'By Lot'!M108,'By Lot'!M125,'By Lot'!M143)</f>
        <v>3</v>
      </c>
      <c r="L16" s="505">
        <f>SUM('By Lot'!N22,'By Lot'!N39,'By Lot'!N56,'By Lot'!N73:N74,'By Lot'!N91,'By Lot'!N108,'By Lot'!N125,'By Lot'!N143)</f>
        <v>3</v>
      </c>
      <c r="M16" s="133">
        <f>SUM('By Lot'!O22,'By Lot'!O39,'By Lot'!O56,'By Lot'!O73:O74,'By Lot'!O91,'By Lot'!O108,'By Lot'!O125,'By Lot'!O143)</f>
        <v>3</v>
      </c>
      <c r="N16" s="504">
        <f t="shared" si="0"/>
        <v>3</v>
      </c>
      <c r="O16" s="504">
        <f t="shared" si="1"/>
        <v>7</v>
      </c>
      <c r="P16" s="107">
        <f t="shared" si="2"/>
        <v>0.7</v>
      </c>
      <c r="Q16" s="504"/>
      <c r="R16" s="504"/>
      <c r="S16" s="504"/>
      <c r="T16" s="504"/>
      <c r="U16" s="504"/>
      <c r="V16" s="504"/>
      <c r="W16" s="504"/>
      <c r="X16" s="504"/>
      <c r="Y16" s="504"/>
      <c r="Z16" s="504"/>
    </row>
    <row r="17" spans="1:26" ht="11.25" customHeight="1">
      <c r="A17" s="117"/>
      <c r="B17" s="3" t="s">
        <v>38</v>
      </c>
      <c r="C17" s="139">
        <f>SUM(C7:C16)</f>
        <v>200</v>
      </c>
      <c r="D17" s="73">
        <f t="shared" ref="D17:M17" si="3">SUM(D7:D16)</f>
        <v>143</v>
      </c>
      <c r="E17" s="506">
        <f t="shared" si="3"/>
        <v>129</v>
      </c>
      <c r="F17" s="506">
        <f t="shared" si="3"/>
        <v>110</v>
      </c>
      <c r="G17" s="506">
        <f t="shared" si="3"/>
        <v>99</v>
      </c>
      <c r="H17" s="506">
        <f t="shared" si="3"/>
        <v>94</v>
      </c>
      <c r="I17" s="506">
        <f t="shared" si="3"/>
        <v>98</v>
      </c>
      <c r="J17" s="506">
        <f t="shared" si="3"/>
        <v>105</v>
      </c>
      <c r="K17" s="506">
        <f t="shared" si="3"/>
        <v>111</v>
      </c>
      <c r="L17" s="506">
        <f t="shared" si="3"/>
        <v>122</v>
      </c>
      <c r="M17" s="134">
        <f t="shared" si="3"/>
        <v>134</v>
      </c>
      <c r="N17" s="21">
        <f t="shared" si="0"/>
        <v>94</v>
      </c>
      <c r="O17" s="71">
        <f t="shared" si="1"/>
        <v>106</v>
      </c>
      <c r="P17" s="7">
        <f t="shared" si="2"/>
        <v>0.53</v>
      </c>
      <c r="Q17" s="504"/>
      <c r="R17" s="504"/>
      <c r="S17" s="504"/>
      <c r="T17" s="504"/>
      <c r="U17" s="504"/>
      <c r="V17" s="504"/>
      <c r="W17" s="504"/>
      <c r="X17" s="504"/>
      <c r="Y17" s="504"/>
      <c r="Z17" s="504"/>
    </row>
    <row r="18" spans="1:26" ht="11.25" customHeight="1">
      <c r="A18" s="397" t="s">
        <v>61</v>
      </c>
      <c r="B18" s="13" t="s">
        <v>23</v>
      </c>
      <c r="C18" s="13"/>
      <c r="D18" s="109"/>
      <c r="E18" s="504"/>
      <c r="F18" s="504"/>
      <c r="G18" s="504"/>
      <c r="H18" s="504"/>
      <c r="I18" s="504"/>
      <c r="J18" s="504"/>
      <c r="K18" s="504"/>
      <c r="L18" s="504"/>
      <c r="M18" s="110"/>
      <c r="N18" s="109"/>
      <c r="O18" s="504"/>
      <c r="P18" s="107"/>
      <c r="Q18" s="504"/>
      <c r="R18" s="504"/>
      <c r="S18" s="504"/>
      <c r="T18" s="504"/>
      <c r="U18" s="504"/>
      <c r="V18" s="504"/>
      <c r="W18" s="504"/>
      <c r="X18" s="504"/>
      <c r="Y18" s="504"/>
      <c r="Z18" s="504"/>
    </row>
    <row r="19" spans="1:26" ht="11.25" customHeight="1">
      <c r="A19" s="13" t="s">
        <v>52</v>
      </c>
      <c r="B19" s="13" t="s">
        <v>25</v>
      </c>
      <c r="C19" s="13">
        <f>SUM('By Lot'!E163,'By Lot'!E180,'By Lot'!E197,'By Lot'!E214)</f>
        <v>37</v>
      </c>
      <c r="D19" s="109">
        <f>SUM('By Lot'!F163,'By Lot'!F180,'By Lot'!F197,'By Lot'!F214)</f>
        <v>31</v>
      </c>
      <c r="E19" s="504">
        <f>SUM('By Lot'!G163,'By Lot'!G180,'By Lot'!G197,'By Lot'!G214)</f>
        <v>24</v>
      </c>
      <c r="F19" s="504">
        <f>SUM('By Lot'!H163,'By Lot'!H180,'By Lot'!H197,'By Lot'!H214)</f>
        <v>18</v>
      </c>
      <c r="G19" s="504">
        <f>SUM('By Lot'!I163,'By Lot'!I180,'By Lot'!I197,'By Lot'!I214)</f>
        <v>15</v>
      </c>
      <c r="H19" s="504">
        <f>SUM('By Lot'!J163,'By Lot'!J180,'By Lot'!J197,'By Lot'!J214)</f>
        <v>14</v>
      </c>
      <c r="I19" s="504">
        <f>SUM('By Lot'!K163,'By Lot'!K180,'By Lot'!K197,'By Lot'!K214)</f>
        <v>15</v>
      </c>
      <c r="J19" s="504">
        <f>SUM('By Lot'!L163,'By Lot'!L180,'By Lot'!L197,'By Lot'!L214)</f>
        <v>21</v>
      </c>
      <c r="K19" s="504">
        <f>SUM('By Lot'!M163,'By Lot'!M180,'By Lot'!M197,'By Lot'!M214)</f>
        <v>23</v>
      </c>
      <c r="L19" s="504">
        <f>SUM('By Lot'!N163,'By Lot'!N180,'By Lot'!N197,'By Lot'!N214)</f>
        <v>26</v>
      </c>
      <c r="M19" s="110">
        <f>SUM('By Lot'!O163,'By Lot'!O180,'By Lot'!O197,'By Lot'!O214)</f>
        <v>28</v>
      </c>
      <c r="N19" s="109">
        <f>MIN(D19:M19)</f>
        <v>14</v>
      </c>
      <c r="O19" s="504">
        <f>C19-N19</f>
        <v>23</v>
      </c>
      <c r="P19" s="107">
        <f>O19/C19</f>
        <v>0.6216216216216216</v>
      </c>
      <c r="Q19" s="504"/>
      <c r="R19" s="504"/>
      <c r="S19" s="504"/>
      <c r="T19" s="504"/>
      <c r="U19" s="504"/>
      <c r="V19" s="504"/>
      <c r="W19" s="504"/>
      <c r="X19" s="504"/>
      <c r="Y19" s="504"/>
      <c r="Z19" s="504"/>
    </row>
    <row r="20" spans="1:26" ht="11.25" customHeight="1">
      <c r="A20" s="13"/>
      <c r="B20" s="13" t="s">
        <v>27</v>
      </c>
      <c r="C20" s="13"/>
      <c r="D20" s="109"/>
      <c r="E20" s="504"/>
      <c r="F20" s="504"/>
      <c r="G20" s="504"/>
      <c r="H20" s="504"/>
      <c r="I20" s="504"/>
      <c r="J20" s="504"/>
      <c r="K20" s="504"/>
      <c r="L20" s="504"/>
      <c r="M20" s="110"/>
      <c r="N20" s="109"/>
      <c r="O20" s="504"/>
      <c r="P20" s="107"/>
      <c r="Q20" s="504"/>
      <c r="R20" s="504"/>
      <c r="S20" s="504"/>
      <c r="T20" s="504"/>
      <c r="U20" s="504"/>
      <c r="V20" s="504"/>
      <c r="W20" s="504"/>
      <c r="X20" s="504"/>
      <c r="Y20" s="504"/>
      <c r="Z20" s="504"/>
    </row>
    <row r="21" spans="1:26" ht="11.25" customHeight="1">
      <c r="A21" s="13"/>
      <c r="B21" s="13" t="s">
        <v>31</v>
      </c>
      <c r="C21" s="13"/>
      <c r="D21" s="109"/>
      <c r="E21" s="504"/>
      <c r="F21" s="504"/>
      <c r="G21" s="504"/>
      <c r="H21" s="504"/>
      <c r="I21" s="504"/>
      <c r="J21" s="504"/>
      <c r="K21" s="504"/>
      <c r="L21" s="504"/>
      <c r="M21" s="110"/>
      <c r="N21" s="109"/>
      <c r="O21" s="504"/>
      <c r="P21" s="107"/>
      <c r="Q21" s="504"/>
      <c r="R21" s="504"/>
      <c r="S21" s="504"/>
      <c r="T21" s="504"/>
      <c r="U21" s="504"/>
      <c r="V21" s="504"/>
      <c r="W21" s="504"/>
      <c r="X21" s="504"/>
      <c r="Y21" s="504"/>
      <c r="Z21" s="504"/>
    </row>
    <row r="22" spans="1:26" ht="11.25" customHeight="1">
      <c r="A22" s="13"/>
      <c r="B22" s="13" t="s">
        <v>32</v>
      </c>
      <c r="C22" s="13"/>
      <c r="D22" s="109"/>
      <c r="E22" s="504"/>
      <c r="F22" s="504"/>
      <c r="G22" s="504"/>
      <c r="H22" s="504"/>
      <c r="I22" s="504"/>
      <c r="J22" s="504"/>
      <c r="K22" s="504"/>
      <c r="L22" s="504"/>
      <c r="M22" s="110"/>
      <c r="N22" s="109"/>
      <c r="O22" s="504"/>
      <c r="P22" s="107"/>
      <c r="Q22" s="504"/>
      <c r="R22" s="504"/>
      <c r="S22" s="504"/>
      <c r="T22" s="504"/>
      <c r="U22" s="504"/>
      <c r="V22" s="504"/>
      <c r="W22" s="504"/>
      <c r="X22" s="504"/>
      <c r="Y22" s="504"/>
      <c r="Z22" s="504"/>
    </row>
    <row r="23" spans="1:26" ht="11.25" customHeight="1">
      <c r="A23" s="13"/>
      <c r="B23" s="13" t="s">
        <v>33</v>
      </c>
      <c r="C23" s="13">
        <f>SUM('By Lot'!E168:E173,'By Lot'!E185:E190,'By Lot'!E202:E207,'By Lot'!E219:E224)</f>
        <v>29</v>
      </c>
      <c r="D23" s="109">
        <f>SUM('By Lot'!F168:F173,'By Lot'!F185:F190,'By Lot'!F202:F207,'By Lot'!F219:F224)</f>
        <v>25</v>
      </c>
      <c r="E23" s="504">
        <f>SUM('By Lot'!G168:G173,'By Lot'!G185:G190,'By Lot'!G202:G207,'By Lot'!G219:G224)</f>
        <v>22</v>
      </c>
      <c r="F23" s="504">
        <f>SUM('By Lot'!H168:H173,'By Lot'!H185:H190,'By Lot'!H202:H207,'By Lot'!H219:H224)</f>
        <v>16</v>
      </c>
      <c r="G23" s="504">
        <f>SUM('By Lot'!I168:I173,'By Lot'!I185:I190,'By Lot'!I202:I207,'By Lot'!I219:I224)</f>
        <v>11</v>
      </c>
      <c r="H23" s="504">
        <f>SUM('By Lot'!J168:J173,'By Lot'!J185:J190,'By Lot'!J202:J207,'By Lot'!J219:J224)</f>
        <v>8</v>
      </c>
      <c r="I23" s="91">
        <f>SUM('By Lot'!K168:K173,'By Lot'!K185:K190,'By Lot'!K202:K207,'By Lot'!K219:K224)</f>
        <v>10</v>
      </c>
      <c r="J23" s="91">
        <f>SUM('By Lot'!L168:L173,'By Lot'!L185:L190,'By Lot'!L202:L207,'By Lot'!L219:L224)</f>
        <v>13</v>
      </c>
      <c r="K23" s="91">
        <f>SUM('By Lot'!M168:M173,'By Lot'!M185:M190,'By Lot'!M202:M207,'By Lot'!M219:M224)</f>
        <v>14</v>
      </c>
      <c r="L23" s="91">
        <f>SUM('By Lot'!N168:N173,'By Lot'!N185:N190,'By Lot'!N202:N207,'By Lot'!N219:N224)</f>
        <v>18</v>
      </c>
      <c r="M23" s="108">
        <f>SUM('By Lot'!O168:O173,'By Lot'!O185:O190,'By Lot'!O202:O207,'By Lot'!O219:O224)</f>
        <v>20</v>
      </c>
      <c r="N23" s="109">
        <f t="shared" ref="N23:N24" si="4">MIN(D23:M23)</f>
        <v>8</v>
      </c>
      <c r="O23" s="504">
        <f>C23-N23</f>
        <v>21</v>
      </c>
      <c r="P23" s="107">
        <f>O23/C23</f>
        <v>0.72413793103448276</v>
      </c>
      <c r="Q23" s="504"/>
      <c r="R23" s="504"/>
      <c r="S23" s="504"/>
      <c r="T23" s="504"/>
      <c r="U23" s="504"/>
      <c r="V23" s="504"/>
      <c r="W23" s="504"/>
      <c r="X23" s="504"/>
      <c r="Y23" s="504"/>
      <c r="Z23" s="504"/>
    </row>
    <row r="24" spans="1:26" ht="11.25" customHeight="1">
      <c r="A24" s="13"/>
      <c r="B24" s="13" t="s">
        <v>34</v>
      </c>
      <c r="C24" s="13">
        <f>SUM('By Lot'!E174,'By Lot'!E191,'By Lot'!E208,'By Lot'!E225)</f>
        <v>5</v>
      </c>
      <c r="D24" s="109">
        <f>SUM('By Lot'!F174,'By Lot'!F191,'By Lot'!F208,'By Lot'!F225)</f>
        <v>3</v>
      </c>
      <c r="E24" s="504">
        <f>SUM('By Lot'!G174,'By Lot'!G191,'By Lot'!G208,'By Lot'!G225)</f>
        <v>3</v>
      </c>
      <c r="F24" s="504">
        <f>SUM('By Lot'!H174,'By Lot'!H191,'By Lot'!H208,'By Lot'!H225)</f>
        <v>3</v>
      </c>
      <c r="G24" s="504">
        <f>SUM('By Lot'!I174,'By Lot'!I191,'By Lot'!I208,'By Lot'!I225)</f>
        <v>3</v>
      </c>
      <c r="H24" s="504">
        <f>SUM('By Lot'!J174,'By Lot'!J191,'By Lot'!J208,'By Lot'!J225)</f>
        <v>3</v>
      </c>
      <c r="I24" s="91">
        <f>SUM('By Lot'!K174,'By Lot'!K191,'By Lot'!K208,'By Lot'!K225)</f>
        <v>3</v>
      </c>
      <c r="J24" s="91">
        <f>SUM('By Lot'!L174,'By Lot'!L191,'By Lot'!L208,'By Lot'!L225)</f>
        <v>3</v>
      </c>
      <c r="K24" s="91">
        <f>SUM('By Lot'!M174,'By Lot'!M191,'By Lot'!M208,'By Lot'!M225)</f>
        <v>3</v>
      </c>
      <c r="L24" s="91">
        <f>SUM('By Lot'!N174,'By Lot'!N191,'By Lot'!N208,'By Lot'!N225)</f>
        <v>3</v>
      </c>
      <c r="M24" s="108">
        <f>SUM('By Lot'!O174,'By Lot'!O191,'By Lot'!O208,'By Lot'!O225)</f>
        <v>3</v>
      </c>
      <c r="N24" s="109">
        <f t="shared" si="4"/>
        <v>3</v>
      </c>
      <c r="O24" s="504">
        <f>C24-N24</f>
        <v>2</v>
      </c>
      <c r="P24" s="107">
        <f>O24/C24</f>
        <v>0.4</v>
      </c>
      <c r="Q24" s="504"/>
      <c r="R24" s="504"/>
      <c r="S24" s="504"/>
      <c r="T24" s="504"/>
      <c r="U24" s="504"/>
      <c r="V24" s="504"/>
      <c r="W24" s="504"/>
      <c r="X24" s="504"/>
      <c r="Y24" s="504"/>
      <c r="Z24" s="504"/>
    </row>
    <row r="25" spans="1:26" ht="11.25" customHeight="1">
      <c r="A25" s="13"/>
      <c r="B25" s="13" t="s">
        <v>35</v>
      </c>
      <c r="C25" s="13"/>
      <c r="D25" s="109"/>
      <c r="E25" s="504"/>
      <c r="F25" s="504"/>
      <c r="G25" s="504"/>
      <c r="H25" s="504"/>
      <c r="I25" s="504"/>
      <c r="J25" s="504"/>
      <c r="K25" s="504"/>
      <c r="L25" s="504"/>
      <c r="M25" s="110"/>
      <c r="N25" s="109"/>
      <c r="O25" s="504"/>
      <c r="P25" s="107"/>
      <c r="Q25" s="504"/>
      <c r="R25" s="504"/>
      <c r="S25" s="504"/>
      <c r="T25" s="504"/>
      <c r="U25" s="504"/>
      <c r="V25" s="504"/>
      <c r="W25" s="504"/>
      <c r="X25" s="504"/>
      <c r="Y25" s="504"/>
      <c r="Z25" s="504"/>
    </row>
    <row r="26" spans="1:26" ht="11.25" customHeight="1">
      <c r="A26" s="13"/>
      <c r="B26" s="13" t="s">
        <v>36</v>
      </c>
      <c r="C26" s="13">
        <f>SUM('By Lot'!E159,'By Lot'!E176,'By Lot'!E193,'By Lot'!E210,'By Lot'!E227)</f>
        <v>2</v>
      </c>
      <c r="D26" s="109">
        <f>SUM('By Lot'!F159,'By Lot'!F176,'By Lot'!F193,'By Lot'!F210,'By Lot'!F227)</f>
        <v>2</v>
      </c>
      <c r="E26" s="504">
        <f>SUM('By Lot'!G159,'By Lot'!G176,'By Lot'!G193,'By Lot'!G210,'By Lot'!G227)</f>
        <v>2</v>
      </c>
      <c r="F26" s="504">
        <f>SUM('By Lot'!H159,'By Lot'!H176,'By Lot'!H193,'By Lot'!H210,'By Lot'!H227)</f>
        <v>1</v>
      </c>
      <c r="G26" s="504">
        <f>SUM('By Lot'!I159,'By Lot'!I176,'By Lot'!I193,'By Lot'!I210,'By Lot'!I227)</f>
        <v>1</v>
      </c>
      <c r="H26" s="504">
        <f>SUM('By Lot'!J159,'By Lot'!J176,'By Lot'!J193,'By Lot'!J210,'By Lot'!J227)</f>
        <v>1</v>
      </c>
      <c r="I26" s="91">
        <f>SUM('By Lot'!K159,'By Lot'!K176,'By Lot'!K193,'By Lot'!K210,'By Lot'!K227)</f>
        <v>1</v>
      </c>
      <c r="J26" s="91">
        <f>SUM('By Lot'!L159,'By Lot'!L176,'By Lot'!L193,'By Lot'!L210,'By Lot'!L227)</f>
        <v>1</v>
      </c>
      <c r="K26" s="91">
        <f>SUM('By Lot'!M159,'By Lot'!M176,'By Lot'!M193,'By Lot'!M210,'By Lot'!M227)</f>
        <v>1</v>
      </c>
      <c r="L26" s="91">
        <f>SUM('By Lot'!N159,'By Lot'!N176,'By Lot'!N193,'By Lot'!N210,'By Lot'!N227)</f>
        <v>1</v>
      </c>
      <c r="M26" s="108">
        <f>SUM('By Lot'!O159,'By Lot'!O176,'By Lot'!O193,'By Lot'!O210,'By Lot'!O227)</f>
        <v>1</v>
      </c>
      <c r="N26" s="109">
        <f t="shared" ref="N26:N28" si="5">MIN(D26:M26)</f>
        <v>1</v>
      </c>
      <c r="O26" s="504">
        <f>C26-N26</f>
        <v>1</v>
      </c>
      <c r="P26" s="107">
        <f>O26/C26</f>
        <v>0.5</v>
      </c>
      <c r="Q26" s="504"/>
      <c r="R26" s="504"/>
      <c r="S26" s="504"/>
      <c r="T26" s="504"/>
      <c r="U26" s="504"/>
      <c r="V26" s="504"/>
      <c r="W26" s="504"/>
      <c r="X26" s="504"/>
      <c r="Y26" s="504"/>
      <c r="Z26" s="504"/>
    </row>
    <row r="27" spans="1:26" ht="11.25" customHeight="1">
      <c r="A27" s="13"/>
      <c r="B27" s="13" t="s">
        <v>37</v>
      </c>
      <c r="C27" s="13">
        <f>SUM('By Lot'!E177,'By Lot'!E194,'By Lot'!E211,'By Lot'!E228)</f>
        <v>1</v>
      </c>
      <c r="D27" s="109">
        <f>SUM('By Lot'!F177,'By Lot'!F194,'By Lot'!F211,'By Lot'!F228)</f>
        <v>1</v>
      </c>
      <c r="E27" s="504">
        <f>SUM('By Lot'!G177,'By Lot'!G194,'By Lot'!G211,'By Lot'!G228)</f>
        <v>1</v>
      </c>
      <c r="F27" s="504">
        <f>SUM('By Lot'!H177,'By Lot'!H194,'By Lot'!H211,'By Lot'!H228)</f>
        <v>1</v>
      </c>
      <c r="G27" s="504">
        <f>SUM('By Lot'!I177,'By Lot'!I194,'By Lot'!I211,'By Lot'!I228)</f>
        <v>1</v>
      </c>
      <c r="H27" s="504">
        <f>SUM('By Lot'!J177,'By Lot'!J194,'By Lot'!J211,'By Lot'!J228)</f>
        <v>1</v>
      </c>
      <c r="I27" s="504">
        <f>SUM('By Lot'!K177,'By Lot'!K194,'By Lot'!K211,'By Lot'!K228)</f>
        <v>1</v>
      </c>
      <c r="J27" s="504">
        <f>SUM('By Lot'!L177,'By Lot'!L194,'By Lot'!L211,'By Lot'!L228)</f>
        <v>1</v>
      </c>
      <c r="K27" s="504">
        <f>SUM('By Lot'!M177,'By Lot'!M194,'By Lot'!M211,'By Lot'!M228)</f>
        <v>1</v>
      </c>
      <c r="L27" s="504">
        <f>SUM('By Lot'!N177,'By Lot'!N194,'By Lot'!N211,'By Lot'!N228)</f>
        <v>1</v>
      </c>
      <c r="M27" s="110">
        <f>SUM('By Lot'!O177,'By Lot'!O194,'By Lot'!O211,'By Lot'!O228)</f>
        <v>1</v>
      </c>
      <c r="N27" s="109">
        <f t="shared" si="5"/>
        <v>1</v>
      </c>
      <c r="O27" s="504">
        <f>C27-N27</f>
        <v>0</v>
      </c>
      <c r="P27" s="107">
        <f>O27/C27</f>
        <v>0</v>
      </c>
      <c r="Q27" s="504"/>
      <c r="R27" s="504"/>
      <c r="S27" s="504"/>
      <c r="T27" s="504"/>
      <c r="U27" s="504"/>
      <c r="V27" s="504"/>
      <c r="W27" s="504"/>
      <c r="X27" s="504"/>
      <c r="Y27" s="504"/>
      <c r="Z27" s="504"/>
    </row>
    <row r="28" spans="1:26" ht="11.25" customHeight="1">
      <c r="A28" s="2"/>
      <c r="B28" s="3" t="s">
        <v>38</v>
      </c>
      <c r="C28" s="3">
        <f t="shared" ref="C28:M28" si="6">SUM(C18:C27)</f>
        <v>74</v>
      </c>
      <c r="D28" s="21">
        <f t="shared" si="6"/>
        <v>62</v>
      </c>
      <c r="E28" s="71">
        <f t="shared" si="6"/>
        <v>52</v>
      </c>
      <c r="F28" s="71">
        <f t="shared" si="6"/>
        <v>39</v>
      </c>
      <c r="G28" s="71">
        <f t="shared" si="6"/>
        <v>31</v>
      </c>
      <c r="H28" s="71">
        <f t="shared" si="6"/>
        <v>27</v>
      </c>
      <c r="I28" s="71">
        <f t="shared" si="6"/>
        <v>30</v>
      </c>
      <c r="J28" s="71">
        <f t="shared" si="6"/>
        <v>39</v>
      </c>
      <c r="K28" s="71">
        <f t="shared" si="6"/>
        <v>42</v>
      </c>
      <c r="L28" s="71">
        <f t="shared" si="6"/>
        <v>49</v>
      </c>
      <c r="M28" s="26">
        <f t="shared" si="6"/>
        <v>53</v>
      </c>
      <c r="N28" s="21">
        <f t="shared" si="5"/>
        <v>27</v>
      </c>
      <c r="O28" s="71">
        <f>C28-N28</f>
        <v>47</v>
      </c>
      <c r="P28" s="7">
        <f>O28/C28</f>
        <v>0.63513513513513509</v>
      </c>
      <c r="Q28" s="504"/>
      <c r="R28" s="504"/>
      <c r="S28" s="504"/>
      <c r="T28" s="504"/>
      <c r="U28" s="504"/>
      <c r="V28" s="504"/>
      <c r="W28" s="504"/>
      <c r="X28" s="504"/>
      <c r="Y28" s="504"/>
      <c r="Z28" s="504"/>
    </row>
    <row r="29" spans="1:26" ht="11.25" customHeight="1">
      <c r="A29" s="397" t="s">
        <v>61</v>
      </c>
      <c r="B29" s="13" t="s">
        <v>23</v>
      </c>
      <c r="C29" s="13"/>
      <c r="D29" s="109"/>
      <c r="E29" s="504"/>
      <c r="F29" s="504"/>
      <c r="G29" s="504"/>
      <c r="H29" s="504"/>
      <c r="I29" s="504"/>
      <c r="J29" s="504"/>
      <c r="K29" s="504"/>
      <c r="L29" s="504"/>
      <c r="M29" s="110"/>
      <c r="N29" s="109"/>
      <c r="O29" s="504"/>
      <c r="P29" s="107"/>
      <c r="Q29" s="504"/>
      <c r="R29" s="504"/>
      <c r="S29" s="504"/>
      <c r="T29" s="504"/>
      <c r="U29" s="504"/>
      <c r="V29" s="504"/>
      <c r="W29" s="504"/>
      <c r="X29" s="504"/>
      <c r="Y29" s="504"/>
      <c r="Z29" s="504"/>
    </row>
    <row r="30" spans="1:26" ht="11.25" customHeight="1">
      <c r="A30" s="13" t="s">
        <v>63</v>
      </c>
      <c r="B30" s="13" t="s">
        <v>25</v>
      </c>
      <c r="C30" s="13">
        <f>SUM('By Lot'!E231,'By Lot'!E248,'By Lot'!E265)</f>
        <v>69</v>
      </c>
      <c r="D30" s="109">
        <f>SUM('By Lot'!F231,'By Lot'!F248,'By Lot'!F265)</f>
        <v>68</v>
      </c>
      <c r="E30" s="504">
        <f>SUM('By Lot'!G231,'By Lot'!G248,'By Lot'!G265)</f>
        <v>67</v>
      </c>
      <c r="F30" s="504">
        <f>SUM('By Lot'!H231,'By Lot'!H248,'By Lot'!H265)</f>
        <v>66</v>
      </c>
      <c r="G30" s="504">
        <f>SUM('By Lot'!I231,'By Lot'!I248,'By Lot'!I265)</f>
        <v>64</v>
      </c>
      <c r="H30" s="504">
        <f>SUM('By Lot'!J231,'By Lot'!J248,'By Lot'!J265)</f>
        <v>61</v>
      </c>
      <c r="I30" s="504">
        <f>SUM('By Lot'!K231,'By Lot'!K248,'By Lot'!K265)</f>
        <v>64</v>
      </c>
      <c r="J30" s="504">
        <f>SUM('By Lot'!L231,'By Lot'!L248,'By Lot'!L265)</f>
        <v>65</v>
      </c>
      <c r="K30" s="504">
        <f>SUM('By Lot'!M231,'By Lot'!M248,'By Lot'!M265)</f>
        <v>65</v>
      </c>
      <c r="L30" s="504">
        <f>SUM('By Lot'!N231,'By Lot'!N248,'By Lot'!N265)</f>
        <v>66</v>
      </c>
      <c r="M30" s="110">
        <f>SUM('By Lot'!O231,'By Lot'!O248,'By Lot'!O265)</f>
        <v>67</v>
      </c>
      <c r="N30" s="109">
        <f t="shared" ref="N30:N32" si="7">MIN(D30:M30)</f>
        <v>61</v>
      </c>
      <c r="O30" s="504">
        <f>C30-N30</f>
        <v>8</v>
      </c>
      <c r="P30" s="107">
        <f>O30/C30</f>
        <v>0.11594202898550725</v>
      </c>
      <c r="Q30" s="504"/>
      <c r="R30" s="504"/>
      <c r="S30" s="504"/>
      <c r="T30" s="504"/>
      <c r="U30" s="504"/>
      <c r="V30" s="504"/>
      <c r="W30" s="504"/>
      <c r="X30" s="504"/>
      <c r="Y30" s="504"/>
      <c r="Z30" s="504"/>
    </row>
    <row r="31" spans="1:26" ht="11.25" customHeight="1">
      <c r="A31" s="13"/>
      <c r="B31" s="13" t="s">
        <v>27</v>
      </c>
      <c r="C31" s="13">
        <f>SUM('By Lot'!E232,'By Lot'!E249,'By Lot'!E266)</f>
        <v>26</v>
      </c>
      <c r="D31" s="109">
        <f>SUM('By Lot'!F232,'By Lot'!F249,'By Lot'!F266)</f>
        <v>23</v>
      </c>
      <c r="E31" s="504">
        <f>SUM('By Lot'!G232,'By Lot'!G249,'By Lot'!G266)</f>
        <v>23</v>
      </c>
      <c r="F31" s="504">
        <f>SUM('By Lot'!H232,'By Lot'!H249,'By Lot'!H266)</f>
        <v>23</v>
      </c>
      <c r="G31" s="504">
        <f>SUM('By Lot'!I232,'By Lot'!I249,'By Lot'!I266)</f>
        <v>23</v>
      </c>
      <c r="H31" s="504">
        <f>SUM('By Lot'!J232,'By Lot'!J249,'By Lot'!J266)</f>
        <v>23</v>
      </c>
      <c r="I31" s="504">
        <f>SUM('By Lot'!K232,'By Lot'!K249,'By Lot'!K266)</f>
        <v>23</v>
      </c>
      <c r="J31" s="504">
        <f>SUM('By Lot'!L232,'By Lot'!L249,'By Lot'!L266)</f>
        <v>23</v>
      </c>
      <c r="K31" s="504">
        <f>SUM('By Lot'!M232,'By Lot'!M249,'By Lot'!M266)</f>
        <v>23</v>
      </c>
      <c r="L31" s="504">
        <f>SUM('By Lot'!N232,'By Lot'!N249,'By Lot'!N266)</f>
        <v>23</v>
      </c>
      <c r="M31" s="110">
        <f>SUM('By Lot'!O232,'By Lot'!O249,'By Lot'!O266)</f>
        <v>23</v>
      </c>
      <c r="N31" s="109">
        <f t="shared" si="7"/>
        <v>23</v>
      </c>
      <c r="O31" s="504">
        <f>C31-N31</f>
        <v>3</v>
      </c>
      <c r="P31" s="107">
        <f>O31/C31</f>
        <v>0.11538461538461539</v>
      </c>
      <c r="Q31" s="504"/>
      <c r="R31" s="504"/>
      <c r="S31" s="504"/>
      <c r="T31" s="504"/>
      <c r="U31" s="504"/>
      <c r="V31" s="504"/>
      <c r="W31" s="504"/>
      <c r="X31" s="504"/>
      <c r="Y31" s="504"/>
      <c r="Z31" s="504"/>
    </row>
    <row r="32" spans="1:26" ht="11.25" customHeight="1">
      <c r="A32" s="13"/>
      <c r="B32" s="13" t="s">
        <v>31</v>
      </c>
      <c r="C32" s="13">
        <f>SUM('By Lot'!E233:E234,'By Lot'!E250:E251,'By Lot'!E267:E268)</f>
        <v>4</v>
      </c>
      <c r="D32" s="109">
        <f>SUM('By Lot'!F233:F234,'By Lot'!F250:F251,'By Lot'!F267:F268)</f>
        <v>4</v>
      </c>
      <c r="E32" s="504">
        <f>SUM('By Lot'!G233:G234,'By Lot'!G250:G251,'By Lot'!G267:G268)</f>
        <v>4</v>
      </c>
      <c r="F32" s="504">
        <f>SUM('By Lot'!H233:H234,'By Lot'!H250:H251,'By Lot'!H267:H268)</f>
        <v>4</v>
      </c>
      <c r="G32" s="504">
        <f>SUM('By Lot'!I233:I234,'By Lot'!I250:I251,'By Lot'!I267:I268)</f>
        <v>4</v>
      </c>
      <c r="H32" s="504">
        <f>SUM('By Lot'!J233:J234,'By Lot'!J250:J251,'By Lot'!J267:J268)</f>
        <v>4</v>
      </c>
      <c r="I32" s="504">
        <f>SUM('By Lot'!K233:K234,'By Lot'!K250:K251,'By Lot'!K267:K268)</f>
        <v>4</v>
      </c>
      <c r="J32" s="504">
        <f>SUM('By Lot'!L233:L234,'By Lot'!L250:L251,'By Lot'!L267:L268)</f>
        <v>4</v>
      </c>
      <c r="K32" s="504">
        <f>SUM('By Lot'!M233:M234,'By Lot'!M250:M251,'By Lot'!M267:M268)</f>
        <v>4</v>
      </c>
      <c r="L32" s="504">
        <f>SUM('By Lot'!N233:N234,'By Lot'!N250:N251,'By Lot'!N267:N268)</f>
        <v>4</v>
      </c>
      <c r="M32" s="110">
        <f>SUM('By Lot'!O233:O234,'By Lot'!O250:O251,'By Lot'!O267:O268)</f>
        <v>4</v>
      </c>
      <c r="N32" s="109">
        <f t="shared" si="7"/>
        <v>4</v>
      </c>
      <c r="O32" s="504">
        <f>C32-N32</f>
        <v>0</v>
      </c>
      <c r="P32" s="107">
        <f>O32/C32</f>
        <v>0</v>
      </c>
      <c r="Q32" s="504"/>
      <c r="R32" s="504"/>
      <c r="S32" s="504"/>
      <c r="T32" s="504"/>
      <c r="U32" s="504"/>
      <c r="V32" s="504"/>
      <c r="W32" s="504"/>
      <c r="X32" s="504"/>
      <c r="Y32" s="504"/>
      <c r="Z32" s="504"/>
    </row>
    <row r="33" spans="1:26" ht="11.25" customHeight="1">
      <c r="A33" s="13"/>
      <c r="B33" s="13" t="s">
        <v>32</v>
      </c>
      <c r="C33" s="13"/>
      <c r="D33" s="109"/>
      <c r="E33" s="504"/>
      <c r="F33" s="504"/>
      <c r="G33" s="504"/>
      <c r="H33" s="504"/>
      <c r="I33" s="504"/>
      <c r="J33" s="504"/>
      <c r="K33" s="504"/>
      <c r="L33" s="504"/>
      <c r="M33" s="110"/>
      <c r="N33" s="109"/>
      <c r="O33" s="504"/>
      <c r="P33" s="107"/>
      <c r="Q33" s="504"/>
      <c r="R33" s="504"/>
      <c r="S33" s="504"/>
      <c r="T33" s="504"/>
      <c r="U33" s="504"/>
      <c r="V33" s="504"/>
      <c r="W33" s="504"/>
      <c r="X33" s="504"/>
      <c r="Y33" s="504"/>
      <c r="Z33" s="504"/>
    </row>
    <row r="34" spans="1:26" ht="11.25" customHeight="1">
      <c r="A34" s="13"/>
      <c r="B34" s="13" t="s">
        <v>33</v>
      </c>
      <c r="C34" s="13">
        <f>SUM('By Lot'!E236:E241,'By Lot'!E253:E258,'By Lot'!E270:E275)</f>
        <v>62</v>
      </c>
      <c r="D34" s="109">
        <f>SUM('By Lot'!F236:F241,'By Lot'!F253:F258,'By Lot'!F270:F275)</f>
        <v>57</v>
      </c>
      <c r="E34" s="504">
        <f>SUM('By Lot'!G236:G241,'By Lot'!G253:G258,'By Lot'!G270:G275)</f>
        <v>50</v>
      </c>
      <c r="F34" s="504">
        <f>SUM('By Lot'!H236:H241,'By Lot'!H253:H258,'By Lot'!H270:H275)</f>
        <v>46</v>
      </c>
      <c r="G34" s="504">
        <f>SUM('By Lot'!I236:I241,'By Lot'!I253:I258,'By Lot'!I270:I275)</f>
        <v>34</v>
      </c>
      <c r="H34" s="504">
        <f>SUM('By Lot'!J236:J241,'By Lot'!J253:J258,'By Lot'!J270:J275)</f>
        <v>32</v>
      </c>
      <c r="I34" s="504">
        <f>SUM('By Lot'!K236:K241,'By Lot'!K253:K258,'By Lot'!K270:K275)</f>
        <v>37</v>
      </c>
      <c r="J34" s="504">
        <f>SUM('By Lot'!L236:L241,'By Lot'!L253:L258,'By Lot'!L270:L275)</f>
        <v>42</v>
      </c>
      <c r="K34" s="504">
        <f>SUM('By Lot'!M236:M241,'By Lot'!M253:M258,'By Lot'!M270:M275)</f>
        <v>48</v>
      </c>
      <c r="L34" s="504">
        <f>SUM('By Lot'!N236:N241,'By Lot'!N253:N258,'By Lot'!N270:N275)</f>
        <v>52</v>
      </c>
      <c r="M34" s="110">
        <f>SUM('By Lot'!O236:O241,'By Lot'!O253:O258,'By Lot'!O270:O275)</f>
        <v>55</v>
      </c>
      <c r="N34" s="109">
        <f t="shared" ref="N34:N35" si="8">MIN(D34:M34)</f>
        <v>32</v>
      </c>
      <c r="O34" s="504">
        <f>C34-N34</f>
        <v>30</v>
      </c>
      <c r="P34" s="107">
        <f>O34/C34</f>
        <v>0.4838709677419355</v>
      </c>
      <c r="Q34" s="504"/>
      <c r="R34" s="504"/>
      <c r="S34" s="504"/>
      <c r="T34" s="504"/>
      <c r="U34" s="504"/>
      <c r="V34" s="504"/>
      <c r="W34" s="504"/>
      <c r="X34" s="504"/>
      <c r="Y34" s="504"/>
      <c r="Z34" s="504"/>
    </row>
    <row r="35" spans="1:26" ht="11.25" customHeight="1">
      <c r="A35" s="13"/>
      <c r="B35" s="13" t="s">
        <v>34</v>
      </c>
      <c r="C35" s="13">
        <f>SUM('By Lot'!E242,'By Lot'!E259,'By Lot'!E276)</f>
        <v>6</v>
      </c>
      <c r="D35" s="109">
        <f>SUM('By Lot'!F242,'By Lot'!F259,'By Lot'!F276)</f>
        <v>6</v>
      </c>
      <c r="E35" s="504">
        <f>SUM('By Lot'!G242,'By Lot'!G259,'By Lot'!G276)</f>
        <v>6</v>
      </c>
      <c r="F35" s="504">
        <f>SUM('By Lot'!H242,'By Lot'!H259,'By Lot'!H276)</f>
        <v>6</v>
      </c>
      <c r="G35" s="504">
        <f>SUM('By Lot'!I242,'By Lot'!I259,'By Lot'!I276)</f>
        <v>6</v>
      </c>
      <c r="H35" s="504">
        <f>SUM('By Lot'!J242,'By Lot'!J259,'By Lot'!J276)</f>
        <v>6</v>
      </c>
      <c r="I35" s="504">
        <f>SUM('By Lot'!K242,'By Lot'!K259,'By Lot'!K276)</f>
        <v>6</v>
      </c>
      <c r="J35" s="504">
        <f>SUM('By Lot'!L242,'By Lot'!L259,'By Lot'!L276)</f>
        <v>6</v>
      </c>
      <c r="K35" s="504">
        <f>SUM('By Lot'!M242,'By Lot'!M259,'By Lot'!M276)</f>
        <v>6</v>
      </c>
      <c r="L35" s="504">
        <f>SUM('By Lot'!N242,'By Lot'!N259,'By Lot'!N276)</f>
        <v>6</v>
      </c>
      <c r="M35" s="110">
        <f>SUM('By Lot'!O242,'By Lot'!O259,'By Lot'!O276)</f>
        <v>6</v>
      </c>
      <c r="N35" s="109">
        <f t="shared" si="8"/>
        <v>6</v>
      </c>
      <c r="O35" s="504">
        <f>C35-N35</f>
        <v>0</v>
      </c>
      <c r="P35" s="107">
        <f>O35/C35</f>
        <v>0</v>
      </c>
      <c r="Q35" s="504"/>
      <c r="R35" s="504"/>
      <c r="S35" s="504"/>
      <c r="T35" s="504"/>
      <c r="U35" s="504"/>
      <c r="V35" s="504"/>
      <c r="W35" s="504"/>
      <c r="X35" s="504"/>
      <c r="Y35" s="504"/>
      <c r="Z35" s="504"/>
    </row>
    <row r="36" spans="1:26" ht="11.25" customHeight="1">
      <c r="A36" s="13"/>
      <c r="B36" s="13" t="s">
        <v>35</v>
      </c>
      <c r="C36" s="13"/>
      <c r="D36" s="109"/>
      <c r="E36" s="504"/>
      <c r="F36" s="504"/>
      <c r="G36" s="504"/>
      <c r="H36" s="504"/>
      <c r="I36" s="504"/>
      <c r="J36" s="504"/>
      <c r="K36" s="504"/>
      <c r="L36" s="504"/>
      <c r="M36" s="110"/>
      <c r="N36" s="109"/>
      <c r="O36" s="504"/>
      <c r="P36" s="107"/>
      <c r="Q36" s="504"/>
      <c r="R36" s="504"/>
      <c r="S36" s="504"/>
      <c r="T36" s="504"/>
      <c r="U36" s="504"/>
      <c r="V36" s="504"/>
      <c r="W36" s="504"/>
      <c r="X36" s="504"/>
      <c r="Y36" s="504"/>
      <c r="Z36" s="504"/>
    </row>
    <row r="37" spans="1:26" ht="11.25" customHeight="1">
      <c r="A37" s="13"/>
      <c r="B37" s="13" t="s">
        <v>36</v>
      </c>
      <c r="C37" s="13"/>
      <c r="D37" s="109"/>
      <c r="E37" s="504"/>
      <c r="F37" s="504"/>
      <c r="G37" s="504"/>
      <c r="H37" s="504"/>
      <c r="I37" s="504"/>
      <c r="J37" s="504"/>
      <c r="K37" s="504"/>
      <c r="L37" s="504"/>
      <c r="M37" s="110"/>
      <c r="N37" s="109"/>
      <c r="O37" s="504"/>
      <c r="P37" s="107"/>
      <c r="Q37" s="504"/>
      <c r="R37" s="504"/>
      <c r="S37" s="504"/>
      <c r="T37" s="504"/>
      <c r="U37" s="504"/>
      <c r="V37" s="504"/>
      <c r="W37" s="504"/>
      <c r="X37" s="504"/>
      <c r="Y37" s="504"/>
      <c r="Z37" s="504"/>
    </row>
    <row r="38" spans="1:26" ht="11.25" customHeight="1">
      <c r="A38" s="13"/>
      <c r="B38" s="13" t="s">
        <v>37</v>
      </c>
      <c r="C38" s="13">
        <f>SUM('By Lot'!E245,'By Lot'!E262,'By Lot'!E279)</f>
        <v>1</v>
      </c>
      <c r="D38" s="109">
        <f>SUM('By Lot'!F245,'By Lot'!F262,'By Lot'!F279)</f>
        <v>0</v>
      </c>
      <c r="E38" s="504">
        <f>SUM('By Lot'!G245,'By Lot'!G262,'By Lot'!G279)</f>
        <v>0</v>
      </c>
      <c r="F38" s="504">
        <f>SUM('By Lot'!H245,'By Lot'!H262,'By Lot'!H279)</f>
        <v>0</v>
      </c>
      <c r="G38" s="504">
        <f>SUM('By Lot'!I245,'By Lot'!I262,'By Lot'!I279)</f>
        <v>0</v>
      </c>
      <c r="H38" s="504">
        <f>SUM('By Lot'!J245,'By Lot'!J262,'By Lot'!J279)</f>
        <v>0</v>
      </c>
      <c r="I38" s="504">
        <f>SUM('By Lot'!K245,'By Lot'!K262,'By Lot'!K279)</f>
        <v>0</v>
      </c>
      <c r="J38" s="504">
        <f>SUM('By Lot'!L245,'By Lot'!L262,'By Lot'!L279)</f>
        <v>0</v>
      </c>
      <c r="K38" s="504">
        <f>SUM('By Lot'!M245,'By Lot'!M262,'By Lot'!M279)</f>
        <v>0</v>
      </c>
      <c r="L38" s="504">
        <f>SUM('By Lot'!N245,'By Lot'!N262,'By Lot'!N279)</f>
        <v>0</v>
      </c>
      <c r="M38" s="110">
        <f>SUM('By Lot'!O245,'By Lot'!O262,'By Lot'!O279)</f>
        <v>0</v>
      </c>
      <c r="N38" s="109"/>
      <c r="O38" s="504"/>
      <c r="P38" s="107"/>
      <c r="Q38" s="504"/>
      <c r="R38" s="504"/>
      <c r="S38" s="504"/>
      <c r="T38" s="504"/>
      <c r="U38" s="504"/>
      <c r="V38" s="504"/>
      <c r="W38" s="504"/>
      <c r="X38" s="504"/>
      <c r="Y38" s="504"/>
      <c r="Z38" s="504"/>
    </row>
    <row r="39" spans="1:26" ht="11.25" customHeight="1">
      <c r="A39" s="2"/>
      <c r="B39" s="3" t="s">
        <v>38</v>
      </c>
      <c r="C39" s="3">
        <f t="shared" ref="C39:M39" si="9">SUM(C29:C38)</f>
        <v>168</v>
      </c>
      <c r="D39" s="21">
        <f t="shared" si="9"/>
        <v>158</v>
      </c>
      <c r="E39" s="71">
        <f t="shared" si="9"/>
        <v>150</v>
      </c>
      <c r="F39" s="71">
        <f t="shared" si="9"/>
        <v>145</v>
      </c>
      <c r="G39" s="71">
        <f t="shared" si="9"/>
        <v>131</v>
      </c>
      <c r="H39" s="71">
        <f t="shared" si="9"/>
        <v>126</v>
      </c>
      <c r="I39" s="71">
        <f t="shared" si="9"/>
        <v>134</v>
      </c>
      <c r="J39" s="71">
        <f t="shared" si="9"/>
        <v>140</v>
      </c>
      <c r="K39" s="71">
        <f t="shared" si="9"/>
        <v>146</v>
      </c>
      <c r="L39" s="71">
        <f t="shared" si="9"/>
        <v>151</v>
      </c>
      <c r="M39" s="26">
        <f t="shared" si="9"/>
        <v>155</v>
      </c>
      <c r="N39" s="21">
        <f>MIN(D39:M39)</f>
        <v>126</v>
      </c>
      <c r="O39" s="71">
        <f>C39-N39</f>
        <v>42</v>
      </c>
      <c r="P39" s="7">
        <f>O39/C39</f>
        <v>0.25</v>
      </c>
      <c r="Q39" s="504"/>
      <c r="R39" s="504"/>
      <c r="S39" s="504"/>
      <c r="T39" s="504"/>
      <c r="U39" s="504"/>
      <c r="V39" s="504"/>
      <c r="W39" s="504"/>
      <c r="X39" s="504"/>
      <c r="Y39" s="504"/>
      <c r="Z39" s="504"/>
    </row>
    <row r="40" spans="1:26" ht="11.25" customHeight="1">
      <c r="A40" s="397" t="s">
        <v>64</v>
      </c>
      <c r="B40" s="13" t="s">
        <v>23</v>
      </c>
      <c r="C40" s="13"/>
      <c r="D40" s="109"/>
      <c r="E40" s="504"/>
      <c r="F40" s="504"/>
      <c r="G40" s="504"/>
      <c r="H40" s="504"/>
      <c r="I40" s="504"/>
      <c r="J40" s="504"/>
      <c r="K40" s="504"/>
      <c r="L40" s="504"/>
      <c r="M40" s="110"/>
      <c r="N40" s="109"/>
      <c r="O40" s="504"/>
      <c r="P40" s="107"/>
      <c r="Q40" s="504"/>
      <c r="R40" s="504"/>
      <c r="S40" s="504"/>
      <c r="T40" s="504"/>
      <c r="U40" s="504"/>
      <c r="V40" s="504"/>
      <c r="W40" s="504"/>
      <c r="X40" s="504"/>
      <c r="Y40" s="504"/>
      <c r="Z40" s="504"/>
    </row>
    <row r="41" spans="1:26" ht="11.25" customHeight="1">
      <c r="A41" s="13"/>
      <c r="B41" s="13" t="s">
        <v>25</v>
      </c>
      <c r="C41" s="13"/>
      <c r="D41" s="109"/>
      <c r="E41" s="504"/>
      <c r="F41" s="504"/>
      <c r="G41" s="504"/>
      <c r="H41" s="504"/>
      <c r="I41" s="504"/>
      <c r="J41" s="504"/>
      <c r="K41" s="504"/>
      <c r="L41" s="504"/>
      <c r="M41" s="110"/>
      <c r="N41" s="109"/>
      <c r="O41" s="504"/>
      <c r="P41" s="107"/>
      <c r="Q41" s="504"/>
      <c r="R41" s="504"/>
      <c r="S41" s="504"/>
      <c r="T41" s="504"/>
      <c r="U41" s="504"/>
      <c r="V41" s="504"/>
      <c r="W41" s="504"/>
      <c r="X41" s="504"/>
      <c r="Y41" s="504"/>
      <c r="Z41" s="504"/>
    </row>
    <row r="42" spans="1:26" ht="11.25" customHeight="1">
      <c r="A42" s="369" t="s">
        <v>65</v>
      </c>
      <c r="B42" s="13" t="s">
        <v>27</v>
      </c>
      <c r="C42" s="13"/>
      <c r="D42" s="109"/>
      <c r="E42" s="504"/>
      <c r="F42" s="504"/>
      <c r="G42" s="504"/>
      <c r="H42" s="504"/>
      <c r="I42" s="504"/>
      <c r="J42" s="504"/>
      <c r="K42" s="504"/>
      <c r="L42" s="504"/>
      <c r="M42" s="110"/>
      <c r="N42" s="109"/>
      <c r="O42" s="504"/>
      <c r="P42" s="107"/>
      <c r="Q42" s="504"/>
      <c r="R42" s="504"/>
      <c r="S42" s="504"/>
      <c r="T42" s="504"/>
      <c r="U42" s="504"/>
      <c r="V42" s="504"/>
      <c r="W42" s="504"/>
      <c r="X42" s="504"/>
      <c r="Y42" s="504"/>
      <c r="Z42" s="504"/>
    </row>
    <row r="43" spans="1:26" ht="11.25" customHeight="1">
      <c r="A43" s="369" t="s">
        <v>66</v>
      </c>
      <c r="B43" s="13" t="s">
        <v>31</v>
      </c>
      <c r="C43" s="13"/>
      <c r="D43" s="109"/>
      <c r="E43" s="504"/>
      <c r="F43" s="504"/>
      <c r="G43" s="504"/>
      <c r="H43" s="504"/>
      <c r="I43" s="504"/>
      <c r="J43" s="504"/>
      <c r="K43" s="504"/>
      <c r="L43" s="504"/>
      <c r="M43" s="110"/>
      <c r="N43" s="109"/>
      <c r="O43" s="504"/>
      <c r="P43" s="107"/>
      <c r="Q43" s="504"/>
      <c r="R43" s="504"/>
      <c r="S43" s="504"/>
      <c r="T43" s="504"/>
      <c r="U43" s="504"/>
      <c r="V43" s="504"/>
      <c r="W43" s="504"/>
      <c r="X43" s="504"/>
      <c r="Y43" s="504"/>
      <c r="Z43" s="504"/>
    </row>
    <row r="44" spans="1:26" ht="11.25" customHeight="1">
      <c r="A44" s="369" t="s">
        <v>67</v>
      </c>
      <c r="B44" s="13" t="s">
        <v>32</v>
      </c>
      <c r="C44" s="13"/>
      <c r="D44" s="109"/>
      <c r="E44" s="504"/>
      <c r="F44" s="504"/>
      <c r="G44" s="504"/>
      <c r="H44" s="504"/>
      <c r="I44" s="504"/>
      <c r="J44" s="504"/>
      <c r="K44" s="504"/>
      <c r="L44" s="504"/>
      <c r="M44" s="110"/>
      <c r="N44" s="109"/>
      <c r="O44" s="504"/>
      <c r="P44" s="107"/>
      <c r="Q44" s="504"/>
      <c r="R44" s="504"/>
      <c r="S44" s="504"/>
      <c r="T44" s="504"/>
      <c r="U44" s="504"/>
      <c r="V44" s="504"/>
      <c r="W44" s="504"/>
      <c r="X44" s="504"/>
      <c r="Y44" s="504"/>
      <c r="Z44" s="504"/>
    </row>
    <row r="45" spans="1:26" ht="11.25" customHeight="1">
      <c r="A45" s="369" t="s">
        <v>68</v>
      </c>
      <c r="B45" s="13" t="s">
        <v>33</v>
      </c>
      <c r="C45" s="13">
        <f>SUM('By Lot'!E287:E292,'By Lot'!E304:E309)</f>
        <v>335</v>
      </c>
      <c r="D45" s="109"/>
      <c r="E45" s="504"/>
      <c r="F45" s="504"/>
      <c r="G45" s="504"/>
      <c r="H45" s="504"/>
      <c r="I45" s="91"/>
      <c r="J45" s="91"/>
      <c r="K45" s="91"/>
      <c r="L45" s="91"/>
      <c r="M45" s="108"/>
      <c r="N45" s="109"/>
      <c r="O45" s="504"/>
      <c r="P45" s="107"/>
      <c r="Q45" s="504"/>
      <c r="R45" s="504"/>
      <c r="S45" s="504"/>
      <c r="T45" s="504"/>
      <c r="U45" s="504"/>
      <c r="V45" s="504"/>
      <c r="W45" s="504"/>
      <c r="X45" s="504"/>
      <c r="Y45" s="504"/>
      <c r="Z45" s="504"/>
    </row>
    <row r="46" spans="1:26" ht="11.25" customHeight="1">
      <c r="A46" s="369" t="s">
        <v>69</v>
      </c>
      <c r="B46" s="13" t="s">
        <v>34</v>
      </c>
      <c r="C46" s="13">
        <f>SUM('By Lot'!E293,'By Lot'!E310)</f>
        <v>9</v>
      </c>
      <c r="D46" s="109"/>
      <c r="E46" s="504"/>
      <c r="F46" s="504"/>
      <c r="G46" s="504"/>
      <c r="H46" s="504"/>
      <c r="I46" s="91"/>
      <c r="J46" s="91"/>
      <c r="K46" s="91"/>
      <c r="L46" s="91"/>
      <c r="M46" s="108"/>
      <c r="N46" s="109"/>
      <c r="O46" s="504"/>
      <c r="P46" s="107"/>
      <c r="Q46" s="504"/>
      <c r="R46" s="504"/>
      <c r="S46" s="504"/>
      <c r="T46" s="504"/>
      <c r="U46" s="504"/>
      <c r="V46" s="504"/>
      <c r="W46" s="504"/>
      <c r="X46" s="504"/>
      <c r="Y46" s="504"/>
      <c r="Z46" s="504"/>
    </row>
    <row r="47" spans="1:26" ht="11.25" customHeight="1">
      <c r="A47" s="13"/>
      <c r="B47" s="13" t="s">
        <v>35</v>
      </c>
      <c r="C47" s="13"/>
      <c r="D47" s="109"/>
      <c r="E47" s="504"/>
      <c r="F47" s="504"/>
      <c r="G47" s="504"/>
      <c r="H47" s="504"/>
      <c r="I47" s="504"/>
      <c r="J47" s="504"/>
      <c r="K47" s="504"/>
      <c r="L47" s="504"/>
      <c r="M47" s="110"/>
      <c r="N47" s="109"/>
      <c r="O47" s="504"/>
      <c r="P47" s="107"/>
      <c r="Q47" s="504"/>
      <c r="R47" s="504"/>
      <c r="S47" s="504"/>
      <c r="T47" s="504"/>
      <c r="U47" s="504"/>
      <c r="V47" s="504"/>
      <c r="W47" s="504"/>
      <c r="X47" s="504"/>
      <c r="Y47" s="504"/>
      <c r="Z47" s="504"/>
    </row>
    <row r="48" spans="1:26" ht="11.25" customHeight="1">
      <c r="A48" s="13"/>
      <c r="B48" s="13" t="s">
        <v>36</v>
      </c>
      <c r="C48" s="13"/>
      <c r="D48" s="109"/>
      <c r="E48" s="504"/>
      <c r="F48" s="504"/>
      <c r="G48" s="504"/>
      <c r="H48" s="504"/>
      <c r="I48" s="504"/>
      <c r="J48" s="504"/>
      <c r="K48" s="504"/>
      <c r="L48" s="504"/>
      <c r="M48" s="110"/>
      <c r="N48" s="109"/>
      <c r="O48" s="504"/>
      <c r="P48" s="107"/>
      <c r="Q48" s="504"/>
      <c r="R48" s="504"/>
      <c r="S48" s="504"/>
      <c r="T48" s="504"/>
      <c r="U48" s="504"/>
      <c r="V48" s="504"/>
      <c r="W48" s="504"/>
      <c r="X48" s="504"/>
      <c r="Y48" s="504"/>
      <c r="Z48" s="504"/>
    </row>
    <row r="49" spans="1:26" ht="11.25" customHeight="1">
      <c r="A49" s="13"/>
      <c r="B49" s="13" t="s">
        <v>37</v>
      </c>
      <c r="C49" s="13"/>
      <c r="D49" s="109"/>
      <c r="E49" s="504"/>
      <c r="F49" s="504"/>
      <c r="G49" s="504"/>
      <c r="H49" s="504"/>
      <c r="I49" s="504"/>
      <c r="J49" s="504"/>
      <c r="K49" s="504"/>
      <c r="L49" s="504"/>
      <c r="M49" s="110"/>
      <c r="N49" s="109"/>
      <c r="O49" s="504"/>
      <c r="P49" s="107"/>
      <c r="Q49" s="504"/>
      <c r="R49" s="504"/>
      <c r="S49" s="504"/>
      <c r="T49" s="504"/>
      <c r="U49" s="504"/>
      <c r="V49" s="504"/>
      <c r="W49" s="504"/>
      <c r="X49" s="504"/>
      <c r="Y49" s="504"/>
      <c r="Z49" s="504"/>
    </row>
    <row r="50" spans="1:26" ht="11.25" customHeight="1">
      <c r="A50" s="2"/>
      <c r="B50" s="3" t="s">
        <v>38</v>
      </c>
      <c r="C50" s="3">
        <f t="shared" ref="C50" si="10">SUM(C40:C49)</f>
        <v>344</v>
      </c>
      <c r="D50" s="21"/>
      <c r="E50" s="71"/>
      <c r="F50" s="71"/>
      <c r="G50" s="71"/>
      <c r="H50" s="71"/>
      <c r="I50" s="71"/>
      <c r="J50" s="71"/>
      <c r="K50" s="71"/>
      <c r="L50" s="71"/>
      <c r="M50" s="26"/>
      <c r="N50" s="21"/>
      <c r="O50" s="71"/>
      <c r="P50" s="7"/>
      <c r="Q50" s="504"/>
      <c r="R50" s="504"/>
      <c r="S50" s="504"/>
      <c r="T50" s="504"/>
      <c r="U50" s="504"/>
      <c r="V50" s="504"/>
      <c r="W50" s="504"/>
      <c r="X50" s="504"/>
      <c r="Y50" s="504"/>
      <c r="Z50" s="504"/>
    </row>
    <row r="51" spans="1:26" ht="11.25" customHeight="1">
      <c r="A51" s="218" t="s">
        <v>70</v>
      </c>
      <c r="B51" s="221" t="s">
        <v>23</v>
      </c>
      <c r="C51" s="221"/>
      <c r="D51" s="222"/>
      <c r="E51" s="223"/>
      <c r="F51" s="223"/>
      <c r="G51" s="223"/>
      <c r="H51" s="223"/>
      <c r="I51" s="223"/>
      <c r="J51" s="223"/>
      <c r="K51" s="223"/>
      <c r="L51" s="223"/>
      <c r="M51" s="224"/>
      <c r="N51" s="222"/>
      <c r="O51" s="223"/>
      <c r="P51" s="225"/>
      <c r="Q51" s="504"/>
      <c r="R51" s="504"/>
      <c r="S51" s="504"/>
      <c r="T51" s="504"/>
      <c r="U51" s="504"/>
      <c r="V51" s="504"/>
      <c r="W51" s="504"/>
      <c r="X51" s="504"/>
      <c r="Y51" s="504"/>
      <c r="Z51" s="504"/>
    </row>
    <row r="52" spans="1:26" ht="11.25" customHeight="1">
      <c r="A52" s="222" t="s">
        <v>71</v>
      </c>
      <c r="B52" s="221" t="s">
        <v>25</v>
      </c>
      <c r="C52" s="221"/>
      <c r="D52" s="222"/>
      <c r="E52" s="223"/>
      <c r="F52" s="223"/>
      <c r="G52" s="223"/>
      <c r="H52" s="223"/>
      <c r="I52" s="223"/>
      <c r="J52" s="223"/>
      <c r="K52" s="223"/>
      <c r="L52" s="223"/>
      <c r="M52" s="224"/>
      <c r="N52" s="222"/>
      <c r="O52" s="223"/>
      <c r="P52" s="225"/>
      <c r="Q52" s="504"/>
      <c r="R52" s="504"/>
      <c r="S52" s="504"/>
      <c r="T52" s="504"/>
      <c r="U52" s="504"/>
      <c r="V52" s="504"/>
      <c r="W52" s="504"/>
      <c r="X52" s="504"/>
      <c r="Y52" s="504"/>
      <c r="Z52" s="504"/>
    </row>
    <row r="53" spans="1:26" ht="11.25" customHeight="1">
      <c r="A53" s="222"/>
      <c r="B53" s="221" t="s">
        <v>27</v>
      </c>
      <c r="C53" s="221"/>
      <c r="D53" s="222"/>
      <c r="E53" s="223"/>
      <c r="F53" s="223"/>
      <c r="G53" s="223"/>
      <c r="H53" s="223"/>
      <c r="I53" s="223"/>
      <c r="J53" s="223"/>
      <c r="K53" s="223"/>
      <c r="L53" s="223"/>
      <c r="M53" s="224"/>
      <c r="N53" s="222"/>
      <c r="O53" s="223"/>
      <c r="P53" s="225"/>
      <c r="Q53" s="504"/>
      <c r="R53" s="504"/>
      <c r="S53" s="504"/>
      <c r="T53" s="504"/>
      <c r="U53" s="504"/>
      <c r="V53" s="504"/>
      <c r="W53" s="504"/>
      <c r="X53" s="504"/>
      <c r="Y53" s="504"/>
      <c r="Z53" s="504"/>
    </row>
    <row r="54" spans="1:26" ht="11.25" customHeight="1">
      <c r="A54" s="222" t="s">
        <v>72</v>
      </c>
      <c r="B54" s="221" t="s">
        <v>31</v>
      </c>
      <c r="C54" s="221"/>
      <c r="D54" s="222"/>
      <c r="E54" s="223"/>
      <c r="F54" s="223"/>
      <c r="G54" s="223"/>
      <c r="H54" s="223"/>
      <c r="I54" s="223"/>
      <c r="J54" s="223"/>
      <c r="K54" s="223"/>
      <c r="L54" s="223"/>
      <c r="M54" s="224"/>
      <c r="N54" s="222"/>
      <c r="O54" s="223"/>
      <c r="P54" s="225"/>
      <c r="Q54" s="504"/>
      <c r="R54" s="504"/>
      <c r="S54" s="504"/>
      <c r="T54" s="504"/>
      <c r="U54" s="504"/>
      <c r="V54" s="504"/>
      <c r="W54" s="504"/>
      <c r="X54" s="504"/>
      <c r="Y54" s="504"/>
      <c r="Z54" s="504"/>
    </row>
    <row r="55" spans="1:26" ht="11.25" customHeight="1">
      <c r="A55" s="222" t="s">
        <v>73</v>
      </c>
      <c r="B55" s="221" t="s">
        <v>32</v>
      </c>
      <c r="C55" s="221"/>
      <c r="D55" s="222"/>
      <c r="E55" s="223"/>
      <c r="F55" s="223"/>
      <c r="G55" s="223"/>
      <c r="H55" s="223"/>
      <c r="I55" s="223"/>
      <c r="J55" s="223"/>
      <c r="K55" s="223"/>
      <c r="L55" s="223"/>
      <c r="M55" s="224"/>
      <c r="N55" s="222"/>
      <c r="O55" s="223"/>
      <c r="P55" s="225"/>
      <c r="Q55" s="504"/>
      <c r="R55" s="504"/>
      <c r="S55" s="504"/>
      <c r="T55" s="504"/>
      <c r="U55" s="504"/>
      <c r="V55" s="504"/>
      <c r="W55" s="504"/>
      <c r="X55" s="504"/>
      <c r="Y55" s="504"/>
      <c r="Z55" s="504"/>
    </row>
    <row r="56" spans="1:26" ht="11.25" customHeight="1">
      <c r="A56" s="222" t="s">
        <v>74</v>
      </c>
      <c r="B56" s="221" t="s">
        <v>33</v>
      </c>
      <c r="C56" s="221"/>
      <c r="D56" s="222"/>
      <c r="E56" s="223"/>
      <c r="F56" s="223"/>
      <c r="G56" s="223"/>
      <c r="H56" s="223"/>
      <c r="I56" s="359"/>
      <c r="J56" s="359"/>
      <c r="K56" s="359"/>
      <c r="L56" s="359"/>
      <c r="M56" s="360"/>
      <c r="N56" s="222"/>
      <c r="O56" s="223"/>
      <c r="P56" s="225"/>
      <c r="Q56" s="504"/>
      <c r="R56" s="504"/>
      <c r="S56" s="504"/>
      <c r="T56" s="504"/>
      <c r="U56" s="504"/>
      <c r="V56" s="504"/>
      <c r="W56" s="504"/>
      <c r="X56" s="504"/>
      <c r="Y56" s="504"/>
      <c r="Z56" s="504"/>
    </row>
    <row r="57" spans="1:26" ht="11.25" customHeight="1">
      <c r="A57" s="222"/>
      <c r="B57" s="221" t="s">
        <v>34</v>
      </c>
      <c r="C57" s="221"/>
      <c r="D57" s="222"/>
      <c r="E57" s="223"/>
      <c r="F57" s="223"/>
      <c r="G57" s="223"/>
      <c r="H57" s="223"/>
      <c r="I57" s="359"/>
      <c r="J57" s="359"/>
      <c r="K57" s="359"/>
      <c r="L57" s="359"/>
      <c r="M57" s="360"/>
      <c r="N57" s="222"/>
      <c r="O57" s="223"/>
      <c r="P57" s="225"/>
      <c r="Q57" s="504"/>
      <c r="R57" s="504"/>
      <c r="S57" s="504"/>
      <c r="T57" s="504"/>
      <c r="U57" s="504"/>
      <c r="V57" s="504"/>
      <c r="W57" s="504"/>
      <c r="X57" s="504"/>
      <c r="Y57" s="504"/>
      <c r="Z57" s="504"/>
    </row>
    <row r="58" spans="1:26" ht="11.25" customHeight="1">
      <c r="A58" s="222"/>
      <c r="B58" s="221" t="s">
        <v>35</v>
      </c>
      <c r="C58" s="221"/>
      <c r="D58" s="222"/>
      <c r="E58" s="223"/>
      <c r="F58" s="223"/>
      <c r="G58" s="223"/>
      <c r="H58" s="223"/>
      <c r="I58" s="223"/>
      <c r="J58" s="223"/>
      <c r="K58" s="223"/>
      <c r="L58" s="223"/>
      <c r="M58" s="224"/>
      <c r="N58" s="222"/>
      <c r="O58" s="223"/>
      <c r="P58" s="225"/>
      <c r="Q58" s="504"/>
      <c r="R58" s="504"/>
      <c r="S58" s="504"/>
      <c r="T58" s="504"/>
      <c r="U58" s="504"/>
      <c r="V58" s="504"/>
      <c r="W58" s="504"/>
      <c r="X58" s="504"/>
      <c r="Y58" s="504"/>
      <c r="Z58" s="504"/>
    </row>
    <row r="59" spans="1:26" ht="11.25" customHeight="1">
      <c r="A59" s="222"/>
      <c r="B59" s="221" t="s">
        <v>36</v>
      </c>
      <c r="C59" s="221"/>
      <c r="D59" s="222"/>
      <c r="E59" s="223"/>
      <c r="F59" s="223"/>
      <c r="G59" s="223"/>
      <c r="H59" s="223"/>
      <c r="I59" s="223"/>
      <c r="J59" s="223"/>
      <c r="K59" s="223"/>
      <c r="L59" s="223"/>
      <c r="M59" s="224"/>
      <c r="N59" s="222"/>
      <c r="O59" s="223"/>
      <c r="P59" s="225"/>
      <c r="Q59" s="504"/>
      <c r="R59" s="504"/>
      <c r="S59" s="504"/>
      <c r="T59" s="504"/>
      <c r="U59" s="504"/>
      <c r="V59" s="504"/>
      <c r="W59" s="504"/>
      <c r="X59" s="504"/>
      <c r="Y59" s="504"/>
      <c r="Z59" s="504"/>
    </row>
    <row r="60" spans="1:26" ht="11.25" customHeight="1">
      <c r="A60" s="222"/>
      <c r="B60" s="221" t="s">
        <v>37</v>
      </c>
      <c r="C60" s="221"/>
      <c r="D60" s="222"/>
      <c r="E60" s="223"/>
      <c r="F60" s="460"/>
      <c r="G60" s="223"/>
      <c r="H60" s="223"/>
      <c r="I60" s="223"/>
      <c r="J60" s="223"/>
      <c r="K60" s="223"/>
      <c r="L60" s="223"/>
      <c r="M60" s="224"/>
      <c r="N60" s="222"/>
      <c r="O60" s="223"/>
      <c r="P60" s="225"/>
      <c r="Q60" s="504"/>
      <c r="R60" s="504"/>
      <c r="S60" s="504"/>
      <c r="T60" s="504"/>
      <c r="U60" s="504"/>
      <c r="V60" s="504"/>
      <c r="W60" s="504"/>
      <c r="X60" s="504"/>
      <c r="Y60" s="504"/>
      <c r="Z60" s="504"/>
    </row>
    <row r="61" spans="1:26" ht="11.25" customHeight="1">
      <c r="A61" s="363"/>
      <c r="B61" s="461" t="s">
        <v>38</v>
      </c>
      <c r="C61" s="461"/>
      <c r="D61" s="462"/>
      <c r="E61" s="463"/>
      <c r="F61" s="463"/>
      <c r="G61" s="463"/>
      <c r="H61" s="463"/>
      <c r="I61" s="463"/>
      <c r="J61" s="463"/>
      <c r="K61" s="463"/>
      <c r="L61" s="463"/>
      <c r="M61" s="464"/>
      <c r="N61" s="462"/>
      <c r="O61" s="463"/>
      <c r="P61" s="465"/>
      <c r="Q61" s="504"/>
      <c r="R61" s="504"/>
      <c r="S61" s="504"/>
      <c r="T61" s="504"/>
      <c r="U61" s="504"/>
      <c r="V61" s="504"/>
      <c r="W61" s="504"/>
      <c r="X61" s="504"/>
      <c r="Y61" s="504"/>
      <c r="Z61" s="504"/>
    </row>
    <row r="62" spans="1:26" ht="11.25" customHeight="1">
      <c r="A62" s="397" t="s">
        <v>75</v>
      </c>
      <c r="B62" s="221" t="s">
        <v>23</v>
      </c>
      <c r="C62" s="221"/>
      <c r="D62" s="222"/>
      <c r="E62" s="223"/>
      <c r="F62" s="223"/>
      <c r="G62" s="223"/>
      <c r="H62" s="223"/>
      <c r="I62" s="223"/>
      <c r="J62" s="223"/>
      <c r="K62" s="223"/>
      <c r="L62" s="223"/>
      <c r="M62" s="224"/>
      <c r="N62" s="222"/>
      <c r="O62" s="223"/>
      <c r="P62" s="225"/>
      <c r="Q62" s="504"/>
      <c r="R62" s="504"/>
      <c r="S62" s="504"/>
      <c r="T62" s="504"/>
      <c r="U62" s="504"/>
      <c r="V62" s="504"/>
      <c r="W62" s="504"/>
      <c r="X62" s="504"/>
      <c r="Y62" s="504"/>
      <c r="Z62" s="504"/>
    </row>
    <row r="63" spans="1:26" ht="11.25" customHeight="1">
      <c r="A63" s="13" t="s">
        <v>76</v>
      </c>
      <c r="B63" s="221" t="s">
        <v>77</v>
      </c>
      <c r="C63" s="221"/>
      <c r="D63" s="222"/>
      <c r="E63" s="223"/>
      <c r="F63" s="223"/>
      <c r="G63" s="223"/>
      <c r="H63" s="223"/>
      <c r="I63" s="359"/>
      <c r="J63" s="359"/>
      <c r="K63" s="359"/>
      <c r="L63" s="359"/>
      <c r="M63" s="360"/>
      <c r="N63" s="222"/>
      <c r="O63" s="223"/>
      <c r="P63" s="225"/>
      <c r="Q63" s="504"/>
      <c r="R63" s="504"/>
      <c r="S63" s="504"/>
      <c r="T63" s="504"/>
      <c r="U63" s="504"/>
      <c r="V63" s="504"/>
      <c r="W63" s="504"/>
      <c r="X63" s="504"/>
      <c r="Y63" s="504"/>
      <c r="Z63" s="504"/>
    </row>
    <row r="64" spans="1:26" ht="11.25" customHeight="1">
      <c r="A64" s="13"/>
      <c r="B64" s="221" t="s">
        <v>78</v>
      </c>
      <c r="C64" s="361"/>
      <c r="D64" s="362"/>
      <c r="E64" s="359"/>
      <c r="F64" s="359"/>
      <c r="G64" s="359"/>
      <c r="H64" s="359"/>
      <c r="I64" s="359"/>
      <c r="J64" s="359"/>
      <c r="K64" s="359"/>
      <c r="L64" s="359"/>
      <c r="M64" s="360"/>
      <c r="N64" s="362"/>
      <c r="O64" s="359"/>
      <c r="P64" s="225"/>
      <c r="Q64" s="504"/>
      <c r="R64" s="504"/>
      <c r="S64" s="504"/>
      <c r="T64" s="504"/>
      <c r="U64" s="504"/>
      <c r="V64" s="504"/>
      <c r="W64" s="504"/>
      <c r="X64" s="504"/>
      <c r="Y64" s="504"/>
      <c r="Z64" s="504"/>
    </row>
    <row r="65" spans="1:26" ht="11.25" customHeight="1">
      <c r="A65" s="221" t="s">
        <v>79</v>
      </c>
      <c r="B65" s="221" t="s">
        <v>25</v>
      </c>
      <c r="C65" s="221"/>
      <c r="D65" s="222"/>
      <c r="E65" s="223"/>
      <c r="F65" s="223"/>
      <c r="G65" s="223"/>
      <c r="H65" s="223"/>
      <c r="I65" s="223"/>
      <c r="J65" s="223"/>
      <c r="K65" s="223"/>
      <c r="L65" s="223"/>
      <c r="M65" s="224"/>
      <c r="N65" s="222"/>
      <c r="O65" s="223"/>
      <c r="P65" s="225"/>
      <c r="Q65" s="504"/>
      <c r="R65" s="504"/>
      <c r="S65" s="504"/>
      <c r="T65" s="504"/>
      <c r="U65" s="504"/>
      <c r="V65" s="504"/>
      <c r="W65" s="504"/>
      <c r="X65" s="504"/>
      <c r="Y65" s="504"/>
      <c r="Z65" s="504"/>
    </row>
    <row r="66" spans="1:26" ht="11.25" customHeight="1">
      <c r="A66" s="221" t="s">
        <v>72</v>
      </c>
      <c r="B66" s="221" t="s">
        <v>27</v>
      </c>
      <c r="C66" s="221"/>
      <c r="D66" s="222"/>
      <c r="E66" s="223"/>
      <c r="F66" s="223"/>
      <c r="G66" s="223"/>
      <c r="H66" s="223"/>
      <c r="I66" s="223"/>
      <c r="J66" s="223"/>
      <c r="K66" s="223"/>
      <c r="L66" s="223"/>
      <c r="M66" s="224"/>
      <c r="N66" s="222"/>
      <c r="O66" s="223"/>
      <c r="P66" s="225"/>
      <c r="Q66" s="504"/>
      <c r="R66" s="504"/>
      <c r="S66" s="504"/>
      <c r="T66" s="504"/>
      <c r="U66" s="504"/>
      <c r="V66" s="504"/>
      <c r="W66" s="504"/>
      <c r="X66" s="504"/>
      <c r="Y66" s="504"/>
      <c r="Z66" s="504"/>
    </row>
    <row r="67" spans="1:26" ht="11.25" customHeight="1">
      <c r="A67" s="221" t="s">
        <v>73</v>
      </c>
      <c r="B67" s="221" t="s">
        <v>31</v>
      </c>
      <c r="C67" s="221"/>
      <c r="D67" s="222"/>
      <c r="E67" s="223"/>
      <c r="F67" s="223"/>
      <c r="G67" s="223"/>
      <c r="H67" s="223"/>
      <c r="I67" s="223"/>
      <c r="J67" s="223"/>
      <c r="K67" s="223"/>
      <c r="L67" s="223"/>
      <c r="M67" s="224"/>
      <c r="N67" s="222"/>
      <c r="O67" s="223"/>
      <c r="P67" s="225"/>
      <c r="Q67" s="504"/>
      <c r="R67" s="504"/>
      <c r="S67" s="504"/>
      <c r="T67" s="504"/>
      <c r="U67" s="504"/>
      <c r="V67" s="504"/>
      <c r="W67" s="504"/>
      <c r="X67" s="504"/>
      <c r="Y67" s="504"/>
      <c r="Z67" s="504"/>
    </row>
    <row r="68" spans="1:26" ht="11.25" customHeight="1">
      <c r="A68" s="221" t="s">
        <v>74</v>
      </c>
      <c r="B68" s="13" t="s">
        <v>32</v>
      </c>
      <c r="C68" s="13">
        <f>SUM('By Lot'!E320,'By Lot'!E337,'By Lot'!E356,'By Lot'!E390,'By Lot'!E407,'By Lot'!E424,'By Lot'!E441,'By Lot'!E475,'By Lot'!E526)</f>
        <v>2</v>
      </c>
      <c r="D68" s="109">
        <f>SUM('By Lot'!F320,'By Lot'!F337,'By Lot'!F356,'By Lot'!F390,'By Lot'!F407,'By Lot'!F424,'By Lot'!F441,'By Lot'!F475,'By Lot'!F526)</f>
        <v>2</v>
      </c>
      <c r="E68" s="504">
        <f>SUM('By Lot'!G320,'By Lot'!G337,'By Lot'!G356,'By Lot'!G390,'By Lot'!G407,'By Lot'!G424,'By Lot'!G441,'By Lot'!G475,'By Lot'!G526)</f>
        <v>2</v>
      </c>
      <c r="F68" s="504">
        <f>SUM('By Lot'!H320,'By Lot'!H337,'By Lot'!H356,'By Lot'!H390,'By Lot'!H407,'By Lot'!H424,'By Lot'!H441,'By Lot'!H475,'By Lot'!H526)</f>
        <v>2</v>
      </c>
      <c r="G68" s="504">
        <f>SUM('By Lot'!I320,'By Lot'!I337,'By Lot'!I356,'By Lot'!I390,'By Lot'!I407,'By Lot'!I424,'By Lot'!I441,'By Lot'!I475,'By Lot'!I526)</f>
        <v>2</v>
      </c>
      <c r="H68" s="504">
        <f>SUM('By Lot'!J320,'By Lot'!J337,'By Lot'!J356,'By Lot'!J390,'By Lot'!J407,'By Lot'!J424,'By Lot'!J441,'By Lot'!J475,'By Lot'!J526)</f>
        <v>2</v>
      </c>
      <c r="I68" s="91">
        <f>SUM('By Lot'!K320,'By Lot'!K337,'By Lot'!K356,'By Lot'!K390,'By Lot'!K407,'By Lot'!K424,'By Lot'!K441,'By Lot'!K475,'By Lot'!K526)</f>
        <v>2</v>
      </c>
      <c r="J68" s="91">
        <f>SUM('By Lot'!L320,'By Lot'!L337,'By Lot'!L356,'By Lot'!L390,'By Lot'!L407,'By Lot'!L424,'By Lot'!L441,'By Lot'!L475,'By Lot'!L526)</f>
        <v>2</v>
      </c>
      <c r="K68" s="91">
        <f>SUM('By Lot'!M320,'By Lot'!M337,'By Lot'!M356,'By Lot'!M390,'By Lot'!M407,'By Lot'!M424,'By Lot'!M441,'By Lot'!M475,'By Lot'!M526)</f>
        <v>2</v>
      </c>
      <c r="L68" s="91">
        <f>SUM('By Lot'!N320,'By Lot'!N337,'By Lot'!N356,'By Lot'!N390,'By Lot'!N407,'By Lot'!N424,'By Lot'!N441,'By Lot'!N475,'By Lot'!N526)</f>
        <v>2</v>
      </c>
      <c r="M68" s="108">
        <f>SUM('By Lot'!O320,'By Lot'!O337,'By Lot'!O356,'By Lot'!O390,'By Lot'!O407,'By Lot'!O424,'By Lot'!O441,'By Lot'!O475,'By Lot'!O526)</f>
        <v>2</v>
      </c>
      <c r="N68" s="109">
        <f t="shared" ref="N68:N77" si="11">MIN(D68:M68)</f>
        <v>2</v>
      </c>
      <c r="O68" s="504">
        <f>C68-N68</f>
        <v>0</v>
      </c>
      <c r="P68" s="107">
        <f>O68/C68</f>
        <v>0</v>
      </c>
      <c r="Q68" s="504"/>
      <c r="R68" s="504"/>
      <c r="S68" s="504"/>
      <c r="T68" s="504"/>
      <c r="U68" s="504"/>
      <c r="V68" s="504"/>
      <c r="W68" s="504"/>
      <c r="X68" s="504"/>
      <c r="Y68" s="504"/>
      <c r="Z68" s="504"/>
    </row>
    <row r="69" spans="1:26" ht="11.25" customHeight="1">
      <c r="A69" s="13"/>
      <c r="B69" s="13" t="s">
        <v>33</v>
      </c>
      <c r="C69" s="13">
        <f>SUM('By Lot'!E321:E326,'By Lot'!E338:E343,'By Lot'!E357:E362,'By Lot'!E392:E397,'By Lot'!E408:E413,'By Lot'!E425:E430,'By Lot'!E442:E447,'By Lot'!E476:E481,'By Lot'!E527:E532)</f>
        <v>11</v>
      </c>
      <c r="D69" s="109">
        <f>SUM('By Lot'!F321:F326,'By Lot'!F338:F343,'By Lot'!F357:F362,'By Lot'!F392:F397,'By Lot'!F408:F413,'By Lot'!F425:F430,'By Lot'!F442:F447,'By Lot'!F476:F481,'By Lot'!F527:F532)</f>
        <v>0</v>
      </c>
      <c r="E69" s="504">
        <f>SUM('By Lot'!G321:G326,'By Lot'!G338:G343,'By Lot'!G357:G362,'By Lot'!G392:G397,'By Lot'!G408:G413,'By Lot'!G425:G430,'By Lot'!G442:G447,'By Lot'!G476:G481,'By Lot'!G527:G532)</f>
        <v>0</v>
      </c>
      <c r="F69" s="504">
        <f>SUM('By Lot'!H321:H326,'By Lot'!H338:H343,'By Lot'!H357:H362,'By Lot'!H392:H397,'By Lot'!H408:H413,'By Lot'!H425:H430,'By Lot'!H442:H447,'By Lot'!H476:H481,'By Lot'!H527:H532)</f>
        <v>0</v>
      </c>
      <c r="G69" s="504">
        <f>SUM('By Lot'!I321:I326,'By Lot'!I338:I343,'By Lot'!I357:I362,'By Lot'!I392:I397,'By Lot'!I408:I413,'By Lot'!I425:I430,'By Lot'!I442:I447,'By Lot'!I476:I481,'By Lot'!I527:I532)</f>
        <v>0</v>
      </c>
      <c r="H69" s="504">
        <f>SUM('By Lot'!J321:J326,'By Lot'!J338:J343,'By Lot'!J357:J362,'By Lot'!J392:J397,'By Lot'!J408:J413,'By Lot'!J425:J430,'By Lot'!J442:J447,'By Lot'!J476:J481,'By Lot'!J527:J532)</f>
        <v>0</v>
      </c>
      <c r="I69" s="91">
        <f>SUM('By Lot'!K321:K326,'By Lot'!K338:K343,'By Lot'!K357:K362,'By Lot'!K392:K397,'By Lot'!K408:K413,'By Lot'!K425:K430,'By Lot'!K442:K447,'By Lot'!K476:K481,'By Lot'!K527:K532)</f>
        <v>0</v>
      </c>
      <c r="J69" s="91">
        <f>SUM('By Lot'!L321:L326,'By Lot'!L338:L343,'By Lot'!L357:L362,'By Lot'!L392:L397,'By Lot'!L408:L413,'By Lot'!L425:L430,'By Lot'!L442:L447,'By Lot'!L476:L481,'By Lot'!L527:L532)</f>
        <v>0</v>
      </c>
      <c r="K69" s="91">
        <f>SUM('By Lot'!M321:M326,'By Lot'!M338:M343,'By Lot'!M357:M362,'By Lot'!M392:M397,'By Lot'!M408:M413,'By Lot'!M425:M430,'By Lot'!M442:M447,'By Lot'!M476:M481,'By Lot'!M527:M532)</f>
        <v>0</v>
      </c>
      <c r="L69" s="91">
        <f>SUM('By Lot'!N321:N326,'By Lot'!N338:N343,'By Lot'!N357:N362,'By Lot'!N392:N397,'By Lot'!N408:N413,'By Lot'!N425:N430,'By Lot'!N442:N447,'By Lot'!N476:N481,'By Lot'!N527:N532)</f>
        <v>0</v>
      </c>
      <c r="M69" s="108">
        <f>SUM('By Lot'!O321:O326,'By Lot'!O338:O343,'By Lot'!O357:O362,'By Lot'!O392:O397,'By Lot'!O408:O413,'By Lot'!O425:O430,'By Lot'!O442:O447,'By Lot'!O476:O481,'By Lot'!O527:O532)</f>
        <v>0</v>
      </c>
      <c r="N69" s="109">
        <f t="shared" si="11"/>
        <v>0</v>
      </c>
      <c r="O69" s="504">
        <f>C69-N69</f>
        <v>11</v>
      </c>
      <c r="P69" s="107">
        <f>O69/C69</f>
        <v>1</v>
      </c>
      <c r="Q69" s="504"/>
      <c r="R69" s="504"/>
      <c r="S69" s="504"/>
      <c r="T69" s="504"/>
      <c r="U69" s="504"/>
      <c r="V69" s="504"/>
      <c r="W69" s="504"/>
      <c r="X69" s="504"/>
      <c r="Y69" s="504"/>
      <c r="Z69" s="504"/>
    </row>
    <row r="70" spans="1:26" ht="11.25" customHeight="1">
      <c r="A70" s="13"/>
      <c r="B70" s="13" t="s">
        <v>34</v>
      </c>
      <c r="C70" s="13">
        <f>SUM('By Lot'!E327,'By Lot'!E344,'By Lot'!E363,'By Lot'!E391,'By Lot'!E414,'By Lot'!E431,'By Lot'!E448,'By Lot'!E482,'By Lot'!E533)</f>
        <v>14</v>
      </c>
      <c r="D70" s="109">
        <f>SUM('By Lot'!F327,'By Lot'!F344,'By Lot'!F363,'By Lot'!F391,'By Lot'!F414,'By Lot'!F431,'By Lot'!F448,'By Lot'!F482,'By Lot'!F533)</f>
        <v>2</v>
      </c>
      <c r="E70" s="504">
        <f>SUM('By Lot'!G327,'By Lot'!G344,'By Lot'!G363,'By Lot'!G391,'By Lot'!G414,'By Lot'!G431,'By Lot'!G448,'By Lot'!G482,'By Lot'!G533)</f>
        <v>2</v>
      </c>
      <c r="F70" s="504">
        <f>SUM('By Lot'!H327,'By Lot'!H344,'By Lot'!H363,'By Lot'!H391,'By Lot'!H414,'By Lot'!H431,'By Lot'!H448,'By Lot'!H482,'By Lot'!H533)</f>
        <v>2</v>
      </c>
      <c r="G70" s="504">
        <f>SUM('By Lot'!I327,'By Lot'!I344,'By Lot'!I363,'By Lot'!I391,'By Lot'!I414,'By Lot'!I431,'By Lot'!I448,'By Lot'!I482,'By Lot'!I533)</f>
        <v>2</v>
      </c>
      <c r="H70" s="504">
        <f>SUM('By Lot'!J327,'By Lot'!J344,'By Lot'!J363,'By Lot'!J391,'By Lot'!J414,'By Lot'!J431,'By Lot'!J448,'By Lot'!J482,'By Lot'!J533)</f>
        <v>2</v>
      </c>
      <c r="I70" s="91">
        <f>SUM('By Lot'!K327,'By Lot'!K344,'By Lot'!K363,'By Lot'!K391,'By Lot'!K414,'By Lot'!K431,'By Lot'!K448,'By Lot'!K482,'By Lot'!K533)</f>
        <v>2</v>
      </c>
      <c r="J70" s="91">
        <f>SUM('By Lot'!L327,'By Lot'!L344,'By Lot'!L363,'By Lot'!L391,'By Lot'!L414,'By Lot'!L431,'By Lot'!L448,'By Lot'!L482,'By Lot'!L533)</f>
        <v>2</v>
      </c>
      <c r="K70" s="91">
        <f>SUM('By Lot'!M327,'By Lot'!M344,'By Lot'!M363,'By Lot'!M391,'By Lot'!M414,'By Lot'!M431,'By Lot'!M448,'By Lot'!M482,'By Lot'!M533)</f>
        <v>2</v>
      </c>
      <c r="L70" s="91">
        <f>SUM('By Lot'!N327,'By Lot'!N344,'By Lot'!N363,'By Lot'!N391,'By Lot'!N414,'By Lot'!N431,'By Lot'!N448,'By Lot'!N482,'By Lot'!N533)</f>
        <v>2</v>
      </c>
      <c r="M70" s="108">
        <f>SUM('By Lot'!O327,'By Lot'!O344,'By Lot'!O363,'By Lot'!O391,'By Lot'!O414,'By Lot'!O431,'By Lot'!O448,'By Lot'!O482,'By Lot'!O533)</f>
        <v>2</v>
      </c>
      <c r="N70" s="109">
        <f t="shared" si="11"/>
        <v>2</v>
      </c>
      <c r="O70" s="504">
        <f>C70-N70</f>
        <v>12</v>
      </c>
      <c r="P70" s="107">
        <f>O70/C70</f>
        <v>0.8571428571428571</v>
      </c>
      <c r="Q70" s="504"/>
      <c r="R70" s="504"/>
      <c r="S70" s="504"/>
      <c r="T70" s="504"/>
      <c r="U70" s="504"/>
      <c r="V70" s="504"/>
      <c r="W70" s="504"/>
      <c r="X70" s="504"/>
      <c r="Y70" s="504"/>
      <c r="Z70" s="504"/>
    </row>
    <row r="71" spans="1:26" ht="11.25" customHeight="1">
      <c r="A71" s="13"/>
      <c r="B71" s="13" t="s">
        <v>35</v>
      </c>
      <c r="C71" s="13">
        <f>SUM('By Lot'!E328,'By Lot'!E345,'By Lot'!E364,'By Lot'!E398,'By Lot'!E415,'By Lot'!E432,'By Lot'!E449,'By Lot'!E466,'By Lot'!E483,'By Lot'!E534)</f>
        <v>6</v>
      </c>
      <c r="D71" s="109">
        <f>SUM('By Lot'!F328,'By Lot'!F345,'By Lot'!F364,'By Lot'!F398,'By Lot'!F415,'By Lot'!F432,'By Lot'!F449,'By Lot'!F483,'By Lot'!F534)</f>
        <v>3</v>
      </c>
      <c r="E71" s="504">
        <f>SUM('By Lot'!G328,'By Lot'!G345,'By Lot'!G364,'By Lot'!G398,'By Lot'!G415,'By Lot'!G432,'By Lot'!G449,'By Lot'!G483,'By Lot'!G534)</f>
        <v>2</v>
      </c>
      <c r="F71" s="504">
        <f>SUM('By Lot'!H328,'By Lot'!H345,'By Lot'!H364,'By Lot'!H398,'By Lot'!H415,'By Lot'!H432,'By Lot'!H449,'By Lot'!H483,'By Lot'!H534)</f>
        <v>2</v>
      </c>
      <c r="G71" s="504">
        <f>SUM('By Lot'!I328,'By Lot'!I345,'By Lot'!I364,'By Lot'!I398,'By Lot'!I415,'By Lot'!I432,'By Lot'!I449,'By Lot'!I483,'By Lot'!I534)</f>
        <v>2</v>
      </c>
      <c r="H71" s="504">
        <f>SUM('By Lot'!J328,'By Lot'!J345,'By Lot'!J364,'By Lot'!J398,'By Lot'!J415,'By Lot'!J432,'By Lot'!J449,'By Lot'!J483,'By Lot'!J534)</f>
        <v>2</v>
      </c>
      <c r="I71" s="504">
        <f>SUM('By Lot'!K328,'By Lot'!K345,'By Lot'!K364,'By Lot'!K398,'By Lot'!K415,'By Lot'!K432,'By Lot'!K449,'By Lot'!K483,'By Lot'!K534)</f>
        <v>2</v>
      </c>
      <c r="J71" s="504">
        <f>SUM('By Lot'!L328,'By Lot'!L345,'By Lot'!L364,'By Lot'!L398,'By Lot'!L415,'By Lot'!L432,'By Lot'!L449,'By Lot'!L483,'By Lot'!L534)</f>
        <v>2</v>
      </c>
      <c r="K71" s="504">
        <f>SUM('By Lot'!M328,'By Lot'!M345,'By Lot'!M364,'By Lot'!M398,'By Lot'!M415,'By Lot'!M432,'By Lot'!M449,'By Lot'!M483,'By Lot'!M534)</f>
        <v>2</v>
      </c>
      <c r="L71" s="504">
        <f>SUM('By Lot'!N328,'By Lot'!N345,'By Lot'!N364,'By Lot'!N398,'By Lot'!N415,'By Lot'!N432,'By Lot'!N449,'By Lot'!N483,'By Lot'!N534)</f>
        <v>2</v>
      </c>
      <c r="M71" s="110">
        <f>SUM('By Lot'!O328,'By Lot'!O345,'By Lot'!O364,'By Lot'!O398,'By Lot'!O415,'By Lot'!O432,'By Lot'!O449,'By Lot'!O483,'By Lot'!O534)</f>
        <v>2</v>
      </c>
      <c r="N71" s="109">
        <f t="shared" si="11"/>
        <v>2</v>
      </c>
      <c r="O71" s="504">
        <f>C71-N71</f>
        <v>4</v>
      </c>
      <c r="P71" s="107">
        <f>O71/C71</f>
        <v>0.66666666666666663</v>
      </c>
      <c r="Q71" s="504"/>
      <c r="R71" s="504"/>
      <c r="S71" s="504"/>
      <c r="T71" s="504"/>
      <c r="U71" s="504"/>
      <c r="V71" s="504"/>
      <c r="W71" s="504"/>
      <c r="X71" s="504"/>
      <c r="Y71" s="504"/>
      <c r="Z71" s="504"/>
    </row>
    <row r="72" spans="1:26" ht="11.25" customHeight="1">
      <c r="A72" s="13"/>
      <c r="B72" s="13" t="s">
        <v>36</v>
      </c>
      <c r="C72" s="13">
        <f>SUM('By Lot'!E329,'By Lot'!E346,'By Lot'!E365,'By Lot'!E399,'By Lot'!E416,'By Lot'!E433,'By Lot'!E450,'By Lot'!E484,'By Lot'!E535)</f>
        <v>25</v>
      </c>
      <c r="D72" s="109">
        <f>SUM('By Lot'!F329,'By Lot'!F346,'By Lot'!F365,'By Lot'!F399,'By Lot'!F416,'By Lot'!F433,'By Lot'!F450,'By Lot'!F484,'By Lot'!F535)</f>
        <v>16</v>
      </c>
      <c r="E72" s="504">
        <f>SUM('By Lot'!G329,'By Lot'!G346,'By Lot'!G365,'By Lot'!G399,'By Lot'!G416,'By Lot'!G433,'By Lot'!G450,'By Lot'!G484,'By Lot'!G535)</f>
        <v>18</v>
      </c>
      <c r="F72" s="504">
        <f>SUM('By Lot'!H329,'By Lot'!H346,'By Lot'!H365,'By Lot'!H399,'By Lot'!H416,'By Lot'!H433,'By Lot'!H450,'By Lot'!H484,'By Lot'!H535)</f>
        <v>17</v>
      </c>
      <c r="G72" s="504">
        <f>SUM('By Lot'!I329,'By Lot'!I346,'By Lot'!I365,'By Lot'!I399,'By Lot'!I416,'By Lot'!I433,'By Lot'!I450,'By Lot'!I484,'By Lot'!I535)</f>
        <v>16</v>
      </c>
      <c r="H72" s="504">
        <f>SUM('By Lot'!J329,'By Lot'!J346,'By Lot'!J365,'By Lot'!J399,'By Lot'!J416,'By Lot'!J433,'By Lot'!J450,'By Lot'!J484,'By Lot'!J535)</f>
        <v>15</v>
      </c>
      <c r="I72" s="504">
        <f>SUM('By Lot'!K329,'By Lot'!K346,'By Lot'!K365,'By Lot'!K399,'By Lot'!K416,'By Lot'!K433,'By Lot'!K450,'By Lot'!K484,'By Lot'!K535)</f>
        <v>16</v>
      </c>
      <c r="J72" s="504">
        <f>SUM('By Lot'!L329,'By Lot'!L346,'By Lot'!L365,'By Lot'!L399,'By Lot'!L416,'By Lot'!L433,'By Lot'!L450,'By Lot'!L484,'By Lot'!L535)</f>
        <v>14</v>
      </c>
      <c r="K72" s="504">
        <f>SUM('By Lot'!M329,'By Lot'!M346,'By Lot'!M365,'By Lot'!M399,'By Lot'!M416,'By Lot'!M433,'By Lot'!M450,'By Lot'!M484,'By Lot'!M535)</f>
        <v>14</v>
      </c>
      <c r="L72" s="504">
        <f>SUM('By Lot'!N329,'By Lot'!N346,'By Lot'!N365,'By Lot'!N399,'By Lot'!N416,'By Lot'!N433,'By Lot'!N450,'By Lot'!N484,'By Lot'!N535)</f>
        <v>15</v>
      </c>
      <c r="M72" s="110">
        <f>SUM('By Lot'!O329,'By Lot'!O346,'By Lot'!O365,'By Lot'!O399,'By Lot'!O416,'By Lot'!O433,'By Lot'!O450,'By Lot'!O484,'By Lot'!O535)</f>
        <v>16</v>
      </c>
      <c r="N72" s="109">
        <f t="shared" si="11"/>
        <v>14</v>
      </c>
      <c r="O72" s="504">
        <f>C72-N72</f>
        <v>11</v>
      </c>
      <c r="P72" s="107">
        <f>O72/C72</f>
        <v>0.44</v>
      </c>
      <c r="Q72" s="504"/>
      <c r="R72" s="504"/>
      <c r="S72" s="504"/>
      <c r="T72" s="504"/>
      <c r="U72" s="504"/>
      <c r="V72" s="504"/>
      <c r="W72" s="504"/>
      <c r="X72" s="504"/>
      <c r="Y72" s="504"/>
      <c r="Z72" s="504"/>
    </row>
    <row r="73" spans="1:26" ht="11.25" customHeight="1">
      <c r="A73" s="402"/>
      <c r="B73" s="13" t="s">
        <v>37</v>
      </c>
      <c r="C73" s="13"/>
      <c r="D73" s="109"/>
      <c r="E73" s="504"/>
      <c r="F73" s="504"/>
      <c r="G73" s="504"/>
      <c r="H73" s="504"/>
      <c r="I73" s="504"/>
      <c r="J73" s="504"/>
      <c r="K73" s="504"/>
      <c r="L73" s="504"/>
      <c r="M73" s="110"/>
      <c r="N73" s="109"/>
      <c r="O73" s="504"/>
      <c r="P73" s="107"/>
      <c r="Q73" s="504"/>
      <c r="R73" s="504"/>
      <c r="S73" s="504"/>
      <c r="T73" s="504"/>
      <c r="U73" s="504"/>
      <c r="V73" s="504"/>
      <c r="W73" s="504"/>
      <c r="X73" s="504"/>
      <c r="Y73" s="504"/>
      <c r="Z73" s="504"/>
    </row>
    <row r="74" spans="1:26" ht="11.25" customHeight="1">
      <c r="A74" s="2"/>
      <c r="B74" s="3" t="s">
        <v>38</v>
      </c>
      <c r="C74" s="8">
        <f t="shared" ref="C74" si="12">SUM(C62:C73)</f>
        <v>58</v>
      </c>
      <c r="D74" s="18">
        <f t="shared" ref="D74:M74" si="13">SUM(D62:D73)</f>
        <v>23</v>
      </c>
      <c r="E74" s="19">
        <f t="shared" si="13"/>
        <v>24</v>
      </c>
      <c r="F74" s="19">
        <f t="shared" si="13"/>
        <v>23</v>
      </c>
      <c r="G74" s="19">
        <f t="shared" si="13"/>
        <v>22</v>
      </c>
      <c r="H74" s="19">
        <f t="shared" si="13"/>
        <v>21</v>
      </c>
      <c r="I74" s="19">
        <f t="shared" si="13"/>
        <v>22</v>
      </c>
      <c r="J74" s="19">
        <f t="shared" si="13"/>
        <v>20</v>
      </c>
      <c r="K74" s="19">
        <f t="shared" si="13"/>
        <v>20</v>
      </c>
      <c r="L74" s="19">
        <f t="shared" si="13"/>
        <v>21</v>
      </c>
      <c r="M74" s="20">
        <f t="shared" si="13"/>
        <v>22</v>
      </c>
      <c r="N74" s="21">
        <f t="shared" si="11"/>
        <v>20</v>
      </c>
      <c r="O74" s="71">
        <f>C74-N74</f>
        <v>38</v>
      </c>
      <c r="P74" s="7">
        <f>O74/C74</f>
        <v>0.65517241379310343</v>
      </c>
      <c r="Q74" s="504"/>
      <c r="R74" s="504"/>
      <c r="S74" s="504"/>
      <c r="T74" s="504"/>
      <c r="U74" s="504"/>
      <c r="V74" s="504"/>
      <c r="W74" s="504"/>
      <c r="X74" s="504"/>
      <c r="Y74" s="504"/>
      <c r="Z74" s="504"/>
    </row>
    <row r="75" spans="1:26" ht="11.25" customHeight="1">
      <c r="A75" s="397" t="s">
        <v>80</v>
      </c>
      <c r="B75" s="109" t="s">
        <v>23</v>
      </c>
      <c r="C75" s="550">
        <f>SUM(p113a,p114a,p201a, P202A, P203A, P204A, P205A, P206a_regular, ScholarsB3A, 'By Lot'!E658, 'By Lot'!E675, P414A)</f>
        <v>13</v>
      </c>
      <c r="D75" s="128">
        <f ca="1">SUM( OFFSET(p113a, 0,1),
OFFSET(p114a,0,1),
OFFSET(p201a, 0,1),
OFFSET(P202A, 0,1),
OFFSET(P203A, 0,1),
OFFSET(P204A, 0,1),
OFFSET(P205A, 0,1),
OFFSET(P206a_regular, 0,1),
OFFSET(ScholarsB3A, 0,1),
OFFSET('By Lot'!E658, 0,1),
OFFSET('By Lot'!E675, 0,1),
OFFSET(P414A,0,1))</f>
        <v>8</v>
      </c>
      <c r="E75" s="128">
        <f ca="1">SUM( OFFSET(p113a, 0,2),
OFFSET(p114a,0,2),
OFFSET(p201a, 0,2),
OFFSET(P202A, 0,2),
OFFSET(P203A, 0,2),
OFFSET(P204A, 0,2),
OFFSET(P205A, 0,2),
OFFSET(P206a_regular, 0,2),
OFFSET(ScholarsB3A, 0,2),
OFFSET('By Lot'!F658, 0,2),
OFFSET('By Lot'!F675, 0,2),
OFFSET(P414A,0,2))</f>
        <v>6</v>
      </c>
      <c r="F75" s="128">
        <f ca="1">SUM( OFFSET(p113a, 0,3),
OFFSET(p114a,0,3),
OFFSET(p201a, 0,3),
OFFSET(P202A, 0,3),
OFFSET(P203A, 0,3),
OFFSET(P204A, 0,3),
OFFSET(P205A, 0,3),
OFFSET(P206a_regular, 0,3),
OFFSET(ScholarsB3A, 0,3),
OFFSET('By Lot'!G658, 0,3),
OFFSET('By Lot'!G675, 0,3),
OFFSET(P414A,0,3))</f>
        <v>4</v>
      </c>
      <c r="G75" s="128">
        <f ca="1">SUM( OFFSET(p113a, 0,4),
OFFSET(p114a,0,4),
OFFSET(p201a, 0,4),
OFFSET(P202A, 0,4),
OFFSET(P203A, 0,4),
OFFSET(P204A, 0,4),
OFFSET(P205A, 0,4),
OFFSET(P206a_regular, 0,4),
OFFSET(ScholarsB3A, 0,4),
OFFSET('By Lot'!H658, 0,4),
OFFSET('By Lot'!H675, 0,4),
OFFSET(P414A,0,4))</f>
        <v>1</v>
      </c>
      <c r="H75" s="128">
        <f ca="1">SUM( OFFSET(p113a, 0,5),
OFFSET(p114a,0,5),
OFFSET(p201a, 0,5),
OFFSET(P202A, 0,5),
OFFSET(P203A, 0,5),
OFFSET(P204A, 0,5),
OFFSET(P205A, 0,5),
OFFSET(P206a_regular, 0,5),
OFFSET(ScholarsB3A, 0,5),
OFFSET('By Lot'!I658, 0,5),
OFFSET('By Lot'!I675, 0,5),
OFFSET(P414A,0,5))</f>
        <v>1</v>
      </c>
      <c r="I75" s="128">
        <f ca="1">SUM( OFFSET(p113a, 0,6),
OFFSET(p114a,0,6),
OFFSET(p201a, 0,6),
OFFSET(P202A, 0,6),
OFFSET(P203A, 0,6),
OFFSET(P204A, 0,6),
OFFSET(P205A, 0,6),
OFFSET(P206a_regular, 0,6),
OFFSET(ScholarsB3A, 0,6),
OFFSET('By Lot'!J658, 0,6),
OFFSET('By Lot'!J675, 0,6),
OFFSET(P414A,0,6))</f>
        <v>0</v>
      </c>
      <c r="J75" s="128">
        <f ca="1">SUM( OFFSET(p113a, 0,7),
OFFSET(p114a,0,7),
OFFSET(p201a, 0,7),
OFFSET(P202A, 0,7),
OFFSET(P203A, 0,7),
OFFSET(P204A, 0,7),
OFFSET(P205A, 0,7),
OFFSET(P206a_regular, 0,7),
OFFSET(ScholarsB3A, 0,7),
OFFSET('By Lot'!K658, 0,7),
OFFSET('By Lot'!K675, 0,7),
OFFSET(P414A,0,7))</f>
        <v>0</v>
      </c>
      <c r="K75" s="128">
        <f ca="1">SUM( OFFSET(p113a, 0,8),
OFFSET(p114a,0,8),
OFFSET(p201a, 0,8),
OFFSET(P202A, 0,8),
OFFSET(P203A, 0,8),
OFFSET(P204A, 0,8),
OFFSET(P205A, 0,8),
OFFSET(P206a_regular, 0,8),
OFFSET(ScholarsB3A, 0,8),
OFFSET('By Lot'!L658, 0,8),
OFFSET('By Lot'!L675, 0,8),
OFFSET(P414A,0,8))</f>
        <v>2</v>
      </c>
      <c r="L75" s="128">
        <f ca="1">SUM( OFFSET(p113a, 0,9),
OFFSET(p114a,0,9),
OFFSET(p201a, 0,9),
OFFSET(P202A, 0,9),
OFFSET(P203A, 0,9),
OFFSET(P204A, 0,9),
OFFSET(P205A, 0,9),
OFFSET(P206a_regular, 0,9),
OFFSET(ScholarsB3A, 0,9),
OFFSET('By Lot'!M658, 0,9),
OFFSET('By Lot'!M675, 0,9),
OFFSET(P414A,0,9))</f>
        <v>2</v>
      </c>
      <c r="M75" s="554">
        <f ca="1">SUM( OFFSET(p113a, 0,10),
OFFSET(p114a,0,10),
OFFSET(p201a, 0,10),
OFFSET(P202A, 0,10),
OFFSET(P203A, 0,10),
OFFSET(P204A, 0,10),
OFFSET(P205A, 0,10),
OFFSET(P206a_regular, 0,10),
OFFSET(ScholarsB3A, 0,10),
OFFSET('By Lot'!N658, 0,10),
OFFSET('By Lot'!N675, 0,10),
OFFSET(P414A,0,10))</f>
        <v>2</v>
      </c>
      <c r="N75" s="504">
        <f t="shared" ca="1" si="11"/>
        <v>0</v>
      </c>
      <c r="O75" s="504">
        <f ca="1">C75-N75</f>
        <v>13</v>
      </c>
      <c r="P75" s="107">
        <f ca="1">O75/C75</f>
        <v>1</v>
      </c>
      <c r="Q75" s="504"/>
      <c r="R75" s="504"/>
      <c r="S75" s="504"/>
      <c r="T75" s="504"/>
      <c r="U75" s="504"/>
      <c r="V75" s="504"/>
      <c r="W75" s="504"/>
      <c r="X75" s="504"/>
      <c r="Y75" s="504"/>
      <c r="Z75" s="504"/>
    </row>
    <row r="76" spans="1:26" ht="11.25" customHeight="1">
      <c r="A76" s="13" t="s">
        <v>76</v>
      </c>
      <c r="B76" s="109" t="s">
        <v>77</v>
      </c>
      <c r="C76" s="536">
        <f>'By Lot'!E624</f>
        <v>67</v>
      </c>
      <c r="D76" s="504">
        <f>'By Lot'!F624</f>
        <v>46</v>
      </c>
      <c r="E76" s="504">
        <f>'By Lot'!G624</f>
        <v>40</v>
      </c>
      <c r="F76" s="504">
        <f>'By Lot'!H624</f>
        <v>34</v>
      </c>
      <c r="G76" s="504">
        <f>'By Lot'!I624</f>
        <v>26</v>
      </c>
      <c r="H76" s="504">
        <f>'By Lot'!J624</f>
        <v>37</v>
      </c>
      <c r="I76" s="504">
        <f>'By Lot'!K624</f>
        <v>37</v>
      </c>
      <c r="J76" s="504">
        <f>'By Lot'!L624</f>
        <v>27</v>
      </c>
      <c r="K76" s="504">
        <f>'By Lot'!M624</f>
        <v>25</v>
      </c>
      <c r="L76" s="504">
        <f>'By Lot'!N624</f>
        <v>32</v>
      </c>
      <c r="M76" s="110">
        <f>'By Lot'!O624</f>
        <v>30</v>
      </c>
      <c r="N76" s="109">
        <f t="shared" si="11"/>
        <v>25</v>
      </c>
      <c r="O76" s="504">
        <f>C76-N76</f>
        <v>42</v>
      </c>
      <c r="P76" s="107">
        <f>O76/C76</f>
        <v>0.62686567164179108</v>
      </c>
      <c r="Q76" s="504"/>
      <c r="R76" s="504"/>
      <c r="S76" s="504"/>
      <c r="T76" s="504"/>
      <c r="U76" s="504"/>
      <c r="V76" s="504"/>
      <c r="W76" s="504"/>
      <c r="X76" s="504"/>
      <c r="Y76" s="504"/>
      <c r="Z76" s="504"/>
    </row>
    <row r="77" spans="1:26" ht="11.25" customHeight="1">
      <c r="A77" s="13"/>
      <c r="B77" s="109" t="s">
        <v>81</v>
      </c>
      <c r="C77" s="536">
        <f>'By Lot'!E625</f>
        <v>20</v>
      </c>
      <c r="D77" s="504">
        <f>'By Lot'!F625</f>
        <v>20</v>
      </c>
      <c r="E77" s="504">
        <f>'By Lot'!G625</f>
        <v>18</v>
      </c>
      <c r="F77" s="504">
        <f>'By Lot'!H625</f>
        <v>17</v>
      </c>
      <c r="G77" s="504">
        <f>'By Lot'!I625</f>
        <v>20</v>
      </c>
      <c r="H77" s="504">
        <f>'By Lot'!J625</f>
        <v>19</v>
      </c>
      <c r="I77" s="504">
        <f>'By Lot'!K625</f>
        <v>19</v>
      </c>
      <c r="J77" s="504">
        <f>'By Lot'!L625</f>
        <v>19</v>
      </c>
      <c r="K77" s="504">
        <f>'By Lot'!M625</f>
        <v>19</v>
      </c>
      <c r="L77" s="504">
        <f>'By Lot'!N625</f>
        <v>19</v>
      </c>
      <c r="M77" s="110">
        <f>'By Lot'!O625</f>
        <v>19</v>
      </c>
      <c r="N77" s="109">
        <f t="shared" si="11"/>
        <v>17</v>
      </c>
      <c r="O77" s="504">
        <f>C77-N77</f>
        <v>3</v>
      </c>
      <c r="P77" s="107">
        <f>O77/C77</f>
        <v>0.15</v>
      </c>
      <c r="Q77" s="504"/>
      <c r="R77" s="504"/>
      <c r="S77" s="504"/>
      <c r="T77" s="504"/>
      <c r="U77" s="504"/>
      <c r="V77" s="504"/>
      <c r="W77" s="504"/>
      <c r="X77" s="504"/>
      <c r="Y77" s="504"/>
      <c r="Z77" s="504"/>
    </row>
    <row r="78" spans="1:26" ht="11.25" customHeight="1">
      <c r="A78" s="13"/>
      <c r="B78" s="13" t="s">
        <v>25</v>
      </c>
      <c r="C78" s="536">
        <f>SUM(p113b,p114b,p201b, P202B, P203B, P204B, P205B, P206B, ScholarsB3B, 'By Lot'!E659, 'By Lot'!E676, P414B)</f>
        <v>10</v>
      </c>
      <c r="D78" s="109">
        <f ca="1">SUM( OFFSET(p113b, 0,1),
OFFSET(p114b,0,1),
OFFSET(p201b, 0,1),
OFFSET(P202B, 0,1),
OFFSET(P203B, 0,1),
OFFSET(P204B, 0,1),
OFFSET(P205B, 0,1),
OFFSET(P206B, 0,1),
'By Structure'!C8,
OFFSET(P414B,0,1))</f>
        <v>0</v>
      </c>
      <c r="E78" s="504">
        <f ca="1">SUM( OFFSET(p113b, 0,2),
OFFSET(p114b,0,2),
OFFSET(p201b, 0,2),
OFFSET(P202B, 0,2),
OFFSET(P203B, 0,2),
OFFSET(P204B, 0,2),
OFFSET(P205B, 0,2),
OFFSET(P206B, 0,2),
'By Structure'!D8,
OFFSET(P414B,0,2))</f>
        <v>0</v>
      </c>
      <c r="F78" s="504">
        <f ca="1">SUM( OFFSET(p113b, 0,3),
OFFSET(p114b,0,3),
OFFSET(p201b, 0,3),
OFFSET(P202B, 0,3),
OFFSET(P203B, 0,3),
OFFSET(P204B, 0,3),
OFFSET(P205B, 0,3),
OFFSET(P206B, 0,3),
'By Structure'!E8,
OFFSET(P414B,0,3))</f>
        <v>0</v>
      </c>
      <c r="G78" s="504">
        <f ca="1">SUM( OFFSET(p113b, 0,4),
OFFSET(p114b,0,4),
OFFSET(p201b, 0,4),
OFFSET(P202B, 0,4),
OFFSET(P203B, 0,4),
OFFSET(P204B, 0,4),
OFFSET(P205B, 0,4),
OFFSET(P206B, 0,4),
'By Structure'!F8,
OFFSET(P414B,0,4))</f>
        <v>2</v>
      </c>
      <c r="H78" s="504">
        <f ca="1">SUM( OFFSET(p113b, 0,5),
OFFSET(p114b,0,5),
OFFSET(p201b, 0,5),
OFFSET(P202B, 0,5),
OFFSET(P203B, 0,5),
OFFSET(P204B, 0,5),
OFFSET(P205B, 0,5),
OFFSET(P206B, 0,5),
'By Structure'!G8,
OFFSET(P414B,0,5))</f>
        <v>1</v>
      </c>
      <c r="I78" s="504">
        <f ca="1">SUM( OFFSET(p113b, 0,6),
OFFSET(p114b,0,6),
OFFSET(p201b, 0,6),
OFFSET(P202B, 0,6),
OFFSET(P203B, 0,6),
OFFSET(P204B, 0,6),
OFFSET(P205B, 0,6),
OFFSET(P206B, 0,6),
'By Structure'!H8,
OFFSET(P414B,0,6))</f>
        <v>0</v>
      </c>
      <c r="J78" s="504">
        <f ca="1">SUM( OFFSET(p113b, 0,7),
OFFSET(p114b,0,7),
OFFSET(p201b, 0,7),
OFFSET(P202B, 0,7),
OFFSET(P203B, 0,7),
OFFSET(P204B, 0,7),
OFFSET(P205B, 0,7),
OFFSET(P206B, 0,7),
'By Structure'!I8,
OFFSET(P414B,0,7))</f>
        <v>0</v>
      </c>
      <c r="K78" s="504">
        <f ca="1">SUM( OFFSET(p113b, 0,8),
OFFSET(p114b,0,8),
OFFSET(p201b, 0,8),
OFFSET(P202B, 0,8),
OFFSET(P203B, 0,8),
OFFSET(P204B, 0,8),
OFFSET(P205B, 0,8),
OFFSET(P206B, 0,8),
'By Structure'!J8,
OFFSET(P414B,0,8))</f>
        <v>0</v>
      </c>
      <c r="L78" s="504">
        <f ca="1">SUM( OFFSET(p113b, 0,9),
OFFSET(p114b,0,9),
OFFSET(p201b, 0,9),
OFFSET(P202B, 0,9),
OFFSET(P203B, 0,9),
OFFSET(P204B, 0,9),
OFFSET(P205B, 0,9),
OFFSET(P206B, 0,9),
'By Structure'!K8,
OFFSET(P414B,0,9))</f>
        <v>0</v>
      </c>
      <c r="M78" s="110">
        <f ca="1">SUM( OFFSET(p113b, 0,10),
OFFSET(p114b,0,10),
OFFSET(p201b, 0,10),
OFFSET(P202B, 0,10),
OFFSET(P203B, 0,10),
OFFSET(P204B, 0,10),
OFFSET(P205B, 0,10),
OFFSET(P206B, 0,10),
'By Structure'!L8,
OFFSET(P414B,0,10))</f>
        <v>0</v>
      </c>
      <c r="N78" s="109">
        <f ca="1">MIN(D78:M78)</f>
        <v>0</v>
      </c>
      <c r="O78" s="504">
        <f ca="1">C78-N78</f>
        <v>10</v>
      </c>
      <c r="P78" s="107">
        <f ca="1">O78/C78</f>
        <v>1</v>
      </c>
      <c r="Q78" s="504"/>
      <c r="R78" s="504"/>
      <c r="S78" s="504"/>
      <c r="T78" s="504"/>
      <c r="U78" s="504"/>
      <c r="V78" s="504"/>
      <c r="W78" s="504"/>
      <c r="X78" s="504"/>
      <c r="Y78" s="504"/>
      <c r="Z78" s="504"/>
    </row>
    <row r="79" spans="1:26" ht="11.25" customHeight="1">
      <c r="A79" s="13"/>
      <c r="B79" s="13" t="s">
        <v>27</v>
      </c>
      <c r="C79" s="536"/>
      <c r="D79" s="109"/>
      <c r="E79" s="504"/>
      <c r="F79" s="504"/>
      <c r="G79" s="504"/>
      <c r="H79" s="504"/>
      <c r="I79" s="504"/>
      <c r="J79" s="504"/>
      <c r="K79" s="504"/>
      <c r="L79" s="504"/>
      <c r="M79" s="110"/>
      <c r="N79" s="109"/>
      <c r="O79" s="504"/>
      <c r="P79" s="107"/>
      <c r="Q79" s="504"/>
      <c r="R79" s="504"/>
      <c r="S79" s="504"/>
      <c r="T79" s="504"/>
      <c r="U79" s="504"/>
      <c r="V79" s="504"/>
      <c r="W79" s="504"/>
      <c r="X79" s="504"/>
      <c r="Y79" s="504"/>
      <c r="Z79" s="504"/>
    </row>
    <row r="80" spans="1:26" ht="11.25" customHeight="1">
      <c r="A80" s="13"/>
      <c r="B80" s="13" t="s">
        <v>31</v>
      </c>
      <c r="C80" s="536">
        <f>SUM(p113v,p114v,p201v, P202Visitor, P203V, P204Visitor, P205Visitor, p206visitor,  'By Structure'!C10, P414Visitor)</f>
        <v>83</v>
      </c>
      <c r="D80" s="103">
        <f ca="1">SUM( OFFSET(p113v, 0,1),
OFFSET(p114v,0,1),
OFFSET(p201v, 0,1),
OFFSET(P202Visitor, 0,1),
OFFSET(P203V, 0,1),
OFFSET(P204Visitor, 0,1),
OFFSET(P205Visitor, 0,1),
OFFSET(p206visitor, 0,1),
 'By Structure'!C10,
OFFSET(P414A,0,1))</f>
        <v>72</v>
      </c>
      <c r="E80" s="91">
        <f ca="1">SUM( OFFSET(p113v, 0,2),
OFFSET(p114v,0,2),
OFFSET(p201v, 0,2),
OFFSET(P202Visitor, 0,2),
OFFSET(P203V, 0,2),
OFFSET(P204Visitor, 0,2),
OFFSET(P205Visitor, 0,2),
OFFSET(p206visitor, 0,2),
 'By Structure'!D10,
OFFSET(P414A,0,2))</f>
        <v>31</v>
      </c>
      <c r="F80" s="91">
        <f ca="1">SUM( OFFSET(p113v, 0,3),
OFFSET(p114v,0,3),
OFFSET(p201v, 0,3),
OFFSET(P202Visitor, 0,3),
OFFSET(P203V, 0,3),
OFFSET(P204Visitor, 0,3),
OFFSET(P205Visitor, 0,3),
OFFSET(p206visitor, 0,3),
 'By Structure'!E10,
OFFSET(P414A,0,3))</f>
        <v>24</v>
      </c>
      <c r="G80" s="91">
        <f ca="1">SUM( OFFSET(p113v, 0,4),
OFFSET(p114v,0,4),
OFFSET(p201v, 0,4),
OFFSET(P202Visitor, 0,4),
OFFSET(P203V, 0,4),
OFFSET(P204Visitor, 0,4),
OFFSET(P205Visitor, 0,4),
OFFSET(p206visitor, 0,4),
 'By Structure'!F10,
OFFSET(P414A,0,4))</f>
        <v>20</v>
      </c>
      <c r="H80" s="91">
        <f ca="1">SUM( OFFSET(p113v, 0,5),
OFFSET(p114v,0,5),
OFFSET(p201v, 0,5),
OFFSET(P202Visitor, 0,5),
OFFSET(P203V, 0,5),
OFFSET(P204Visitor, 0,5),
OFFSET(P205Visitor, 0,5),
OFFSET(p206visitor, 0,5),
 'By Structure'!G10,
OFFSET(P414A,0,5))</f>
        <v>23</v>
      </c>
      <c r="I80" s="91">
        <f ca="1">SUM( OFFSET(p113v, 0,6),
OFFSET(p114v,0,6),
OFFSET(p201v, 0,6),
OFFSET(P202Visitor, 0,6),
OFFSET(P203V, 0,6),
OFFSET(P204Visitor, 0,6),
OFFSET(P205Visitor, 0,6),
OFFSET(p206visitor, 0,6),
 'By Structure'!H10,
OFFSET(P414A,0,6))</f>
        <v>16</v>
      </c>
      <c r="J80" s="91">
        <f ca="1">SUM( OFFSET(p113v, 0,7),
OFFSET(p114v,0,7),
OFFSET(p201v, 0,7),
OFFSET(P202Visitor, 0,7),
OFFSET(P203V, 0,7),
OFFSET(P204Visitor, 0,7),
OFFSET(P205Visitor, 0,7),
OFFSET(p206visitor, 0,7),
 'By Structure'!I10,
OFFSET(P414A,0,7))</f>
        <v>25</v>
      </c>
      <c r="K80" s="91">
        <f ca="1">SUM( OFFSET(p113v, 0,8),
OFFSET(p114v,0,8),
OFFSET(p201v, 0,8),
OFFSET(P202Visitor, 0,8),
OFFSET(P203V, 0,8),
OFFSET(P204Visitor, 0,8),
OFFSET(P205Visitor, 0,8),
OFFSET(p206visitor, 0,8),
 'By Structure'!J10,
OFFSET(P414A,0,8))</f>
        <v>23</v>
      </c>
      <c r="L80" s="91">
        <f ca="1">SUM( OFFSET(p113v, 0,9),
OFFSET(p114v,0,9),
OFFSET(p201v, 0,9),
OFFSET(P202Visitor, 0,9),
OFFSET(P203V, 0,9),
OFFSET(P204Visitor, 0,9),
OFFSET(P205Visitor, 0,9),
OFFSET(p206visitor, 0,9),
 'By Structure'!K10,
OFFSET(P414A,0,9))</f>
        <v>31</v>
      </c>
      <c r="M80" s="108">
        <f ca="1">SUM( OFFSET(p113v, 0,10),
OFFSET(p114v,0,10),
OFFSET(p201v, 0,10),
OFFSET(P202Visitor, 0,10),
OFFSET(P203V, 0,10),
OFFSET(P204Visitor, 0,10),
OFFSET(P205Visitor, 0,10),
OFFSET(p206visitor, 0,10),
 'By Structure'!L10,
OFFSET(P414A,0,10))</f>
        <v>29</v>
      </c>
      <c r="N80" s="103">
        <f t="shared" ref="N80:N89" ca="1" si="14">MIN(D80:M80)</f>
        <v>16</v>
      </c>
      <c r="O80" s="91">
        <f ca="1">C80-N80</f>
        <v>67</v>
      </c>
      <c r="P80" s="107">
        <f ca="1">O80/C80</f>
        <v>0.80722891566265065</v>
      </c>
      <c r="Q80" s="504"/>
      <c r="R80" s="504"/>
      <c r="S80" s="504"/>
      <c r="T80" s="504"/>
      <c r="U80" s="504"/>
      <c r="V80" s="504"/>
      <c r="W80" s="504"/>
      <c r="X80" s="504"/>
      <c r="Y80" s="504"/>
      <c r="Z80" s="504"/>
    </row>
    <row r="81" spans="1:26" ht="11.25" customHeight="1">
      <c r="A81" s="13"/>
      <c r="B81" s="13" t="s">
        <v>32</v>
      </c>
      <c r="C81" s="536">
        <f>SUM(p113r,p114r,p201r, P202Reserved, P203Reserved, P204Reserved, P205Reserved, P206Reserved,  'By Structure'!C11, P414Reserved)</f>
        <v>28</v>
      </c>
      <c r="D81" s="103">
        <f ca="1">SUM( OFFSET(p113r, 0,1),
OFFSET(p114r,0,1),
OFFSET(p201r, 0,1),
OFFSET(P202Reserved, 0,1),
OFFSET(P203Reserved, 0,1),
OFFSET(P204Reserved, 0,1),
OFFSET(P205Reserved, 0,1),
OFFSET(P206Reserved, 0,1),
 'By Structure'!D11,
OFFSET(P414Reserved,0,1))</f>
        <v>18</v>
      </c>
      <c r="E81" s="91">
        <f ca="1">SUM( OFFSET(p113r, 0,2),
OFFSET(p114r,0,2),
OFFSET(p201r, 0,2),
OFFSET(P202Reserved, 0,2),
OFFSET(P203Reserved, 0,2),
OFFSET(P204Reserved, 0,2),
OFFSET(P205Reserved, 0,2),
OFFSET(P206Reserved, 0,2),
 'By Structure'!E11,
OFFSET(P414Reserved,0,2))</f>
        <v>21</v>
      </c>
      <c r="F81" s="91">
        <f ca="1">SUM( OFFSET(p113r, 0,3),
OFFSET(p114r,0,3),
OFFSET(p201r, 0,3),
OFFSET(P202Reserved, 0,3),
OFFSET(P203Reserved, 0,3),
OFFSET(P204Reserved, 0,3),
OFFSET(P205Reserved, 0,3),
OFFSET(P206Reserved, 0,3),
 'By Structure'!F11,
OFFSET(P414Reserved,0,3))</f>
        <v>21</v>
      </c>
      <c r="G81" s="91">
        <f ca="1">SUM( OFFSET(p113r, 0,4),
OFFSET(p114r,0,4),
OFFSET(p201r, 0,4),
OFFSET(P202Reserved, 0,4),
OFFSET(P203Reserved, 0,4),
OFFSET(P204Reserved, 0,4),
OFFSET(P205Reserved, 0,4),
OFFSET(P206Reserved, 0,4),
 'By Structure'!G11,
OFFSET(P414Reserved,0,4))</f>
        <v>19</v>
      </c>
      <c r="H81" s="91">
        <f ca="1">SUM( OFFSET(p113r, 0,5),
OFFSET(p114r,0,5),
OFFSET(p201r, 0,5),
OFFSET(P202Reserved, 0,5),
OFFSET(P203Reserved, 0,5),
OFFSET(P204Reserved, 0,5),
OFFSET(P205Reserved, 0,5),
OFFSET(P206Reserved, 0,5),
 'By Structure'!H11,
OFFSET(P414Reserved,0,5))</f>
        <v>19</v>
      </c>
      <c r="I81" s="91">
        <f ca="1">SUM( OFFSET(p113r, 0,6),
OFFSET(p114r,0,6),
OFFSET(p201r, 0,6),
OFFSET(P202Reserved, 0,6),
OFFSET(P203Reserved, 0,6),
OFFSET(P204Reserved, 0,6),
OFFSET(P205Reserved, 0,6),
OFFSET(P206Reserved, 0,6),
 'By Structure'!I11,
OFFSET(P414Reserved,0,6))</f>
        <v>19</v>
      </c>
      <c r="J81" s="91">
        <f ca="1">SUM( OFFSET(p113r, 0,7),
OFFSET(p114r,0,7),
OFFSET(p201r, 0,7),
OFFSET(P202Reserved, 0,7),
OFFSET(P203Reserved, 0,7),
OFFSET(P204Reserved, 0,7),
OFFSET(P205Reserved, 0,7),
OFFSET(P206Reserved, 0,7),
 'By Structure'!J11,
OFFSET(P414Reserved,0,7))</f>
        <v>18</v>
      </c>
      <c r="K81" s="91">
        <f ca="1">SUM( OFFSET(p113r, 0,8),
OFFSET(p114r,0,8),
OFFSET(p201r, 0,8),
OFFSET(P202Reserved, 0,8),
OFFSET(P203Reserved, 0,8),
OFFSET(P204Reserved, 0,8),
OFFSET(P205Reserved, 0,8),
OFFSET(P206Reserved, 0,8),
 'By Structure'!K11,
OFFSET(P414Reserved,0,8))</f>
        <v>18</v>
      </c>
      <c r="L81" s="91">
        <f ca="1">SUM( OFFSET(p113r, 0,9),
OFFSET(p114r,0,9),
OFFSET(p201r, 0,9),
OFFSET(P202Reserved, 0,9),
OFFSET(P203Reserved, 0,9),
OFFSET(P204Reserved, 0,9),
OFFSET(P205Reserved, 0,9),
OFFSET(P206Reserved, 0,9),
 'By Structure'!L11,
OFFSET(P414Reserved,0,9))</f>
        <v>19</v>
      </c>
      <c r="M81" s="108">
        <f ca="1">SUM( OFFSET(p113r, 0,10),
OFFSET(p114r,0,10),
OFFSET(p201r, 0,10),
OFFSET(P202Reserved, 0,10),
OFFSET(P203Reserved, 0,10),
OFFSET(P204Reserved, 0,10),
OFFSET(P205Reserved, 0,10),
OFFSET(P206Reserved, 0,10),
 'By Structure'!M11,
OFFSET(P414Reserved,0,10))</f>
        <v>18</v>
      </c>
      <c r="N81" s="103">
        <f t="shared" ca="1" si="14"/>
        <v>18</v>
      </c>
      <c r="O81" s="91">
        <f ca="1">C81-N81</f>
        <v>10</v>
      </c>
      <c r="P81" s="107">
        <f ca="1">O81/C81</f>
        <v>0.35714285714285715</v>
      </c>
      <c r="Q81" s="504"/>
      <c r="R81" s="504"/>
      <c r="S81" s="504"/>
      <c r="T81" s="504"/>
      <c r="U81" s="504"/>
      <c r="V81" s="504"/>
      <c r="W81" s="504"/>
      <c r="X81" s="504"/>
      <c r="Y81" s="504"/>
      <c r="Z81" s="504"/>
    </row>
    <row r="82" spans="1:26" ht="11.25" customHeight="1">
      <c r="A82" s="13"/>
      <c r="B82" s="13" t="s">
        <v>33</v>
      </c>
      <c r="C82" s="536">
        <f>SUM(p113allocated,p114allocated,p201allocated, P202Allocated, P203Allocated, P204Allocated, P205Allocated, p206allocated,  'By Structure'!C12, P414Allocated)</f>
        <v>1008</v>
      </c>
      <c r="D82" s="103">
        <f ca="1">SUM( OFFSET(p113allocated, 0,1),
OFFSET(p114allocated,0,1),
OFFSET(p201allocated, 0,1),
OFFSET(P202Allocated, 0,1),
OFFSET(P203Allocated, 0,1),
OFFSET(P204Allocated, 0,1),
OFFSET(P205Allocated, 0,1),
OFFSET(p206allocated, 0,1),
'By Structure'!D12,
OFFSET(P414Allocated,0,1))</f>
        <v>763</v>
      </c>
      <c r="E82" s="91">
        <f ca="1">SUM( OFFSET(p113allocated, 0,2),
OFFSET(p114allocated,0,2),
OFFSET(p201allocated, 0,2),
OFFSET(P202Allocated, 0,2),
OFFSET(P203Allocated, 0,2),
OFFSET(P204Allocated, 0,2),
OFFSET(P205Allocated, 0,2),
OFFSET(p206allocated, 0,2),
'By Structure'!E12,
OFFSET(P414Allocated,0,2))</f>
        <v>744</v>
      </c>
      <c r="F82" s="91">
        <f ca="1">SUM( OFFSET(p113allocated, 0,3),
OFFSET(p114allocated,0,3),
OFFSET(p201allocated, 0,3),
OFFSET(P202Allocated, 0,3),
OFFSET(P203Allocated, 0,3),
OFFSET(P204Allocated, 0,3),
OFFSET(P205Allocated, 0,3),
OFFSET(p206allocated, 0,3),
'By Structure'!F12,
OFFSET(P414Allocated,0,3))</f>
        <v>704</v>
      </c>
      <c r="G82" s="91">
        <f ca="1">SUM( OFFSET(p113allocated, 0,4),
OFFSET(p114allocated,0,4),
OFFSET(p201allocated, 0,4),
OFFSET(P202Allocated, 0,4),
OFFSET(P203Allocated, 0,4),
OFFSET(P204Allocated, 0,4),
OFFSET(P205Allocated, 0,4),
OFFSET(p206allocated, 0,4),
'By Structure'!G12,
OFFSET(P414Allocated,0,4))</f>
        <v>723</v>
      </c>
      <c r="H82" s="91">
        <f ca="1">SUM( OFFSET(p113allocated, 0,5),
OFFSET(p114allocated,0,5),
OFFSET(p201allocated, 0,5),
OFFSET(P202Allocated, 0,5),
OFFSET(P203Allocated, 0,5),
OFFSET(P204Allocated, 0,5),
OFFSET(P205Allocated, 0,5),
OFFSET(p206allocated, 0,5),
'By Structure'!H12,
OFFSET(P414Allocated,0,5))</f>
        <v>719</v>
      </c>
      <c r="I82" s="91">
        <f ca="1">SUM( OFFSET(p113allocated, 0,6),
OFFSET(p114allocated,0,6),
OFFSET(p201allocated, 0,6),
OFFSET(P202Allocated, 0,6),
OFFSET(P203Allocated, 0,6),
OFFSET(P204Allocated, 0,6),
OFFSET(P205Allocated, 0,6),
OFFSET(p206allocated, 0,6),
'By Structure'!I12,
OFFSET(P414Allocated,0,6))</f>
        <v>708</v>
      </c>
      <c r="J82" s="91">
        <f ca="1">SUM( OFFSET(p113allocated, 0,7),
OFFSET(p114allocated,0,7),
OFFSET(p201allocated, 0,7),
OFFSET(P202Allocated, 0,7),
OFFSET(P203Allocated, 0,7),
OFFSET(P204Allocated, 0,7),
OFFSET(P205Allocated, 0,7),
OFFSET(p206allocated, 0,7),
'By Structure'!J12,
OFFSET(P414Allocated,0,7))</f>
        <v>706</v>
      </c>
      <c r="K82" s="91">
        <f ca="1">SUM( OFFSET(p113allocated, 0,8),
OFFSET(p114allocated,0,8),
OFFSET(p201allocated, 0,8),
OFFSET(P202Allocated, 0,8),
OFFSET(P203Allocated, 0,8),
OFFSET(P204Allocated, 0,8),
OFFSET(P205Allocated, 0,8),
OFFSET(p206allocated, 0,8),
'By Structure'!K12,
OFFSET(P414Allocated,0,8))</f>
        <v>727</v>
      </c>
      <c r="L82" s="91">
        <f ca="1">SUM( OFFSET(p113allocated, 0,9),
OFFSET(p114allocated,0,9),
OFFSET(p201allocated, 0,9),
OFFSET(P202Allocated, 0,9),
OFFSET(P203Allocated, 0,9),
OFFSET(P204Allocated, 0,9),
OFFSET(P205Allocated, 0,9),
OFFSET(p206allocated, 0,9),
'By Structure'!L12,
OFFSET(P414Allocated,0,9))</f>
        <v>755</v>
      </c>
      <c r="M82" s="108">
        <f ca="1">SUM( OFFSET(p113allocated, 0,10),
OFFSET(p114allocated,0,10),
OFFSET(p201allocated, 0,10),
OFFSET(P202Allocated, 0,10),
OFFSET(P203Allocated, 0,10),
OFFSET(P204Allocated, 0,10),
OFFSET(P205Allocated, 0,10),
OFFSET(p206allocated, 0,10),
'By Structure'!M12,
OFFSET(P414Allocated,0,10))</f>
        <v>796</v>
      </c>
      <c r="N82" s="103">
        <f t="shared" ca="1" si="14"/>
        <v>704</v>
      </c>
      <c r="O82" s="91">
        <f ca="1">C82-N82</f>
        <v>304</v>
      </c>
      <c r="P82" s="107">
        <f ca="1">O82/C82</f>
        <v>0.30158730158730157</v>
      </c>
      <c r="Q82" s="504"/>
      <c r="R82" s="504"/>
      <c r="S82" s="504"/>
      <c r="T82" s="504"/>
      <c r="U82" s="504"/>
      <c r="V82" s="504"/>
      <c r="W82" s="504"/>
      <c r="X82" s="504"/>
      <c r="Y82" s="504"/>
      <c r="Z82" s="504"/>
    </row>
    <row r="83" spans="1:26" ht="11.25" customHeight="1">
      <c r="A83" s="13"/>
      <c r="B83" s="13" t="s">
        <v>34</v>
      </c>
      <c r="C83" s="536">
        <f>SUM(p113ada, p114ada,p201ada, P202ada, P203Accessible, P204Accessible, P205Accessible, P206Accessible,'By Structure'!C13, P414Accessible)</f>
        <v>87</v>
      </c>
      <c r="D83" s="103">
        <f ca="1">SUM( OFFSET(p113ada, 0,1),
OFFSET(p114ada,0,1),
OFFSET(p201ada, 0,1),
OFFSET(P202ada, 0,1),
OFFSET(P203Accessible, 0,1),
OFFSET(P204Accessible, 0,1),
OFFSET(P205Accessible, 0,1),
OFFSET(P206Accessible, 0,1),
 'By Structure'!D13,
OFFSET(P414Accessible,0,1))</f>
        <v>70</v>
      </c>
      <c r="E83" s="91">
        <f ca="1">SUM( OFFSET(p113ada, 0,2),
OFFSET(p114ada,0,2),
OFFSET(p201ada, 0,2),
OFFSET(P202ada, 0,2),
OFFSET(P203Accessible, 0,2),
OFFSET(P204Accessible, 0,2),
OFFSET(P205Accessible, 0,2),
OFFSET(P206Accessible, 0,2),
 'By Structure'!E13,
OFFSET(P414Accessible,0,2))</f>
        <v>67</v>
      </c>
      <c r="F83" s="91">
        <f ca="1">SUM( OFFSET(p113ada, 0,3),
OFFSET(p114ada,0,3),
OFFSET(p201ada, 0,3),
OFFSET(P202ada, 0,3),
OFFSET(P203Accessible, 0,3),
OFFSET(P204Accessible, 0,3),
OFFSET(P205Accessible, 0,3),
OFFSET(P206Accessible, 0,3),
 'By Structure'!F13,
OFFSET(P414Accessible,0,3))</f>
        <v>64</v>
      </c>
      <c r="G83" s="91">
        <f ca="1">SUM( OFFSET(p113ada, 0,4),
OFFSET(p114ada,0,4),
OFFSET(p201ada, 0,4),
OFFSET(P202ada, 0,4),
OFFSET(P203Accessible, 0,4),
OFFSET(P204Accessible, 0,4),
OFFSET(P205Accessible, 0,4),
OFFSET(P206Accessible, 0,4),
 'By Structure'!G13,
OFFSET(P414Accessible,0,4))</f>
        <v>60</v>
      </c>
      <c r="H83" s="91">
        <f ca="1">SUM( OFFSET(p113ada, 0,5),
OFFSET(p114ada,0,5),
OFFSET(p201ada, 0,5),
OFFSET(P202ada, 0,5),
OFFSET(P203Accessible, 0,5),
OFFSET(P204Accessible, 0,5),
OFFSET(P205Accessible, 0,5),
OFFSET(P206Accessible, 0,5),
 'By Structure'!H13,
OFFSET(P414Accessible,0,5))</f>
        <v>61</v>
      </c>
      <c r="I83" s="91">
        <f ca="1">SUM( OFFSET(p113ada, 0,6),
OFFSET(p114ada,0,6),
OFFSET(p201ada, 0,6),
OFFSET(P202ada, 0,6),
OFFSET(P203Accessible, 0,6),
OFFSET(P204Accessible, 0,6),
OFFSET(P205Accessible, 0,6),
OFFSET(P206Accessible, 0,6),
 'By Structure'!I13,
OFFSET(P414Accessible,0,6))</f>
        <v>59</v>
      </c>
      <c r="J83" s="91">
        <f ca="1">SUM( OFFSET(p113ada, 0,7),
OFFSET(p114ada,0,7),
OFFSET(p201ada, 0,7),
OFFSET(P202ada, 0,7),
OFFSET(P203Accessible, 0,7),
OFFSET(P204Accessible, 0,7),
OFFSET(P205Accessible, 0,7),
OFFSET(P206Accessible, 0,7),
 'By Structure'!J13,
OFFSET(P414Accessible,0,7))</f>
        <v>60</v>
      </c>
      <c r="K83" s="91">
        <f ca="1">SUM( OFFSET(p113ada, 0,8),
OFFSET(p114ada,0,8),
OFFSET(p201ada, 0,8),
OFFSET(P202ada, 0,8),
OFFSET(P203Accessible, 0,8),
OFFSET(P204Accessible, 0,8),
OFFSET(P205Accessible, 0,8),
OFFSET(P206Accessible, 0,8),
 'By Structure'!K13,
OFFSET(P414Accessible,0,8))</f>
        <v>59</v>
      </c>
      <c r="L83" s="91">
        <f ca="1">SUM( OFFSET(p113ada, 0,9),
OFFSET(p114ada,0,9),
OFFSET(p201ada, 0,9),
OFFSET(P202ada, 0,9),
OFFSET(P203Accessible, 0,9),
OFFSET(P204Accessible, 0,9),
OFFSET(P205Accessible, 0,9),
OFFSET(P206Accessible, 0,9),
 'By Structure'!L13,
OFFSET(P414Accessible,0,9))</f>
        <v>67</v>
      </c>
      <c r="M83" s="108">
        <f ca="1">SUM( OFFSET(p113ada, 0,10),
OFFSET(p114ada,0,10),
OFFSET(p201ada, 0,10),
OFFSET(P202ada, 0,10),
OFFSET(P203Accessible, 0,10),
OFFSET(P204Accessible, 0,10),
OFFSET(P205Accessible, 0,10),
OFFSET(P206Accessible, 0,10),
 'By Structure'!M13,
OFFSET(P414Accessible,0,10))</f>
        <v>75</v>
      </c>
      <c r="N83" s="103">
        <f t="shared" ca="1" si="14"/>
        <v>59</v>
      </c>
      <c r="O83" s="91">
        <f ca="1">C83-N83</f>
        <v>28</v>
      </c>
      <c r="P83" s="107">
        <f ca="1">O83/C83</f>
        <v>0.32183908045977011</v>
      </c>
      <c r="Q83" s="504"/>
      <c r="R83" s="504"/>
      <c r="S83" s="504"/>
      <c r="T83" s="504"/>
      <c r="U83" s="504"/>
      <c r="V83" s="504"/>
      <c r="W83" s="504"/>
      <c r="X83" s="504"/>
      <c r="Y83" s="504"/>
      <c r="Z83" s="504"/>
    </row>
    <row r="84" spans="1:26" ht="11.25" customHeight="1">
      <c r="A84" s="13"/>
      <c r="B84" s="13" t="s">
        <v>35</v>
      </c>
      <c r="C84" s="536"/>
      <c r="D84" s="103"/>
      <c r="E84" s="91"/>
      <c r="F84" s="91"/>
      <c r="G84" s="91"/>
      <c r="H84" s="91"/>
      <c r="I84" s="91"/>
      <c r="J84" s="91"/>
      <c r="K84" s="91"/>
      <c r="L84" s="91"/>
      <c r="M84" s="108"/>
      <c r="N84" s="103"/>
      <c r="O84" s="91"/>
      <c r="P84" s="107"/>
      <c r="Q84" s="504"/>
      <c r="R84" s="504"/>
      <c r="S84" s="504"/>
      <c r="T84" s="504"/>
      <c r="U84" s="504"/>
      <c r="V84" s="504"/>
      <c r="W84" s="504"/>
      <c r="X84" s="504"/>
      <c r="Y84" s="504"/>
      <c r="Z84" s="504"/>
    </row>
    <row r="85" spans="1:26" ht="11.25" customHeight="1">
      <c r="A85" s="13"/>
      <c r="B85" s="13" t="s">
        <v>36</v>
      </c>
      <c r="C85" s="536">
        <f>SUM(p113sy, p114sy, p201sy, P202Service_Yard, P203Service_Yard, P204Service_Yard, P205Service_Yard, P206Service_Yard,  'By Structure'!C15, P414Service_Yard)</f>
        <v>9</v>
      </c>
      <c r="D85" s="103">
        <f ca="1">SUM( OFFSET(p113sy, 0,1),
OFFSET(p114sy,0,1),
OFFSET(p201sy, 0,1),
OFFSET(P202Service_Yard, 0,1),
OFFSET(P203Service_Yard, 0,1),
OFFSET(P204Service_Yard, 0,1),
OFFSET(P205Service_Yard, 0,1),
OFFSET(P206Service_Yard, 0,1),
 'By Structure'!D15,
OFFSET(P414Service_Yard,0,1))</f>
        <v>5</v>
      </c>
      <c r="E85" s="91">
        <f ca="1">SUM( OFFSET(p113sy, 0,2),
OFFSET(p114sy,0,2),
OFFSET(p201sy, 0,2),
OFFSET(P202Service_Yard, 0,2),
OFFSET(P203Service_Yard, 0,2),
OFFSET(P204Service_Yard, 0,2),
OFFSET(P205Service_Yard, 0,2),
OFFSET(P206Service_Yard, 0,2),
 'By Structure'!E15,
OFFSET(P414Service_Yard,0,2))</f>
        <v>5</v>
      </c>
      <c r="F85" s="91">
        <f ca="1">SUM( OFFSET(p113sy, 0,3),
OFFSET(p114sy,0,3),
OFFSET(p201sy, 0,3),
OFFSET(P202Service_Yard, 0,3),
OFFSET(P203Service_Yard, 0,3),
OFFSET(P204Service_Yard, 0,3),
OFFSET(P205Service_Yard, 0,3),
OFFSET(P206Service_Yard, 0,3),
 'By Structure'!F15,
OFFSET(P414Service_Yard,0,3))</f>
        <v>5</v>
      </c>
      <c r="G85" s="91">
        <f ca="1">SUM( OFFSET(p113sy, 0,4),
OFFSET(p114sy,0,4),
OFFSET(p201sy, 0,4),
OFFSET(P202Service_Yard, 0,4),
OFFSET(P203Service_Yard, 0,4),
OFFSET(P204Service_Yard, 0,4),
OFFSET(P205Service_Yard, 0,4),
OFFSET(P206Service_Yard, 0,4),
 'By Structure'!G15,
OFFSET(P414Service_Yard,0,4))</f>
        <v>4</v>
      </c>
      <c r="H85" s="91">
        <f ca="1">SUM( OFFSET(p113sy, 0,5),
OFFSET(p114sy,0,5),
OFFSET(p201sy, 0,5),
OFFSET(P202Service_Yard, 0,5),
OFFSET(P203Service_Yard, 0,5),
OFFSET(P204Service_Yard, 0,5),
OFFSET(P205Service_Yard, 0,5),
OFFSET(P206Service_Yard, 0,5),
 'By Structure'!H15,
OFFSET(P414Service_Yard,0,5))</f>
        <v>4</v>
      </c>
      <c r="I85" s="91">
        <f ca="1">SUM( OFFSET(p113sy, 0,6),
OFFSET(p114sy,0,6),
OFFSET(p201sy, 0,6),
OFFSET(P202Service_Yard, 0,6),
OFFSET(P203Service_Yard, 0,6),
OFFSET(P204Service_Yard, 0,6),
OFFSET(P205Service_Yard, 0,6),
OFFSET(P206Service_Yard, 0,6),
 'By Structure'!I15,
OFFSET(P414Service_Yard,0,6))</f>
        <v>4</v>
      </c>
      <c r="J85" s="91">
        <f ca="1">SUM( OFFSET(p113sy, 0,7),
OFFSET(p114sy,0,7),
OFFSET(p201sy, 0,7),
OFFSET(P202Service_Yard, 0,7),
OFFSET(P203Service_Yard, 0,7),
OFFSET(P204Service_Yard, 0,7),
OFFSET(P205Service_Yard, 0,7),
OFFSET(P206Service_Yard, 0,7),
 'By Structure'!J15,
OFFSET(P414Service_Yard,0,7))</f>
        <v>3</v>
      </c>
      <c r="K85" s="91">
        <f ca="1">SUM( OFFSET(p113sy, 0,8),
OFFSET(p114sy,0,8),
OFFSET(p201sy, 0,8),
OFFSET(P202Service_Yard, 0,8),
OFFSET(P203Service_Yard, 0,8),
OFFSET(P204Service_Yard, 0,8),
OFFSET(P205Service_Yard, 0,8),
OFFSET(P206Service_Yard, 0,8),
 'By Structure'!K15,
OFFSET(P414Service_Yard,0,8))</f>
        <v>2</v>
      </c>
      <c r="L85" s="91">
        <f ca="1">SUM( OFFSET(p113sy, 0,9),
OFFSET(p114sy,0,9),
OFFSET(p201sy, 0,9),
OFFSET(P202Service_Yard, 0,9),
OFFSET(P203Service_Yard, 0,9),
OFFSET(P204Service_Yard, 0,9),
OFFSET(P205Service_Yard, 0,9),
OFFSET(P206Service_Yard, 0,9),
 'By Structure'!L15,
OFFSET(P414Service_Yard,0,9))</f>
        <v>2</v>
      </c>
      <c r="M85" s="108">
        <f ca="1">SUM( OFFSET(p113sy, 0,10),
OFFSET(p114sy,0,10),
OFFSET(p201sy, 0,10),
OFFSET(P202Service_Yard, 0,10),
OFFSET(P203Service_Yard, 0,10),
OFFSET(P204Service_Yard, 0,10),
OFFSET(P205Service_Yard, 0,10),
OFFSET(P206Service_Yard, 0,10),
 'By Structure'!M15,
OFFSET(P414Service_Yard,0,10))</f>
        <v>2</v>
      </c>
      <c r="N85" s="103">
        <f t="shared" ca="1" si="14"/>
        <v>2</v>
      </c>
      <c r="O85" s="91">
        <f ca="1">C85-N85</f>
        <v>7</v>
      </c>
      <c r="P85" s="107">
        <f ca="1">O85/C85</f>
        <v>0.77777777777777779</v>
      </c>
      <c r="Q85" s="504"/>
      <c r="R85" s="504"/>
      <c r="S85" s="504"/>
      <c r="T85" s="504"/>
      <c r="U85" s="504"/>
      <c r="V85" s="504"/>
      <c r="W85" s="504"/>
      <c r="X85" s="504"/>
      <c r="Y85" s="504"/>
      <c r="Z85" s="504"/>
    </row>
    <row r="86" spans="1:26" ht="11.25" customHeight="1">
      <c r="A86" s="13"/>
      <c r="B86" s="13" t="s">
        <v>37</v>
      </c>
      <c r="C86" s="536">
        <f>SUM(p113Load, p114Load, p201Loading, P202Loading, P203Loading, P204Loading, P205Loading, P206Loading,  'By Structure'!C16, P414Loading)</f>
        <v>24</v>
      </c>
      <c r="D86" s="103">
        <f ca="1">SUM( OFFSET(p113ada, 0,1),
OFFSET(p114ada,0,1),
OFFSET(p201ada, 0,1),
OFFSET(P202ada, 0,1),
OFFSET(P203Accessible, 0,1),
OFFSET(P204Accessible, 0,1),
OFFSET(P205Accessible, 0,1),
OFFSET(P206Accessible, 0,1),
 'By Structure'!D16,
OFFSET(P414Accessible,0,1))</f>
        <v>15</v>
      </c>
      <c r="E86" s="91">
        <f ca="1">SUM( OFFSET(p113ada, 0,2),
OFFSET(p114ada,0,2),
OFFSET(p201ada, 0,2),
OFFSET(P202ada, 0,2),
OFFSET(P203Accessible, 0,2),
OFFSET(P204Accessible, 0,2),
OFFSET(P205Accessible, 0,2),
OFFSET(P206Accessible, 0,2),
 'By Structure'!E16,
OFFSET(P414Accessible,0,2))</f>
        <v>11</v>
      </c>
      <c r="F86" s="91">
        <f ca="1">SUM( OFFSET(p113ada, 0,3),
OFFSET(p114ada,0,3),
OFFSET(p201ada, 0,3),
OFFSET(P202ada, 0,3),
OFFSET(P203Accessible, 0,3),
OFFSET(P204Accessible, 0,3),
OFFSET(P205Accessible, 0,3),
OFFSET(P206Accessible, 0,3),
 'By Structure'!F16,
OFFSET(P414Accessible,0,3))</f>
        <v>8</v>
      </c>
      <c r="G86" s="91">
        <f ca="1">SUM( OFFSET(p113ada, 0,4),
OFFSET(p114ada,0,4),
OFFSET(p201ada, 0,4),
OFFSET(P202ada, 0,4),
OFFSET(P203Accessible, 0,4),
OFFSET(P204Accessible, 0,4),
OFFSET(P205Accessible, 0,4),
OFFSET(P206Accessible, 0,4),
 'By Structure'!G16,
OFFSET(P414Accessible,0,4))</f>
        <v>8</v>
      </c>
      <c r="H86" s="91">
        <f ca="1">SUM( OFFSET(p113ada, 0,5),
OFFSET(p114ada,0,5),
OFFSET(p201ada, 0,5),
OFFSET(P202ada, 0,5),
OFFSET(P203Accessible, 0,5),
OFFSET(P204Accessible, 0,5),
OFFSET(P205Accessible, 0,5),
OFFSET(P206Accessible, 0,5),
 'By Structure'!H16,
OFFSET(P414Accessible,0,5))</f>
        <v>7</v>
      </c>
      <c r="I86" s="91">
        <f ca="1">SUM( OFFSET(p113ada, 0,6),
OFFSET(p114ada,0,6),
OFFSET(p201ada, 0,6),
OFFSET(P202ada, 0,6),
OFFSET(P203Accessible, 0,6),
OFFSET(P204Accessible, 0,6),
OFFSET(P205Accessible, 0,6),
OFFSET(P206Accessible, 0,6),
 'By Structure'!I16,
OFFSET(P414Accessible,0,6))</f>
        <v>6</v>
      </c>
      <c r="J86" s="91">
        <f ca="1">SUM( OFFSET(p113ada, 0,7),
OFFSET(p114ada,0,7),
OFFSET(p201ada, 0,7),
OFFSET(P202ada, 0,7),
OFFSET(P203Accessible, 0,7),
OFFSET(P204Accessible, 0,7),
OFFSET(P205Accessible, 0,7),
OFFSET(P206Accessible, 0,7),
 'By Structure'!J16,
OFFSET(P414Accessible,0,7))</f>
        <v>8</v>
      </c>
      <c r="K86" s="91">
        <f ca="1">SUM( OFFSET(p113ada, 0,8),
OFFSET(p114ada,0,8),
OFFSET(p201ada, 0,8),
OFFSET(P202ada, 0,8),
OFFSET(P203Accessible, 0,8),
OFFSET(P204Accessible, 0,8),
OFFSET(P205Accessible, 0,8),
OFFSET(P206Accessible, 0,8),
 'By Structure'!K16,
OFFSET(P414Accessible,0,8))</f>
        <v>7</v>
      </c>
      <c r="L86" s="91">
        <f ca="1">SUM( OFFSET(p113ada, 0,9),
OFFSET(p114ada,0,9),
OFFSET(p201ada, 0,9),
OFFSET(P202ada, 0,9),
OFFSET(P203Accessible, 0,9),
OFFSET(P204Accessible, 0,9),
OFFSET(P205Accessible, 0,9),
OFFSET(P206Accessible, 0,9),
 'By Structure'!L16,
OFFSET(P414Accessible,0,9))</f>
        <v>8</v>
      </c>
      <c r="M86" s="108">
        <f ca="1">SUM( OFFSET(p113ada, 0,10),
OFFSET(p114ada,0,10),
OFFSET(p201ada, 0,10),
OFFSET(P202ada, 0,10),
OFFSET(P203Accessible, 0,10),
OFFSET(P204Accessible, 0,10),
OFFSET(P205Accessible, 0,10),
OFFSET(P206Accessible, 0,10),
 'By Structure'!M16,
OFFSET(P414Accessible,0,10))</f>
        <v>14</v>
      </c>
      <c r="N86" s="103">
        <f t="shared" ca="1" si="14"/>
        <v>6</v>
      </c>
      <c r="O86" s="91">
        <f ca="1">C86-N86</f>
        <v>18</v>
      </c>
      <c r="P86" s="107">
        <f ca="1">O86/C86</f>
        <v>0.75</v>
      </c>
      <c r="Q86" s="504"/>
      <c r="R86" s="504"/>
      <c r="S86" s="504"/>
      <c r="T86" s="504"/>
      <c r="U86" s="504"/>
      <c r="V86" s="504"/>
      <c r="W86" s="504"/>
      <c r="X86" s="504"/>
      <c r="Y86" s="504"/>
      <c r="Z86" s="504"/>
    </row>
    <row r="87" spans="1:26" ht="11.25" customHeight="1">
      <c r="A87" s="2"/>
      <c r="B87" s="3" t="s">
        <v>38</v>
      </c>
      <c r="C87" s="3">
        <f t="shared" ref="C87:M87" si="15">SUM(C75:C86)</f>
        <v>1349</v>
      </c>
      <c r="D87" s="21">
        <f t="shared" ca="1" si="15"/>
        <v>1017</v>
      </c>
      <c r="E87" s="71">
        <f t="shared" ca="1" si="15"/>
        <v>943</v>
      </c>
      <c r="F87" s="71">
        <f t="shared" ca="1" si="15"/>
        <v>881</v>
      </c>
      <c r="G87" s="71">
        <f t="shared" ca="1" si="15"/>
        <v>883</v>
      </c>
      <c r="H87" s="71">
        <f t="shared" ca="1" si="15"/>
        <v>891</v>
      </c>
      <c r="I87" s="71">
        <f t="shared" ca="1" si="15"/>
        <v>868</v>
      </c>
      <c r="J87" s="71">
        <f t="shared" ca="1" si="15"/>
        <v>866</v>
      </c>
      <c r="K87" s="71">
        <f t="shared" ca="1" si="15"/>
        <v>882</v>
      </c>
      <c r="L87" s="71">
        <f t="shared" ca="1" si="15"/>
        <v>935</v>
      </c>
      <c r="M87" s="26">
        <f t="shared" ca="1" si="15"/>
        <v>985</v>
      </c>
      <c r="N87" s="21">
        <f t="shared" ca="1" si="14"/>
        <v>866</v>
      </c>
      <c r="O87" s="71">
        <f ca="1">C87-N87</f>
        <v>483</v>
      </c>
      <c r="P87" s="7">
        <f ca="1">O87/C87</f>
        <v>0.35804299481097107</v>
      </c>
      <c r="Q87" s="504"/>
      <c r="R87" s="504"/>
      <c r="S87" s="504"/>
      <c r="T87" s="504"/>
      <c r="U87" s="504"/>
      <c r="V87" s="504"/>
      <c r="W87" s="504"/>
      <c r="X87" s="504"/>
      <c r="Y87" s="504"/>
      <c r="Z87" s="504"/>
    </row>
    <row r="88" spans="1:26" ht="11.25" customHeight="1">
      <c r="A88" s="397" t="s">
        <v>82</v>
      </c>
      <c r="B88" s="13" t="s">
        <v>23</v>
      </c>
      <c r="C88" s="13">
        <f>SUM(P302A,  P303A,  P304A, P308A,  P309A, P310A)</f>
        <v>222</v>
      </c>
      <c r="D88" s="103">
        <f>SUM('By Lot'!F692,'By Lot'!F709,'By Lot'!F726,'By Lot'!F760,'By Lot'!F777,'By Lot'!F794)</f>
        <v>158</v>
      </c>
      <c r="E88" s="91">
        <f>SUM('By Lot'!G692,'By Lot'!G709,'By Lot'!G726,'By Lot'!G760,'By Lot'!G777,'By Lot'!G794)</f>
        <v>142</v>
      </c>
      <c r="F88" s="91">
        <f>SUM('By Lot'!H692,'By Lot'!H709,'By Lot'!H726,'By Lot'!H760,'By Lot'!H777,'By Lot'!H794)</f>
        <v>123</v>
      </c>
      <c r="G88" s="91">
        <f>SUM('By Lot'!I692,'By Lot'!I709,'By Lot'!I726,'By Lot'!I760,'By Lot'!I777,'By Lot'!I794)</f>
        <v>122</v>
      </c>
      <c r="H88" s="91">
        <f>SUM('By Lot'!J692,'By Lot'!J709,'By Lot'!J726,'By Lot'!J760,'By Lot'!J777,'By Lot'!J794)</f>
        <v>131</v>
      </c>
      <c r="I88" s="91">
        <f>SUM('By Lot'!K692,'By Lot'!K709,'By Lot'!K726,'By Lot'!K760,'By Lot'!K777,'By Lot'!K794)</f>
        <v>132</v>
      </c>
      <c r="J88" s="91">
        <f>SUM('By Lot'!L692,'By Lot'!L709,'By Lot'!L726,'By Lot'!L760,'By Lot'!L777,'By Lot'!L794)</f>
        <v>135</v>
      </c>
      <c r="K88" s="91">
        <f>SUM('By Lot'!M692,'By Lot'!M709,'By Lot'!M726,'By Lot'!M760,'By Lot'!M777,'By Lot'!M794)</f>
        <v>130</v>
      </c>
      <c r="L88" s="91">
        <f>SUM('By Lot'!N692,'By Lot'!N709,'By Lot'!N726,'By Lot'!N760,'By Lot'!N777,'By Lot'!N794)</f>
        <v>146</v>
      </c>
      <c r="M88" s="108">
        <f>SUM('By Lot'!O692,'By Lot'!O709,'By Lot'!O726,'By Lot'!O760,'By Lot'!O777,'By Lot'!O794)</f>
        <v>151</v>
      </c>
      <c r="N88" s="103">
        <f t="shared" si="14"/>
        <v>122</v>
      </c>
      <c r="O88" s="91">
        <f>C88-N88</f>
        <v>100</v>
      </c>
      <c r="P88" s="107">
        <f>O88/C88</f>
        <v>0.45045045045045046</v>
      </c>
      <c r="Q88" s="504"/>
      <c r="R88" s="504"/>
      <c r="S88" s="504"/>
      <c r="T88" s="504"/>
      <c r="U88" s="504"/>
      <c r="V88" s="504"/>
      <c r="W88" s="504"/>
      <c r="X88" s="504"/>
      <c r="Y88" s="504"/>
      <c r="Z88" s="504"/>
    </row>
    <row r="89" spans="1:26" ht="11.25" customHeight="1">
      <c r="A89" s="13" t="s">
        <v>76</v>
      </c>
      <c r="B89" s="13" t="s">
        <v>25</v>
      </c>
      <c r="C89" s="13">
        <f>SUM(P302B,  P303B,  P304B, P308B,  P309B, P310B)</f>
        <v>164</v>
      </c>
      <c r="D89" s="103">
        <f>SUM('By Lot'!F693,'By Lot'!F710,'By Lot'!F727,'By Lot'!F761,'By Lot'!F778,'By Lot'!F795)</f>
        <v>93</v>
      </c>
      <c r="E89" s="91">
        <f>SUM('By Lot'!G693,'By Lot'!G710,'By Lot'!G727,'By Lot'!G761,'By Lot'!G778,'By Lot'!G795)</f>
        <v>87</v>
      </c>
      <c r="F89" s="91">
        <f>SUM('By Lot'!H693,'By Lot'!H710,'By Lot'!H727,'By Lot'!H761,'By Lot'!H778,'By Lot'!H795)</f>
        <v>81</v>
      </c>
      <c r="G89" s="91">
        <f>SUM('By Lot'!I693,'By Lot'!I710,'By Lot'!I727,'By Lot'!I761,'By Lot'!I778,'By Lot'!I795)</f>
        <v>77</v>
      </c>
      <c r="H89" s="91">
        <f>SUM('By Lot'!J693,'By Lot'!J710,'By Lot'!J727,'By Lot'!J761,'By Lot'!J778,'By Lot'!J795)</f>
        <v>73</v>
      </c>
      <c r="I89" s="91">
        <f>SUM('By Lot'!K693,'By Lot'!K710,'By Lot'!K727,'By Lot'!K761,'By Lot'!K778,'By Lot'!K795)</f>
        <v>65</v>
      </c>
      <c r="J89" s="91">
        <f>SUM('By Lot'!L693,'By Lot'!L710,'By Lot'!L727,'By Lot'!L761,'By Lot'!L778,'By Lot'!L795)</f>
        <v>11</v>
      </c>
      <c r="K89" s="91">
        <f>SUM('By Lot'!M693,'By Lot'!M710,'By Lot'!M727,'By Lot'!M761,'By Lot'!M778,'By Lot'!M795)</f>
        <v>17</v>
      </c>
      <c r="L89" s="91">
        <f>SUM('By Lot'!N693,'By Lot'!N710,'By Lot'!N727,'By Lot'!N761,'By Lot'!N778,'By Lot'!N795)</f>
        <v>19</v>
      </c>
      <c r="M89" s="108">
        <f>SUM('By Lot'!O693,'By Lot'!O710,'By Lot'!O727,'By Lot'!O761,'By Lot'!O778,'By Lot'!O795)</f>
        <v>17</v>
      </c>
      <c r="N89" s="103">
        <f t="shared" si="14"/>
        <v>11</v>
      </c>
      <c r="O89" s="91">
        <f>C89-N89</f>
        <v>153</v>
      </c>
      <c r="P89" s="107">
        <f>O89/C89</f>
        <v>0.93292682926829273</v>
      </c>
      <c r="Q89" s="504"/>
      <c r="R89" s="504"/>
      <c r="S89" s="504"/>
      <c r="T89" s="504"/>
      <c r="U89" s="504"/>
      <c r="V89" s="504"/>
      <c r="W89" s="504"/>
      <c r="X89" s="504"/>
      <c r="Y89" s="504"/>
      <c r="Z89" s="504"/>
    </row>
    <row r="90" spans="1:26" ht="11.25" customHeight="1">
      <c r="A90" s="13"/>
      <c r="B90" s="13" t="s">
        <v>27</v>
      </c>
      <c r="C90" s="13">
        <f>SUM(P302S,  P303S,  P304S, P308S,  P309S, P310S)</f>
        <v>0</v>
      </c>
      <c r="D90" s="109"/>
      <c r="E90" s="504"/>
      <c r="F90" s="504"/>
      <c r="G90" s="504"/>
      <c r="H90" s="504"/>
      <c r="I90" s="504"/>
      <c r="J90" s="504"/>
      <c r="K90" s="504"/>
      <c r="L90" s="504"/>
      <c r="M90" s="110"/>
      <c r="N90" s="109"/>
      <c r="O90" s="504"/>
      <c r="P90" s="107"/>
      <c r="Q90" s="504"/>
      <c r="R90" s="504"/>
      <c r="S90" s="504"/>
      <c r="T90" s="504"/>
      <c r="U90" s="504"/>
      <c r="V90" s="504"/>
      <c r="W90" s="504"/>
      <c r="X90" s="504"/>
      <c r="Y90" s="504"/>
      <c r="Z90" s="504"/>
    </row>
    <row r="91" spans="1:26" ht="11.25" customHeight="1">
      <c r="A91" s="13"/>
      <c r="B91" s="13" t="s">
        <v>31</v>
      </c>
      <c r="C91" s="13">
        <f>SUM(P302Visitor,  P303Visitor,  P304Visitor, P308Visitor,  P309Visitor, P310Visitor)</f>
        <v>32</v>
      </c>
      <c r="D91" s="103">
        <f>SUM('By Lot'!F695:F696,'By Lot'!F712:F713,'By Lot'!F729:F730,'By Lot'!F763:F764,'By Lot'!F780:F781,'By Lot'!F797:F798)</f>
        <v>22</v>
      </c>
      <c r="E91" s="91">
        <f>SUM('By Lot'!G695:G696,'By Lot'!G712:G713,'By Lot'!G729:G730,'By Lot'!G763:G764,'By Lot'!G780:G781,'By Lot'!G797:G798)</f>
        <v>12</v>
      </c>
      <c r="F91" s="91">
        <f>SUM('By Lot'!H695:H696,'By Lot'!H712:H713,'By Lot'!H729:H730,'By Lot'!H763:H764,'By Lot'!H780:H781,'By Lot'!H797:H798)</f>
        <v>10</v>
      </c>
      <c r="G91" s="91">
        <f>SUM('By Lot'!I695:I696,'By Lot'!I712:I713,'By Lot'!I729:I730,'By Lot'!I763:I764,'By Lot'!I780:I781,'By Lot'!I797:I798)</f>
        <v>10</v>
      </c>
      <c r="H91" s="91">
        <f>SUM('By Lot'!J695:J696,'By Lot'!J712:J713,'By Lot'!J729:J730,'By Lot'!J763:J764,'By Lot'!J780:J781,'By Lot'!J797:J798)</f>
        <v>16</v>
      </c>
      <c r="I91" s="91">
        <f>SUM('By Lot'!K695:K696,'By Lot'!K712:K713,'By Lot'!K729:K730,'By Lot'!K763:K764,'By Lot'!K780:K781,'By Lot'!K797:K798)</f>
        <v>17</v>
      </c>
      <c r="J91" s="91">
        <f>SUM('By Lot'!L695:L696,'By Lot'!L712:L713,'By Lot'!L729:L730,'By Lot'!L763:L764,'By Lot'!L780:L781,'By Lot'!L797:L798)</f>
        <v>13</v>
      </c>
      <c r="K91" s="91">
        <f>SUM('By Lot'!M695:M696,'By Lot'!M712:M713,'By Lot'!M729:M730,'By Lot'!M763:M764,'By Lot'!M780:M781,'By Lot'!M797:M798)</f>
        <v>14</v>
      </c>
      <c r="L91" s="91">
        <f>SUM('By Lot'!N695:N696,'By Lot'!N712:N713,'By Lot'!N729:N730,'By Lot'!N763:N764,'By Lot'!N780:N781,'By Lot'!N797:N798)</f>
        <v>13</v>
      </c>
      <c r="M91" s="108">
        <f>SUM('By Lot'!O695:O696,'By Lot'!O712:O713,'By Lot'!O729:O730,'By Lot'!O763:O764,'By Lot'!O780:O781,'By Lot'!O797:O798)</f>
        <v>13</v>
      </c>
      <c r="N91" s="103">
        <f t="shared" ref="N91:N94" si="16">MIN(D91:M91)</f>
        <v>10</v>
      </c>
      <c r="O91" s="91">
        <f>C91-N91</f>
        <v>22</v>
      </c>
      <c r="P91" s="107">
        <f>O91/C91</f>
        <v>0.6875</v>
      </c>
      <c r="Q91" s="504"/>
      <c r="R91" s="504"/>
      <c r="S91" s="504"/>
      <c r="T91" s="504"/>
      <c r="U91" s="504"/>
      <c r="V91" s="504"/>
      <c r="W91" s="504"/>
      <c r="X91" s="504"/>
      <c r="Y91" s="504"/>
      <c r="Z91" s="504"/>
    </row>
    <row r="92" spans="1:26" ht="11.25" customHeight="1">
      <c r="A92" s="13"/>
      <c r="B92" s="13" t="s">
        <v>32</v>
      </c>
      <c r="C92" s="13">
        <f>SUM(P302Reserved,  P303Reserved,  P304Reserved, P308Reserved,  P309Reserved, P310Reserved)</f>
        <v>9</v>
      </c>
      <c r="D92" s="103">
        <f>SUM('By Lot'!F697,'By Lot'!F714,'By Lot'!F731,'By Lot'!F765,'By Lot'!F782,'By Lot'!F799)</f>
        <v>9</v>
      </c>
      <c r="E92" s="91">
        <f>SUM('By Lot'!G697,'By Lot'!G714,'By Lot'!G731,'By Lot'!G765,'By Lot'!G782,'By Lot'!G799)</f>
        <v>9</v>
      </c>
      <c r="F92" s="91">
        <f>SUM('By Lot'!H697,'By Lot'!H714,'By Lot'!H731,'By Lot'!H765,'By Lot'!H782,'By Lot'!H799)</f>
        <v>8</v>
      </c>
      <c r="G92" s="91">
        <f>SUM('By Lot'!I697,'By Lot'!I714,'By Lot'!I731,'By Lot'!I765,'By Lot'!I782,'By Lot'!I799)</f>
        <v>8</v>
      </c>
      <c r="H92" s="91">
        <f>SUM('By Lot'!J697,'By Lot'!J714,'By Lot'!J731,'By Lot'!J765,'By Lot'!J782,'By Lot'!J799)</f>
        <v>7</v>
      </c>
      <c r="I92" s="91">
        <f>SUM('By Lot'!K697,'By Lot'!K714,'By Lot'!K731,'By Lot'!K765,'By Lot'!K782,'By Lot'!K799)</f>
        <v>7</v>
      </c>
      <c r="J92" s="91">
        <f>SUM('By Lot'!L697,'By Lot'!L714,'By Lot'!L731,'By Lot'!L765,'By Lot'!L782,'By Lot'!L799)</f>
        <v>7</v>
      </c>
      <c r="K92" s="91">
        <f>SUM('By Lot'!M697,'By Lot'!M714,'By Lot'!M731,'By Lot'!M765,'By Lot'!M782,'By Lot'!M799)</f>
        <v>7</v>
      </c>
      <c r="L92" s="91">
        <f>SUM('By Lot'!N697,'By Lot'!N714,'By Lot'!N731,'By Lot'!N765,'By Lot'!N782,'By Lot'!N799)</f>
        <v>8</v>
      </c>
      <c r="M92" s="108">
        <f>SUM('By Lot'!O697,'By Lot'!O714,'By Lot'!O731,'By Lot'!O765,'By Lot'!O782,'By Lot'!O799)</f>
        <v>8</v>
      </c>
      <c r="N92" s="103">
        <f t="shared" si="16"/>
        <v>7</v>
      </c>
      <c r="O92" s="91">
        <f>C92-N92</f>
        <v>2</v>
      </c>
      <c r="P92" s="107">
        <f>O92/C92</f>
        <v>0.22222222222222221</v>
      </c>
      <c r="Q92" s="504"/>
      <c r="R92" s="504"/>
      <c r="S92" s="504"/>
      <c r="T92" s="504"/>
      <c r="U92" s="504"/>
      <c r="V92" s="504"/>
      <c r="W92" s="504"/>
      <c r="X92" s="504"/>
      <c r="Y92" s="504"/>
      <c r="Z92" s="504"/>
    </row>
    <row r="93" spans="1:26" ht="11.25" customHeight="1">
      <c r="A93" s="13"/>
      <c r="B93" s="13" t="s">
        <v>33</v>
      </c>
      <c r="C93" s="13">
        <f>SUM(P302Allocated,  P303Allocated,  P304Allocated, P308Allocated,  P309Allocated, P310Allocated)</f>
        <v>7</v>
      </c>
      <c r="D93" s="103">
        <f>SUM('By Lot'!F698:F703,'By Lot'!F715:F720,'By Lot'!F732:F737,'By Lot'!F766:F771,'By Lot'!F783:F788,'By Lot'!F800:F805)</f>
        <v>5</v>
      </c>
      <c r="E93" s="91">
        <f>SUM('By Lot'!G698:G703,'By Lot'!G715:G720,'By Lot'!G732:G737,'By Lot'!G766:G771,'By Lot'!G783:G788,'By Lot'!G800:G805)</f>
        <v>5</v>
      </c>
      <c r="F93" s="91">
        <f>SUM('By Lot'!H698:H703,'By Lot'!H715:H720,'By Lot'!H732:H737,'By Lot'!H766:H771,'By Lot'!H783:H788,'By Lot'!H800:H805)</f>
        <v>3</v>
      </c>
      <c r="G93" s="91">
        <f>SUM('By Lot'!I698:I703,'By Lot'!I715:I720,'By Lot'!I732:I737,'By Lot'!I766:I771,'By Lot'!I783:I788,'By Lot'!I800:I805)</f>
        <v>3</v>
      </c>
      <c r="H93" s="91">
        <f>SUM('By Lot'!J698:J703,'By Lot'!J715:J720,'By Lot'!J732:J737,'By Lot'!J766:J771,'By Lot'!J783:J788,'By Lot'!J800:J805)</f>
        <v>3</v>
      </c>
      <c r="I93" s="91">
        <f>SUM('By Lot'!K698:K703,'By Lot'!K715:K720,'By Lot'!K732:K737,'By Lot'!K766:K771,'By Lot'!K783:K788,'By Lot'!K800:K805)</f>
        <v>3</v>
      </c>
      <c r="J93" s="91">
        <f>SUM('By Lot'!L698:L703,'By Lot'!L715:L720,'By Lot'!L732:L737,'By Lot'!L766:L771,'By Lot'!L783:L788,'By Lot'!L800:L805)</f>
        <v>3</v>
      </c>
      <c r="K93" s="91">
        <f>SUM('By Lot'!M698:M703,'By Lot'!M715:M720,'By Lot'!M732:M737,'By Lot'!M766:M771,'By Lot'!M783:M788,'By Lot'!M800:M805)</f>
        <v>3</v>
      </c>
      <c r="L93" s="91">
        <f>SUM('By Lot'!N698:N703,'By Lot'!N715:N720,'By Lot'!N732:N737,'By Lot'!N766:N771,'By Lot'!N783:N788,'By Lot'!N800:N805)</f>
        <v>3</v>
      </c>
      <c r="M93" s="108">
        <f>SUM('By Lot'!O698:O703,'By Lot'!O715:O720,'By Lot'!O732:O737,'By Lot'!O766:O771,'By Lot'!O783:O788,'By Lot'!O800:O805)</f>
        <v>3</v>
      </c>
      <c r="N93" s="103">
        <f t="shared" si="16"/>
        <v>3</v>
      </c>
      <c r="O93" s="91">
        <f>C93-N93</f>
        <v>4</v>
      </c>
      <c r="P93" s="107">
        <f>O93/C93</f>
        <v>0.5714285714285714</v>
      </c>
      <c r="Q93" s="504"/>
      <c r="R93" s="504"/>
      <c r="S93" s="504"/>
      <c r="T93" s="504"/>
      <c r="U93" s="504"/>
      <c r="V93" s="504"/>
      <c r="W93" s="504"/>
      <c r="X93" s="504"/>
      <c r="Y93" s="504"/>
      <c r="Z93" s="504"/>
    </row>
    <row r="94" spans="1:26" ht="11.25" customHeight="1">
      <c r="A94" s="13"/>
      <c r="B94" s="13" t="s">
        <v>34</v>
      </c>
      <c r="C94" s="13">
        <f>SUM(P302Accessible,  P303Accessible,  P304Accessible, P308Accessible,  P309Accessible, P310Accessible)</f>
        <v>27</v>
      </c>
      <c r="D94" s="103">
        <f>SUM('By Lot'!F704,'By Lot'!F721,'By Lot'!F738,'By Lot'!F772,'By Lot'!F789,'By Lot'!F806)</f>
        <v>25</v>
      </c>
      <c r="E94" s="91">
        <f>SUM('By Lot'!G704,'By Lot'!G721,'By Lot'!G738,'By Lot'!G772,'By Lot'!G789,'By Lot'!G806)</f>
        <v>25</v>
      </c>
      <c r="F94" s="91">
        <f>SUM('By Lot'!H704,'By Lot'!H721,'By Lot'!H738,'By Lot'!H772,'By Lot'!H789,'By Lot'!H806)</f>
        <v>25</v>
      </c>
      <c r="G94" s="91">
        <f>SUM('By Lot'!I704,'By Lot'!I721,'By Lot'!I738,'By Lot'!I772,'By Lot'!I789,'By Lot'!I806)</f>
        <v>25</v>
      </c>
      <c r="H94" s="91">
        <f>SUM('By Lot'!J704,'By Lot'!J721,'By Lot'!J738,'By Lot'!J772,'By Lot'!J789,'By Lot'!J806)</f>
        <v>26</v>
      </c>
      <c r="I94" s="91">
        <f>SUM('By Lot'!K704,'By Lot'!K721,'By Lot'!K738,'By Lot'!K772,'By Lot'!K789,'By Lot'!K806)</f>
        <v>23</v>
      </c>
      <c r="J94" s="91">
        <f>SUM('By Lot'!L704,'By Lot'!L721,'By Lot'!L738,'By Lot'!L772,'By Lot'!L789,'By Lot'!L806)</f>
        <v>25</v>
      </c>
      <c r="K94" s="91">
        <f>SUM('By Lot'!M704,'By Lot'!M721,'By Lot'!M738,'By Lot'!M772,'By Lot'!M789,'By Lot'!M806)</f>
        <v>26</v>
      </c>
      <c r="L94" s="91">
        <f>SUM('By Lot'!N704,'By Lot'!N721,'By Lot'!N738,'By Lot'!N772,'By Lot'!N789,'By Lot'!N806)</f>
        <v>27</v>
      </c>
      <c r="M94" s="108">
        <f>SUM('By Lot'!O704,'By Lot'!O721,'By Lot'!O738,'By Lot'!O772,'By Lot'!O789,'By Lot'!O806)</f>
        <v>25</v>
      </c>
      <c r="N94" s="103">
        <f t="shared" si="16"/>
        <v>23</v>
      </c>
      <c r="O94" s="91">
        <f>C94-N94</f>
        <v>4</v>
      </c>
      <c r="P94" s="107">
        <f>O94/C94</f>
        <v>0.14814814814814814</v>
      </c>
      <c r="Q94" s="504"/>
      <c r="R94" s="504"/>
      <c r="S94" s="504"/>
      <c r="T94" s="504"/>
      <c r="U94" s="504"/>
      <c r="V94" s="504"/>
      <c r="W94" s="504"/>
      <c r="X94" s="504"/>
      <c r="Y94" s="504"/>
      <c r="Z94" s="504"/>
    </row>
    <row r="95" spans="1:26" ht="11.25" customHeight="1">
      <c r="A95" s="13"/>
      <c r="B95" s="13" t="s">
        <v>35</v>
      </c>
      <c r="C95" s="13">
        <f>SUM(P302UC_Vehicle,  P303UC_Vehicle,  P304UC_Vehicle, P308UC_Vehicle,  P309UC_Vehicle, P310UC_Vehicle)</f>
        <v>0</v>
      </c>
      <c r="D95" s="109"/>
      <c r="E95" s="504"/>
      <c r="F95" s="504"/>
      <c r="G95" s="504"/>
      <c r="H95" s="504"/>
      <c r="I95" s="504"/>
      <c r="J95" s="504"/>
      <c r="K95" s="504"/>
      <c r="L95" s="504"/>
      <c r="M95" s="110"/>
      <c r="N95" s="109"/>
      <c r="O95" s="504"/>
      <c r="P95" s="107"/>
      <c r="Q95" s="504"/>
      <c r="R95" s="504"/>
      <c r="S95" s="504"/>
      <c r="T95" s="504"/>
      <c r="U95" s="504"/>
      <c r="V95" s="504"/>
      <c r="W95" s="504"/>
      <c r="X95" s="504"/>
      <c r="Y95" s="504"/>
      <c r="Z95" s="504"/>
    </row>
    <row r="96" spans="1:26" ht="11.25" customHeight="1">
      <c r="A96" s="13"/>
      <c r="B96" s="13" t="s">
        <v>36</v>
      </c>
      <c r="C96" s="13">
        <f>SUM(P302Service_Yard,  P303Service_Yard,  P304Service_Yard, P308Service_Yard,  P309Service_Yard, P310Service_Yard)</f>
        <v>7</v>
      </c>
      <c r="D96" s="109">
        <f>SUM('By Lot'!F706,'By Lot'!F723,'By Lot'!F740,'By Lot'!F774,'By Lot'!F791,'By Lot'!F808)</f>
        <v>2</v>
      </c>
      <c r="E96" s="504">
        <f>SUM('By Lot'!G706,'By Lot'!G723,'By Lot'!G740,'By Lot'!G774,'By Lot'!G791,'By Lot'!G808)</f>
        <v>2</v>
      </c>
      <c r="F96" s="504">
        <f>SUM('By Lot'!H706,'By Lot'!H723,'By Lot'!H740,'By Lot'!H774,'By Lot'!H791,'By Lot'!H808)</f>
        <v>2</v>
      </c>
      <c r="G96" s="504">
        <f>SUM('By Lot'!I706,'By Lot'!I723,'By Lot'!I740,'By Lot'!I774,'By Lot'!I791,'By Lot'!I808)</f>
        <v>3</v>
      </c>
      <c r="H96" s="504">
        <f>SUM('By Lot'!J706,'By Lot'!J723,'By Lot'!J740,'By Lot'!J774,'By Lot'!J791,'By Lot'!J808)</f>
        <v>2</v>
      </c>
      <c r="I96" s="504">
        <f>SUM('By Lot'!K706,'By Lot'!K723,'By Lot'!K740,'By Lot'!K774,'By Lot'!K791,'By Lot'!K808)</f>
        <v>2</v>
      </c>
      <c r="J96" s="504">
        <f>SUM('By Lot'!L706,'By Lot'!L723,'By Lot'!L740,'By Lot'!L774,'By Lot'!L791,'By Lot'!L808)</f>
        <v>2</v>
      </c>
      <c r="K96" s="504">
        <f>SUM('By Lot'!M706,'By Lot'!M723,'By Lot'!M740,'By Lot'!M774,'By Lot'!M791,'By Lot'!M808)</f>
        <v>2</v>
      </c>
      <c r="L96" s="504">
        <f>SUM('By Lot'!N706,'By Lot'!N723,'By Lot'!N740,'By Lot'!N774,'By Lot'!N791,'By Lot'!N808)</f>
        <v>3</v>
      </c>
      <c r="M96" s="110">
        <f>SUM('By Lot'!O706,'By Lot'!O723,'By Lot'!O740,'By Lot'!O774,'By Lot'!O791,'By Lot'!O808)</f>
        <v>3</v>
      </c>
      <c r="N96" s="109">
        <f t="shared" ref="N96:N112" si="17">MIN(D96:M96)</f>
        <v>2</v>
      </c>
      <c r="O96" s="504">
        <f t="shared" ref="O96:O112" si="18">C96-N96</f>
        <v>5</v>
      </c>
      <c r="P96" s="107">
        <f t="shared" ref="P96:P112" si="19">O96/C96</f>
        <v>0.7142857142857143</v>
      </c>
      <c r="Q96" s="504"/>
      <c r="R96" s="504"/>
      <c r="S96" s="504"/>
      <c r="T96" s="504"/>
      <c r="U96" s="504"/>
      <c r="V96" s="504"/>
      <c r="W96" s="504"/>
      <c r="X96" s="504"/>
      <c r="Y96" s="504"/>
      <c r="Z96" s="504"/>
    </row>
    <row r="97" spans="1:26" ht="11.25" customHeight="1">
      <c r="A97" s="13"/>
      <c r="B97" s="13" t="s">
        <v>37</v>
      </c>
      <c r="C97" s="13">
        <f>SUM(P302Loading,  P303Loading,  P304Loading, P308Loading,  P309Loading, P310Loading)</f>
        <v>10</v>
      </c>
      <c r="D97" s="109">
        <f>SUM('By Lot'!F707,'By Lot'!F724,'By Lot'!F741,'By Lot'!F775,'By Lot'!F792,'By Lot'!F809)</f>
        <v>10</v>
      </c>
      <c r="E97" s="504">
        <f>SUM('By Lot'!G707,'By Lot'!G724,'By Lot'!G741,'By Lot'!G775,'By Lot'!G792,'By Lot'!G809)</f>
        <v>10</v>
      </c>
      <c r="F97" s="504">
        <f>SUM('By Lot'!H707,'By Lot'!H724,'By Lot'!H741,'By Lot'!H775,'By Lot'!H792,'By Lot'!H809)</f>
        <v>8</v>
      </c>
      <c r="G97" s="504">
        <f>SUM('By Lot'!I707,'By Lot'!I724,'By Lot'!I741,'By Lot'!I775,'By Lot'!I792,'By Lot'!I809)</f>
        <v>5</v>
      </c>
      <c r="H97" s="504">
        <f>SUM('By Lot'!J707,'By Lot'!J724,'By Lot'!J741,'By Lot'!J775,'By Lot'!J792,'By Lot'!J809)</f>
        <v>6</v>
      </c>
      <c r="I97" s="504">
        <f>SUM('By Lot'!K707,'By Lot'!K724,'By Lot'!K741,'By Lot'!K775,'By Lot'!K792,'By Lot'!K809)</f>
        <v>4</v>
      </c>
      <c r="J97" s="504">
        <f>SUM('By Lot'!L707,'By Lot'!L724,'By Lot'!L741,'By Lot'!L775,'By Lot'!L792,'By Lot'!L809)</f>
        <v>8</v>
      </c>
      <c r="K97" s="504">
        <f>SUM('By Lot'!M707,'By Lot'!M724,'By Lot'!M741,'By Lot'!M775,'By Lot'!M792,'By Lot'!M809)</f>
        <v>8</v>
      </c>
      <c r="L97" s="504">
        <f>SUM('By Lot'!N707,'By Lot'!N724,'By Lot'!N741,'By Lot'!N775,'By Lot'!N792,'By Lot'!N809)</f>
        <v>8</v>
      </c>
      <c r="M97" s="110">
        <f>SUM('By Lot'!O707,'By Lot'!O724,'By Lot'!O741,'By Lot'!O775,'By Lot'!O792,'By Lot'!O809)</f>
        <v>8</v>
      </c>
      <c r="N97" s="109">
        <f t="shared" si="17"/>
        <v>4</v>
      </c>
      <c r="O97" s="504">
        <f t="shared" si="18"/>
        <v>6</v>
      </c>
      <c r="P97" s="107">
        <f t="shared" si="19"/>
        <v>0.6</v>
      </c>
      <c r="Q97" s="504"/>
      <c r="R97" s="504"/>
      <c r="S97" s="504"/>
      <c r="T97" s="504"/>
      <c r="U97" s="504"/>
      <c r="V97" s="504"/>
      <c r="W97" s="504"/>
      <c r="X97" s="504"/>
      <c r="Y97" s="504"/>
      <c r="Z97" s="504"/>
    </row>
    <row r="98" spans="1:26" ht="11.25" customHeight="1">
      <c r="A98" s="2"/>
      <c r="B98" s="3" t="s">
        <v>38</v>
      </c>
      <c r="C98" s="3">
        <f t="shared" ref="C98:M98" si="20">SUM(C88:C97)</f>
        <v>478</v>
      </c>
      <c r="D98" s="6">
        <f t="shared" si="20"/>
        <v>324</v>
      </c>
      <c r="E98" s="70">
        <f t="shared" si="20"/>
        <v>292</v>
      </c>
      <c r="F98" s="70">
        <f t="shared" si="20"/>
        <v>260</v>
      </c>
      <c r="G98" s="70">
        <f t="shared" si="20"/>
        <v>253</v>
      </c>
      <c r="H98" s="70">
        <f t="shared" si="20"/>
        <v>264</v>
      </c>
      <c r="I98" s="70">
        <f t="shared" si="20"/>
        <v>253</v>
      </c>
      <c r="J98" s="70">
        <f t="shared" si="20"/>
        <v>204</v>
      </c>
      <c r="K98" s="70">
        <f t="shared" si="20"/>
        <v>207</v>
      </c>
      <c r="L98" s="70">
        <f t="shared" si="20"/>
        <v>227</v>
      </c>
      <c r="M98" s="27">
        <f t="shared" si="20"/>
        <v>228</v>
      </c>
      <c r="N98" s="6">
        <f t="shared" si="17"/>
        <v>204</v>
      </c>
      <c r="O98" s="70">
        <f t="shared" si="18"/>
        <v>274</v>
      </c>
      <c r="P98" s="7">
        <f t="shared" si="19"/>
        <v>0.57322175732217573</v>
      </c>
      <c r="Q98" s="504"/>
      <c r="R98" s="504"/>
      <c r="S98" s="504"/>
      <c r="T98" s="504"/>
      <c r="U98" s="504"/>
      <c r="V98" s="504"/>
      <c r="W98" s="504"/>
      <c r="X98" s="504"/>
      <c r="Y98" s="504"/>
      <c r="Z98" s="504"/>
    </row>
    <row r="99" spans="1:26" ht="11.25" customHeight="1">
      <c r="A99" s="398" t="s">
        <v>83</v>
      </c>
      <c r="B99" s="13" t="s">
        <v>23</v>
      </c>
      <c r="C99" s="13">
        <f>SUM('By Lot'!E743,
'By Structure'!C18,
'By Lot'!E965,
'By Lot'!E982,
'By Structure'!C29)</f>
        <v>317</v>
      </c>
      <c r="D99" s="109">
        <f>SUM('By Lot'!F743,'By Structure'!D18,'By Lot'!F965,'By Lot'!F982,'By Structure'!D29)</f>
        <v>72</v>
      </c>
      <c r="E99" s="504">
        <f>SUM('By Lot'!G743,'By Structure'!E18,'By Lot'!G965,'By Lot'!G982,'By Structure'!E29)</f>
        <v>66</v>
      </c>
      <c r="F99" s="504">
        <f>SUM('By Lot'!H743,'By Structure'!F18,'By Lot'!H965,'By Lot'!H982,'By Structure'!F29)</f>
        <v>64</v>
      </c>
      <c r="G99" s="504">
        <f>SUM('By Lot'!I743,'By Structure'!G18,'By Lot'!I965,'By Lot'!I982,'By Structure'!G29)</f>
        <v>59</v>
      </c>
      <c r="H99" s="504">
        <f>SUM('By Lot'!J743,'By Structure'!H18,'By Lot'!J965,'By Lot'!J982,'By Structure'!H29)</f>
        <v>63</v>
      </c>
      <c r="I99" s="504">
        <f>SUM('By Lot'!K743,'By Structure'!I18,'By Lot'!K965,'By Lot'!K982,'By Structure'!I29)</f>
        <v>53</v>
      </c>
      <c r="J99" s="504">
        <f>SUM('By Lot'!L743,'By Structure'!J18,'By Lot'!L965,'By Lot'!L982,'By Structure'!J29)</f>
        <v>52</v>
      </c>
      <c r="K99" s="504">
        <f>SUM('By Lot'!M743,'By Structure'!K18,'By Lot'!M965,'By Lot'!M982,'By Structure'!K29)</f>
        <v>51</v>
      </c>
      <c r="L99" s="504">
        <f>SUM('By Lot'!N743,'By Structure'!L18,'By Lot'!N965,'By Lot'!N982,'By Structure'!L29)</f>
        <v>49</v>
      </c>
      <c r="M99" s="110">
        <f>SUM('By Lot'!O743,'By Structure'!M18,'By Lot'!O965,'By Lot'!O982,'By Structure'!M29)</f>
        <v>51</v>
      </c>
      <c r="N99" s="109">
        <f t="shared" si="17"/>
        <v>49</v>
      </c>
      <c r="O99" s="504">
        <f t="shared" si="18"/>
        <v>268</v>
      </c>
      <c r="P99" s="107">
        <f t="shared" si="19"/>
        <v>0.8454258675078864</v>
      </c>
      <c r="Q99" s="504"/>
      <c r="R99" s="504"/>
      <c r="S99" s="504"/>
      <c r="T99" s="504"/>
      <c r="U99" s="504"/>
      <c r="V99" s="504"/>
      <c r="W99" s="504"/>
      <c r="X99" s="504"/>
      <c r="Y99" s="504"/>
      <c r="Z99" s="504"/>
    </row>
    <row r="100" spans="1:26" ht="11.25" customHeight="1">
      <c r="A100" s="109" t="s">
        <v>76</v>
      </c>
      <c r="B100" s="13" t="s">
        <v>25</v>
      </c>
      <c r="C100" s="13">
        <f>SUM('By Lot'!E744,
'By Structure'!C19,
'By Lot'!E966,
'By Lot'!E983,
'By Structure'!C30)</f>
        <v>1027</v>
      </c>
      <c r="D100" s="109">
        <f>SUM('By Lot'!F744,'By Structure'!D19,'By Lot'!F966,'By Lot'!F983,'By Structure'!D30)</f>
        <v>50</v>
      </c>
      <c r="E100" s="504">
        <f>SUM('By Lot'!G744,'By Structure'!E19,'By Lot'!G966,'By Lot'!G983,'By Structure'!E30)</f>
        <v>44</v>
      </c>
      <c r="F100" s="504">
        <f>SUM('By Lot'!H744,'By Structure'!F19,'By Lot'!H966,'By Lot'!H983,'By Structure'!F30)</f>
        <v>38</v>
      </c>
      <c r="G100" s="504">
        <f>SUM('By Lot'!I744,'By Structure'!G19,'By Lot'!I966,'By Lot'!I983,'By Structure'!G30)</f>
        <v>33</v>
      </c>
      <c r="H100" s="504">
        <f>SUM('By Lot'!J744,'By Structure'!H19,'By Lot'!J966,'By Lot'!J983,'By Structure'!H30)</f>
        <v>24</v>
      </c>
      <c r="I100" s="504">
        <f>SUM('By Lot'!K744,'By Structure'!I19,'By Lot'!K966,'By Lot'!K983,'By Structure'!I30)</f>
        <v>30</v>
      </c>
      <c r="J100" s="504">
        <f>SUM('By Lot'!L744,'By Structure'!J19,'By Lot'!L966,'By Lot'!L983,'By Structure'!J30)</f>
        <v>37</v>
      </c>
      <c r="K100" s="504">
        <f>SUM('By Lot'!M744,'By Structure'!K19,'By Lot'!M966,'By Lot'!M983,'By Structure'!K30)</f>
        <v>40</v>
      </c>
      <c r="L100" s="504">
        <f>SUM('By Lot'!N744,'By Structure'!L19,'By Lot'!N966,'By Lot'!N983,'By Structure'!L30)</f>
        <v>42</v>
      </c>
      <c r="M100" s="110">
        <f>SUM('By Lot'!O744,'By Structure'!M19,'By Lot'!O966,'By Lot'!O983,'By Structure'!M30)</f>
        <v>50</v>
      </c>
      <c r="N100" s="109">
        <f t="shared" si="17"/>
        <v>24</v>
      </c>
      <c r="O100" s="504">
        <f t="shared" si="18"/>
        <v>1003</v>
      </c>
      <c r="P100" s="107">
        <f t="shared" si="19"/>
        <v>0.97663096397273608</v>
      </c>
      <c r="Q100" s="504"/>
      <c r="R100" s="504"/>
      <c r="S100" s="504"/>
      <c r="T100" s="504"/>
      <c r="U100" s="504"/>
      <c r="V100" s="504"/>
      <c r="W100" s="504"/>
      <c r="X100" s="504"/>
      <c r="Y100" s="504"/>
      <c r="Z100" s="504"/>
    </row>
    <row r="101" spans="1:26" ht="11.25" customHeight="1">
      <c r="A101" s="109"/>
      <c r="B101" s="13" t="s">
        <v>27</v>
      </c>
      <c r="C101" s="13">
        <f>SUM('By Lot'!E745,
'By Lot'!E967,
'By Lot'!E984,
'By Structure'!C31)</f>
        <v>410</v>
      </c>
      <c r="D101" s="109">
        <f>SUM('By Lot'!F745,'By Lot'!F967,'By Lot'!F984,'By Structure'!D31)</f>
        <v>259</v>
      </c>
      <c r="E101" s="504">
        <f>SUM('By Lot'!G745,'By Lot'!G967,'By Lot'!G984,'By Structure'!E31)</f>
        <v>270</v>
      </c>
      <c r="F101" s="504">
        <f>SUM('By Lot'!H745,'By Lot'!H967,'By Lot'!H984,'By Structure'!F31)</f>
        <v>256</v>
      </c>
      <c r="G101" s="504">
        <f>SUM('By Lot'!I745,'By Lot'!I967,'By Lot'!I984,'By Structure'!G31)</f>
        <v>280</v>
      </c>
      <c r="H101" s="504">
        <f>SUM('By Lot'!J745,'By Lot'!J967,'By Lot'!J984,'By Structure'!H31)</f>
        <v>270</v>
      </c>
      <c r="I101" s="504">
        <f>SUM('By Lot'!K745,'By Lot'!K967,'By Lot'!K984,'By Structure'!I31)</f>
        <v>265</v>
      </c>
      <c r="J101" s="504">
        <f>SUM('By Lot'!L745,'By Lot'!L967,'By Lot'!L984,'By Structure'!J31)</f>
        <v>255</v>
      </c>
      <c r="K101" s="504">
        <f>SUM('By Lot'!M745,'By Lot'!M967,'By Lot'!M984,'By Structure'!K31)</f>
        <v>244</v>
      </c>
      <c r="L101" s="504">
        <f>SUM('By Lot'!N745,'By Lot'!N967,'By Lot'!N984,'By Structure'!L31)</f>
        <v>257</v>
      </c>
      <c r="M101" s="110">
        <f>SUM('By Lot'!O745,'By Lot'!O967,'By Lot'!O984,'By Structure'!M31)</f>
        <v>259</v>
      </c>
      <c r="N101" s="109">
        <f t="shared" si="17"/>
        <v>244</v>
      </c>
      <c r="O101" s="504">
        <f t="shared" si="18"/>
        <v>166</v>
      </c>
      <c r="P101" s="107">
        <f t="shared" si="19"/>
        <v>0.40487804878048783</v>
      </c>
      <c r="Q101" s="504"/>
      <c r="R101" s="504"/>
      <c r="S101" s="504"/>
      <c r="T101" s="504"/>
      <c r="U101" s="504"/>
      <c r="V101" s="504"/>
      <c r="W101" s="504"/>
      <c r="X101" s="504"/>
      <c r="Y101" s="504"/>
      <c r="Z101" s="504"/>
    </row>
    <row r="102" spans="1:26" ht="11.25" customHeight="1">
      <c r="A102" s="257" t="s">
        <v>84</v>
      </c>
      <c r="B102" s="13" t="s">
        <v>29</v>
      </c>
      <c r="C102" s="13">
        <f xml:space="preserve"> 'By Structure'!C20</f>
        <v>228</v>
      </c>
      <c r="D102" s="109">
        <f xml:space="preserve"> 'By Structure'!D20</f>
        <v>190</v>
      </c>
      <c r="E102" s="504">
        <f xml:space="preserve"> 'By Structure'!E20</f>
        <v>183</v>
      </c>
      <c r="F102" s="504">
        <f xml:space="preserve"> 'By Structure'!F20</f>
        <v>176</v>
      </c>
      <c r="G102" s="504">
        <f xml:space="preserve"> 'By Structure'!G20</f>
        <v>168</v>
      </c>
      <c r="H102" s="504">
        <f xml:space="preserve"> 'By Structure'!H20</f>
        <v>161</v>
      </c>
      <c r="I102" s="91">
        <f xml:space="preserve"> 'By Structure'!I20</f>
        <v>158</v>
      </c>
      <c r="J102" s="91">
        <f xml:space="preserve"> 'By Structure'!J20</f>
        <v>157</v>
      </c>
      <c r="K102" s="91">
        <f xml:space="preserve"> 'By Structure'!K20</f>
        <v>153</v>
      </c>
      <c r="L102" s="91">
        <f xml:space="preserve"> 'By Structure'!L20</f>
        <v>159</v>
      </c>
      <c r="M102" s="108">
        <f xml:space="preserve"> 'By Structure'!M20</f>
        <v>164</v>
      </c>
      <c r="N102" s="109">
        <f t="shared" si="17"/>
        <v>153</v>
      </c>
      <c r="O102" s="504">
        <f t="shared" si="18"/>
        <v>75</v>
      </c>
      <c r="P102" s="107">
        <f t="shared" si="19"/>
        <v>0.32894736842105265</v>
      </c>
      <c r="Q102" s="504"/>
      <c r="R102" s="504"/>
      <c r="S102" s="504"/>
      <c r="T102" s="504"/>
      <c r="U102" s="504"/>
      <c r="V102" s="504"/>
      <c r="W102" s="504"/>
      <c r="X102" s="504"/>
      <c r="Y102" s="504"/>
      <c r="Z102" s="504"/>
    </row>
    <row r="103" spans="1:26" ht="11.25" customHeight="1">
      <c r="A103" s="257" t="s">
        <v>85</v>
      </c>
      <c r="B103" s="13" t="s">
        <v>31</v>
      </c>
      <c r="C103" s="13">
        <f>SUM('By Lot'!E746:E747,
 'By Structure'!C21,
'By Lot'!E968:E969,'By Lot'!E985:E986,
 'By Structure'!C32)</f>
        <v>166</v>
      </c>
      <c r="D103" s="109">
        <f>SUM('By Lot'!F746:F747,'By Lot'!F815:F816,'By Lot'!F832:F833,'By Lot'!F849:F850,
'By Lot'!F866:F867,'By Lot'!F883:F884,'By Lot'!F900:F901,'By Lot'!F917:F918,
'By Lot'!F968:F969,'By Lot'!F985:F986,'By Lot'!F1054:F1055,'By Lot'!F1071:F1072,
'By Lot'!F1088:F1089,'By Lot'!F1105:F1106,'By Lot'!F1122:F1123,'By Lot'!F1139:F1140)</f>
        <v>5</v>
      </c>
      <c r="E103" s="504">
        <f>SUM('By Lot'!G746:G747,'By Lot'!G815:G816,'By Lot'!G832:G833,'By Lot'!G849:G850,
'By Lot'!G866:G867,'By Lot'!G883:G884,'By Lot'!G900:G901,'By Lot'!G917:G918,
'By Lot'!G968:G969,'By Lot'!G985:G986,'By Lot'!G1054:G1055,'By Lot'!G1071:G1072,
'By Lot'!G1088:G1089,'By Lot'!G1105:G1106,'By Lot'!G1122:G1123,'By Lot'!G1139:G1140)</f>
        <v>4</v>
      </c>
      <c r="F103" s="504">
        <f>SUM('By Lot'!H746:H747,'By Lot'!H815:H816,'By Lot'!H832:H833,'By Lot'!H849:H850,
'By Lot'!H866:H867,'By Lot'!H883:H884,'By Lot'!H900:H901,'By Lot'!H917:H918,
'By Lot'!H968:H969,'By Lot'!H985:H986,'By Lot'!H1054:H1055,'By Lot'!H1071:H1072,
'By Lot'!H1088:H1089,'By Lot'!H1105:H1106,'By Lot'!H1122:H1123,'By Lot'!H1139:H1140)</f>
        <v>6</v>
      </c>
      <c r="G103" s="504">
        <f>SUM('By Lot'!I746:I747,'By Lot'!I815:I816,'By Lot'!I832:I833,'By Lot'!I849:I850,
'By Lot'!I866:I867,'By Lot'!I883:I884,'By Lot'!I900:I901,'By Lot'!I917:I918,
'By Lot'!I968:I969,'By Lot'!I985:I986,'By Lot'!I1054:I1055,'By Lot'!I1071:I1072,
'By Lot'!I1088:I1089,'By Lot'!I1105:I1106,'By Lot'!I1122:I1123,'By Lot'!I1139:I1140)</f>
        <v>5</v>
      </c>
      <c r="H103" s="504">
        <f>SUM('By Lot'!J746:J747,'By Lot'!J815:J816,'By Lot'!J832:J833,'By Lot'!J849:J850,
'By Lot'!J866:J867,'By Lot'!J883:J884,'By Lot'!J900:J901,'By Lot'!J917:J918,
'By Lot'!J968:J969,'By Lot'!J985:J986,'By Lot'!J1054:J1055,'By Lot'!J1071:J1072,
'By Lot'!J1088:J1089,'By Lot'!J1105:J1106,'By Lot'!J1122:J1123,'By Lot'!J1139:J1140)</f>
        <v>2</v>
      </c>
      <c r="I103" s="504">
        <f>SUM('By Lot'!K746:K747,'By Lot'!K815:K816,'By Lot'!K832:K833,'By Lot'!K849:K850,
'By Lot'!K866:K867,'By Lot'!K883:K884,'By Lot'!K900:K901,'By Lot'!K917:K918,
'By Lot'!K968:K969,'By Lot'!K985:K986,'By Lot'!K1054:K1055,'By Lot'!K1071:K1072,
'By Lot'!K1088:K1089,'By Lot'!K1105:K1106,'By Lot'!K1122:K1123,'By Lot'!K1139:K1140)</f>
        <v>1</v>
      </c>
      <c r="J103" s="504">
        <f>SUM('By Lot'!L746:L747,'By Lot'!L815:L816,'By Lot'!L832:L833,'By Lot'!L849:L850,
'By Lot'!L866:L867,'By Lot'!L883:L884,'By Lot'!L900:L901,'By Lot'!L917:L918,
'By Lot'!L968:L969,'By Lot'!L985:L986,'By Lot'!L1054:L1055,'By Lot'!L1071:L1072,
'By Lot'!L1088:L1089,'By Lot'!L1105:L1106,'By Lot'!L1122:L1123,'By Lot'!L1139:L1140)</f>
        <v>2</v>
      </c>
      <c r="K103" s="504">
        <f>SUM('By Lot'!M746:M747,'By Lot'!M815:M816,'By Lot'!M832:M833,'By Lot'!M849:M850,
'By Lot'!M866:M867,'By Lot'!M883:M884,'By Lot'!M900:M901,'By Lot'!M917:M918,
'By Lot'!M968:M969,'By Lot'!M985:M986,'By Lot'!M1054:M1055,'By Lot'!M1071:M1072,
'By Lot'!M1088:M1089,'By Lot'!M1105:M1106,'By Lot'!M1122:M1123,'By Lot'!M1139:M1140)</f>
        <v>1</v>
      </c>
      <c r="L103" s="504">
        <f>SUM('By Lot'!N746:N747,'By Lot'!N815:N816,'By Lot'!N832:N833,'By Lot'!N849:N850,
'By Lot'!N866:N867,'By Lot'!N883:N884,'By Lot'!N900:N901,'By Lot'!N917:N918,
'By Lot'!N968:N969,'By Lot'!N985:N986,'By Lot'!N1054:N1055,'By Lot'!N1071:N1072,
'By Lot'!N1088:N1089,'By Lot'!N1105:N1106,'By Lot'!N1122:N1123,'By Lot'!N1139:N1140)</f>
        <v>0</v>
      </c>
      <c r="M103" s="110">
        <f>SUM('By Lot'!O746:O747,'By Lot'!O815:O816,'By Lot'!O832:O833,'By Lot'!O849:O850,
'By Lot'!O866:O867,'By Lot'!O883:O884,'By Lot'!O900:O901,'By Lot'!O917:O918,
'By Lot'!O968:O969,'By Lot'!O985:O986,'By Lot'!O1054:O1055,'By Lot'!O1071:O1072,
'By Lot'!O1088:O1089,'By Lot'!O1105:O1106,'By Lot'!O1122:O1123,'By Lot'!O1139:O1140)</f>
        <v>0</v>
      </c>
      <c r="N103" s="109">
        <f t="shared" si="17"/>
        <v>0</v>
      </c>
      <c r="O103" s="504">
        <f t="shared" si="18"/>
        <v>166</v>
      </c>
      <c r="P103" s="107">
        <f t="shared" si="19"/>
        <v>1</v>
      </c>
      <c r="Q103" s="504"/>
      <c r="R103" s="504"/>
      <c r="S103" s="504"/>
      <c r="T103" s="504"/>
      <c r="U103" s="504"/>
      <c r="V103" s="504"/>
      <c r="W103" s="504"/>
      <c r="X103" s="504"/>
      <c r="Y103" s="504"/>
      <c r="Z103" s="504"/>
    </row>
    <row r="104" spans="1:26" ht="11.25" customHeight="1">
      <c r="A104" s="257" t="s">
        <v>86</v>
      </c>
      <c r="B104" s="13" t="s">
        <v>32</v>
      </c>
      <c r="C104" s="13">
        <f>SUM('By Lot'!E748,'By Structure'!C22,'By Lot'!E970,'By Lot'!E987,'By Structure'!C33)</f>
        <v>25</v>
      </c>
      <c r="D104" s="109">
        <f>SUM('By Lot'!F748,'By Structure'!D22,'By Lot'!F970,'By Lot'!F987,'By Structure'!D33)</f>
        <v>18</v>
      </c>
      <c r="E104" s="504">
        <f>SUM('By Lot'!G748,'By Structure'!E22,'By Lot'!G970,'By Lot'!G987,'By Structure'!E33)</f>
        <v>18</v>
      </c>
      <c r="F104" s="504">
        <f>SUM('By Lot'!H748,'By Structure'!F22,'By Lot'!H970,'By Lot'!H987,'By Structure'!F33)</f>
        <v>17</v>
      </c>
      <c r="G104" s="504">
        <f>SUM('By Lot'!I748,'By Structure'!G22,'By Lot'!I970,'By Lot'!I987,'By Structure'!G33)</f>
        <v>16</v>
      </c>
      <c r="H104" s="504">
        <f>SUM('By Lot'!J748,'By Structure'!H22,'By Lot'!J970,'By Lot'!J987,'By Structure'!H33)</f>
        <v>15</v>
      </c>
      <c r="I104" s="504">
        <f>SUM('By Lot'!K748,'By Structure'!I22,'By Lot'!K970,'By Lot'!K987,'By Structure'!I33)</f>
        <v>14</v>
      </c>
      <c r="J104" s="504">
        <f>SUM('By Lot'!L748,'By Structure'!J22,'By Lot'!L970,'By Lot'!L987,'By Structure'!J33)</f>
        <v>13</v>
      </c>
      <c r="K104" s="504">
        <f>SUM('By Lot'!M748,'By Structure'!K22,'By Lot'!M970,'By Lot'!M987,'By Structure'!K33)</f>
        <v>13</v>
      </c>
      <c r="L104" s="504">
        <f>SUM('By Lot'!N748,'By Structure'!L22,'By Lot'!N970,'By Lot'!N987,'By Structure'!L33)</f>
        <v>13</v>
      </c>
      <c r="M104" s="110">
        <f>SUM('By Lot'!O748,'By Structure'!M22,'By Lot'!O970,'By Lot'!O987,'By Structure'!M33)</f>
        <v>14</v>
      </c>
      <c r="N104" s="109">
        <f t="shared" si="17"/>
        <v>13</v>
      </c>
      <c r="O104" s="504">
        <f t="shared" si="18"/>
        <v>12</v>
      </c>
      <c r="P104" s="107">
        <f t="shared" si="19"/>
        <v>0.48</v>
      </c>
      <c r="Q104" s="504"/>
      <c r="R104" s="504"/>
      <c r="S104" s="504"/>
      <c r="T104" s="504"/>
      <c r="U104" s="504"/>
      <c r="V104" s="504"/>
      <c r="W104" s="504"/>
      <c r="X104" s="504"/>
      <c r="Y104" s="504"/>
      <c r="Z104" s="504"/>
    </row>
    <row r="105" spans="1:26" ht="11.25" customHeight="1">
      <c r="A105" s="257" t="s">
        <v>87</v>
      </c>
      <c r="B105" s="13" t="s">
        <v>33</v>
      </c>
      <c r="C105" s="13">
        <f>SUM('By Lot'!E749:E754,
'By Structure'!C23,
'By Lot'!E971:E976,
'By Lot'!E988:E993,
'By Structure'!C34)</f>
        <v>127</v>
      </c>
      <c r="D105" s="109">
        <f>SUM('By Lot'!F749:F754,
'By Structure'!D23,
'By Lot'!F971:F976,
'By Lot'!F988:F993,
'By Structure'!D34)</f>
        <v>72</v>
      </c>
      <c r="E105" s="504">
        <f>SUM('By Lot'!G749:G754,
'By Structure'!E23,
'By Lot'!G971:G976,
'By Lot'!G988:G993,
'By Structure'!E34)</f>
        <v>67</v>
      </c>
      <c r="F105" s="504">
        <f>SUM('By Lot'!H749:H754,
'By Structure'!F23,
'By Lot'!H971:H976,
'By Lot'!H988:H993,
'By Structure'!F34)</f>
        <v>67</v>
      </c>
      <c r="G105" s="504">
        <f>SUM('By Lot'!I749:I754,
'By Structure'!G23,
'By Lot'!I971:I976,
'By Lot'!I988:I993,
'By Structure'!G34)</f>
        <v>70</v>
      </c>
      <c r="H105" s="504">
        <f>SUM('By Lot'!J749:J754,
'By Structure'!H23,
'By Lot'!J971:J976,
'By Lot'!J988:J993,
'By Structure'!H34)</f>
        <v>70</v>
      </c>
      <c r="I105" s="504">
        <f>SUM('By Lot'!K749:K754,
'By Structure'!I23,
'By Lot'!K971:K976,
'By Lot'!K988:K993,
'By Structure'!I34)</f>
        <v>76</v>
      </c>
      <c r="J105" s="504">
        <f>SUM('By Lot'!L749:L754,
'By Structure'!J23,
'By Lot'!L971:L976,
'By Lot'!L988:L993,
'By Structure'!J34)</f>
        <v>78</v>
      </c>
      <c r="K105" s="504">
        <f>SUM('By Lot'!M749:M754,
'By Structure'!K23,
'By Lot'!M971:M976,
'By Lot'!M988:M993,
'By Structure'!K34)</f>
        <v>79</v>
      </c>
      <c r="L105" s="504">
        <f>SUM('By Lot'!N749:N754,
'By Structure'!L23,
'By Lot'!N971:N976,
'By Lot'!N988:N993,
'By Structure'!L34)</f>
        <v>73</v>
      </c>
      <c r="M105" s="110">
        <f>SUM('By Lot'!O749:O754,
'By Structure'!M23,
'By Lot'!O971:O976,
'By Lot'!O988:O993,
'By Structure'!M34)</f>
        <v>76</v>
      </c>
      <c r="N105" s="109">
        <f t="shared" si="17"/>
        <v>67</v>
      </c>
      <c r="O105" s="504">
        <f t="shared" si="18"/>
        <v>60</v>
      </c>
      <c r="P105" s="107">
        <f t="shared" si="19"/>
        <v>0.47244094488188976</v>
      </c>
      <c r="Q105" s="504"/>
      <c r="R105" s="504"/>
      <c r="S105" s="504"/>
      <c r="T105" s="504"/>
      <c r="U105" s="504"/>
      <c r="V105" s="504"/>
      <c r="W105" s="504"/>
      <c r="X105" s="504"/>
      <c r="Y105" s="504"/>
      <c r="Z105" s="504"/>
    </row>
    <row r="106" spans="1:26" ht="11.25" customHeight="1">
      <c r="A106" s="257" t="s">
        <v>88</v>
      </c>
      <c r="B106" s="13" t="s">
        <v>34</v>
      </c>
      <c r="C106" s="13">
        <f>SUM('By Lot'!E755,'By Structure'!C24,'By Lot'!E977,'By Lot'!E994,'By Structure'!C35)</f>
        <v>51</v>
      </c>
      <c r="D106" s="109">
        <f>SUM('By Lot'!F750,'By Structure'!D24,'By Lot'!F977,'By Lot'!F994,'By Structure'!D35)</f>
        <v>24</v>
      </c>
      <c r="E106" s="504">
        <f>SUM('By Lot'!G750,'By Structure'!E24,'By Lot'!G977,'By Lot'!G994,'By Structure'!E35)</f>
        <v>24</v>
      </c>
      <c r="F106" s="504">
        <f>SUM('By Lot'!H750,'By Structure'!F24,'By Lot'!H977,'By Lot'!H994,'By Structure'!F35)</f>
        <v>24</v>
      </c>
      <c r="G106" s="504">
        <f>SUM('By Lot'!I750,'By Structure'!G24,'By Lot'!I977,'By Lot'!I994,'By Structure'!G35)</f>
        <v>24</v>
      </c>
      <c r="H106" s="504">
        <f>SUM('By Lot'!J750,'By Structure'!H24,'By Lot'!J977,'By Lot'!J994,'By Structure'!H35)</f>
        <v>23</v>
      </c>
      <c r="I106" s="504">
        <f>SUM('By Lot'!K750,'By Structure'!I24,'By Lot'!K977,'By Lot'!K994,'By Structure'!I35)</f>
        <v>23</v>
      </c>
      <c r="J106" s="504">
        <f>SUM('By Lot'!L750,'By Structure'!J24,'By Lot'!L977,'By Lot'!L994,'By Structure'!J35)</f>
        <v>23</v>
      </c>
      <c r="K106" s="504">
        <f>SUM('By Lot'!M750,'By Structure'!K24,'By Lot'!M977,'By Lot'!M994,'By Structure'!K35)</f>
        <v>22</v>
      </c>
      <c r="L106" s="504">
        <f>SUM('By Lot'!N750,'By Structure'!L24,'By Lot'!N977,'By Lot'!N994,'By Structure'!L35)</f>
        <v>23</v>
      </c>
      <c r="M106" s="110">
        <f>SUM('By Lot'!O750,'By Structure'!M24,'By Lot'!O977,'By Lot'!O994,'By Structure'!M35)</f>
        <v>23</v>
      </c>
      <c r="N106" s="109">
        <f t="shared" si="17"/>
        <v>22</v>
      </c>
      <c r="O106" s="504">
        <f t="shared" si="18"/>
        <v>29</v>
      </c>
      <c r="P106" s="107">
        <f t="shared" si="19"/>
        <v>0.56862745098039214</v>
      </c>
      <c r="Q106" s="504"/>
      <c r="R106" s="504"/>
      <c r="S106" s="504"/>
      <c r="T106" s="504"/>
      <c r="U106" s="504"/>
      <c r="V106" s="504"/>
      <c r="W106" s="504"/>
      <c r="X106" s="504"/>
      <c r="Y106" s="504"/>
      <c r="Z106" s="504"/>
    </row>
    <row r="107" spans="1:26" ht="11.25" customHeight="1">
      <c r="A107" s="109"/>
      <c r="B107" s="13" t="s">
        <v>35</v>
      </c>
      <c r="C107" s="13">
        <f>SUM('By Lot'!E756,'By Structure'!C25,'By Lot'!E978,'By Lot'!E995,'By Structure'!C36)</f>
        <v>21</v>
      </c>
      <c r="D107" s="103">
        <f>SUM('By Lot'!F751,'By Structure'!D25,'By Lot'!F978,'By Lot'!F995,'By Structure'!D36)</f>
        <v>10</v>
      </c>
      <c r="E107" s="91">
        <f>SUM('By Lot'!G751,'By Structure'!E25,'By Lot'!G978,'By Lot'!G995,'By Structure'!E36)</f>
        <v>10</v>
      </c>
      <c r="F107" s="91">
        <f>SUM('By Lot'!H751,'By Structure'!F25,'By Lot'!H978,'By Lot'!H995,'By Structure'!F36)</f>
        <v>13</v>
      </c>
      <c r="G107" s="91">
        <f>SUM('By Lot'!I751,'By Structure'!G25,'By Lot'!I978,'By Lot'!I995,'By Structure'!G36)</f>
        <v>13</v>
      </c>
      <c r="H107" s="91">
        <f>SUM('By Lot'!J751,'By Structure'!H25,'By Lot'!J978,'By Lot'!J995,'By Structure'!H36)</f>
        <v>10</v>
      </c>
      <c r="I107" s="504">
        <f>SUM('By Lot'!K751,'By Structure'!I25,'By Lot'!K978,'By Lot'!K995,'By Structure'!I36)</f>
        <v>11</v>
      </c>
      <c r="J107" s="504">
        <f>SUM('By Lot'!L751,'By Structure'!J25,'By Lot'!L978,'By Lot'!L995,'By Structure'!J36)</f>
        <v>11</v>
      </c>
      <c r="K107" s="504">
        <f>SUM('By Lot'!M751,'By Structure'!K25,'By Lot'!M978,'By Lot'!M995,'By Structure'!K36)</f>
        <v>10</v>
      </c>
      <c r="L107" s="504">
        <f>SUM('By Lot'!N751,'By Structure'!L25,'By Lot'!N978,'By Lot'!N995,'By Structure'!L36)</f>
        <v>8</v>
      </c>
      <c r="M107" s="110">
        <f>SUM('By Lot'!O751,'By Structure'!M25,'By Lot'!O978,'By Lot'!O995,'By Structure'!M36)</f>
        <v>11</v>
      </c>
      <c r="N107" s="103">
        <f t="shared" si="17"/>
        <v>8</v>
      </c>
      <c r="O107" s="91">
        <f t="shared" si="18"/>
        <v>13</v>
      </c>
      <c r="P107" s="107">
        <f t="shared" si="19"/>
        <v>0.61904761904761907</v>
      </c>
      <c r="Q107" s="504"/>
      <c r="R107" s="504"/>
      <c r="S107" s="504"/>
      <c r="T107" s="504"/>
      <c r="U107" s="504"/>
      <c r="V107" s="504"/>
      <c r="W107" s="504"/>
      <c r="X107" s="504"/>
      <c r="Y107" s="504"/>
      <c r="Z107" s="504"/>
    </row>
    <row r="108" spans="1:26" ht="11.25" customHeight="1">
      <c r="A108" s="109"/>
      <c r="B108" s="13" t="s">
        <v>36</v>
      </c>
      <c r="C108" s="13">
        <f>SUM('By Lot'!E757,'By Structure'!C26,'By Lot'!E979,'By Lot'!E996,'By Structure'!C37)</f>
        <v>8</v>
      </c>
      <c r="D108" s="109">
        <f>SUM('By Lot'!F752,'By Structure'!D26,'By Lot'!F979,'By Lot'!F996,'By Structure'!D37)</f>
        <v>5</v>
      </c>
      <c r="E108" s="504">
        <f>SUM('By Lot'!G752,'By Structure'!E26,'By Lot'!G979,'By Lot'!G996,'By Structure'!E37)</f>
        <v>5</v>
      </c>
      <c r="F108" s="504">
        <f>SUM('By Lot'!H752,'By Structure'!F26,'By Lot'!H979,'By Lot'!H996,'By Structure'!F37)</f>
        <v>5</v>
      </c>
      <c r="G108" s="504">
        <f>SUM('By Lot'!I752,'By Structure'!G26,'By Lot'!I979,'By Lot'!I996,'By Structure'!G37)</f>
        <v>5</v>
      </c>
      <c r="H108" s="504">
        <f>SUM('By Lot'!J752,'By Structure'!H26,'By Lot'!J979,'By Lot'!J996,'By Structure'!H37)</f>
        <v>5</v>
      </c>
      <c r="I108" s="504">
        <f>SUM('By Lot'!K752,'By Structure'!I26,'By Lot'!K979,'By Lot'!K996,'By Structure'!I37)</f>
        <v>5</v>
      </c>
      <c r="J108" s="504">
        <f>SUM('By Lot'!L752,'By Structure'!J26,'By Lot'!L979,'By Lot'!L996,'By Structure'!J37)</f>
        <v>3</v>
      </c>
      <c r="K108" s="504">
        <f>SUM('By Lot'!M752,'By Structure'!K26,'By Lot'!M979,'By Lot'!M996,'By Structure'!K37)</f>
        <v>2</v>
      </c>
      <c r="L108" s="504">
        <f>SUM('By Lot'!N752,'By Structure'!L26,'By Lot'!N979,'By Lot'!N996,'By Structure'!L37)</f>
        <v>1</v>
      </c>
      <c r="M108" s="110">
        <f>SUM('By Lot'!O752,'By Structure'!M26,'By Lot'!O979,'By Lot'!O996,'By Structure'!M37)</f>
        <v>1</v>
      </c>
      <c r="N108" s="109">
        <f t="shared" si="17"/>
        <v>1</v>
      </c>
      <c r="O108" s="504">
        <f t="shared" si="18"/>
        <v>7</v>
      </c>
      <c r="P108" s="107">
        <f t="shared" si="19"/>
        <v>0.875</v>
      </c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</row>
    <row r="109" spans="1:26" ht="11.25" customHeight="1">
      <c r="A109" s="109"/>
      <c r="B109" s="13" t="s">
        <v>37</v>
      </c>
      <c r="C109" s="13">
        <f>SUM('By Lot'!E758,'By Structure'!C27,'By Lot'!E980,'By Lot'!E997,'By Structure'!C38)</f>
        <v>21</v>
      </c>
      <c r="D109" s="109">
        <f>SUM('By Lot'!F753,'By Structure'!D27,'By Lot'!F980,'By Lot'!F997,'By Structure'!D38)</f>
        <v>10</v>
      </c>
      <c r="E109" s="504">
        <f>SUM('By Lot'!G753,'By Structure'!E27,'By Lot'!G980,'By Lot'!G997,'By Structure'!E38)</f>
        <v>9</v>
      </c>
      <c r="F109" s="504">
        <f>SUM('By Lot'!H753,'By Structure'!F27,'By Lot'!H980,'By Lot'!H997,'By Structure'!F38)</f>
        <v>9</v>
      </c>
      <c r="G109" s="504">
        <f>SUM('By Lot'!I753,'By Structure'!G27,'By Lot'!I980,'By Lot'!I997,'By Structure'!G38)</f>
        <v>11</v>
      </c>
      <c r="H109" s="504">
        <f>SUM('By Lot'!J753,'By Structure'!H27,'By Lot'!J980,'By Lot'!J997,'By Structure'!H38)</f>
        <v>11</v>
      </c>
      <c r="I109" s="504">
        <f>SUM('By Lot'!K753,'By Structure'!I27,'By Lot'!K980,'By Lot'!K997,'By Structure'!I38)</f>
        <v>6</v>
      </c>
      <c r="J109" s="504">
        <f>SUM('By Lot'!L753,'By Structure'!J27,'By Lot'!L980,'By Lot'!L997,'By Structure'!J38)</f>
        <v>5</v>
      </c>
      <c r="K109" s="504">
        <f>SUM('By Lot'!M753,'By Structure'!K27,'By Lot'!M980,'By Lot'!M997,'By Structure'!K38)</f>
        <v>10</v>
      </c>
      <c r="L109" s="504">
        <f>SUM('By Lot'!N753,'By Structure'!L27,'By Lot'!N980,'By Lot'!N997,'By Structure'!L38)</f>
        <v>4</v>
      </c>
      <c r="M109" s="110">
        <f>SUM('By Lot'!O753,'By Structure'!M27,'By Lot'!O980,'By Lot'!O997,'By Structure'!M38)</f>
        <v>4</v>
      </c>
      <c r="N109" s="109">
        <f t="shared" si="17"/>
        <v>4</v>
      </c>
      <c r="O109" s="504">
        <f t="shared" si="18"/>
        <v>17</v>
      </c>
      <c r="P109" s="107">
        <f t="shared" si="19"/>
        <v>0.80952380952380953</v>
      </c>
      <c r="Q109" s="504"/>
      <c r="R109" s="504"/>
      <c r="S109" s="504"/>
      <c r="T109" s="504"/>
      <c r="U109" s="504"/>
      <c r="V109" s="504"/>
      <c r="W109" s="504"/>
      <c r="X109" s="504"/>
      <c r="Y109" s="504"/>
      <c r="Z109" s="504"/>
    </row>
    <row r="110" spans="1:26" ht="11.25" customHeight="1">
      <c r="A110" s="117"/>
      <c r="B110" s="3" t="s">
        <v>38</v>
      </c>
      <c r="C110" s="3">
        <f t="shared" ref="C110:M110" si="21">SUM(C99:C109)</f>
        <v>2401</v>
      </c>
      <c r="D110" s="21">
        <f t="shared" si="21"/>
        <v>715</v>
      </c>
      <c r="E110" s="71">
        <f t="shared" si="21"/>
        <v>700</v>
      </c>
      <c r="F110" s="71">
        <f t="shared" si="21"/>
        <v>675</v>
      </c>
      <c r="G110" s="71">
        <f t="shared" si="21"/>
        <v>684</v>
      </c>
      <c r="H110" s="71">
        <f t="shared" si="21"/>
        <v>654</v>
      </c>
      <c r="I110" s="71">
        <f t="shared" si="21"/>
        <v>642</v>
      </c>
      <c r="J110" s="71">
        <f t="shared" si="21"/>
        <v>636</v>
      </c>
      <c r="K110" s="71">
        <f t="shared" si="21"/>
        <v>625</v>
      </c>
      <c r="L110" s="71">
        <f t="shared" si="21"/>
        <v>629</v>
      </c>
      <c r="M110" s="26">
        <f t="shared" si="21"/>
        <v>653</v>
      </c>
      <c r="N110" s="21">
        <f t="shared" si="17"/>
        <v>625</v>
      </c>
      <c r="O110" s="71">
        <f t="shared" si="18"/>
        <v>1776</v>
      </c>
      <c r="P110" s="7">
        <f t="shared" si="19"/>
        <v>0.73969179508538108</v>
      </c>
      <c r="Q110" s="504"/>
      <c r="R110" s="504"/>
      <c r="S110" s="504"/>
      <c r="T110" s="504"/>
      <c r="U110" s="504"/>
      <c r="V110" s="504"/>
      <c r="W110" s="504"/>
      <c r="X110" s="504"/>
      <c r="Y110" s="504"/>
      <c r="Z110" s="504"/>
    </row>
    <row r="111" spans="1:26" ht="11.25" customHeight="1">
      <c r="A111" s="43" t="s">
        <v>89</v>
      </c>
      <c r="B111" s="13" t="s">
        <v>23</v>
      </c>
      <c r="C111" s="13">
        <f>SUM('By Lot'!E931,'By Lot'!E948,'By Lot'!E999,'By Lot'!E1017,'By Lot'!E1034)</f>
        <v>24</v>
      </c>
      <c r="D111" s="109">
        <f>SUM('By Lot'!F931,'By Lot'!F948,'By Lot'!F999,'By Lot'!F1017,'By Lot'!F1034)</f>
        <v>16</v>
      </c>
      <c r="E111" s="504">
        <f>SUM('By Lot'!G931,'By Lot'!G948,'By Lot'!G999,'By Lot'!G1017,'By Lot'!G1034)</f>
        <v>14</v>
      </c>
      <c r="F111" s="504">
        <f>SUM('By Lot'!H931,'By Lot'!H948,'By Lot'!H999,'By Lot'!H1017,'By Lot'!H1034)</f>
        <v>12</v>
      </c>
      <c r="G111" s="504">
        <f>SUM('By Lot'!I931,'By Lot'!I948,'By Lot'!I999,'By Lot'!I1017,'By Lot'!I1034)</f>
        <v>16</v>
      </c>
      <c r="H111" s="504">
        <f>SUM('By Lot'!J931,'By Lot'!J948,'By Lot'!J999,'By Lot'!J1017,'By Lot'!J1034)</f>
        <v>16</v>
      </c>
      <c r="I111" s="91">
        <f>SUM('By Lot'!K931,'By Lot'!K948,'By Lot'!K999,'By Lot'!K1017,'By Lot'!K1034)</f>
        <v>18</v>
      </c>
      <c r="J111" s="91">
        <f>SUM('By Lot'!L931,'By Lot'!L948,'By Lot'!L999,'By Lot'!L1017,'By Lot'!L1034)</f>
        <v>14</v>
      </c>
      <c r="K111" s="91">
        <f>SUM('By Lot'!M931,'By Lot'!M948,'By Lot'!M999,'By Lot'!M1017,'By Lot'!M1034)</f>
        <v>13</v>
      </c>
      <c r="L111" s="91">
        <f>SUM('By Lot'!N931,'By Lot'!N948,'By Lot'!N999,'By Lot'!N1017,'By Lot'!N1034)</f>
        <v>16</v>
      </c>
      <c r="M111" s="108">
        <f>SUM('By Lot'!O931,'By Lot'!O948,'By Lot'!O999,'By Lot'!O1017,'By Lot'!O1034)</f>
        <v>17</v>
      </c>
      <c r="N111" s="109">
        <f t="shared" si="17"/>
        <v>12</v>
      </c>
      <c r="O111" s="504">
        <f t="shared" si="18"/>
        <v>12</v>
      </c>
      <c r="P111" s="107">
        <f t="shared" si="19"/>
        <v>0.5</v>
      </c>
      <c r="Q111" s="504"/>
      <c r="R111" s="504"/>
      <c r="S111" s="504"/>
      <c r="T111" s="504"/>
      <c r="U111" s="504"/>
      <c r="V111" s="504"/>
      <c r="W111" s="504"/>
      <c r="X111" s="504"/>
      <c r="Y111" s="504"/>
      <c r="Z111" s="504"/>
    </row>
    <row r="112" spans="1:26" ht="11.25" customHeight="1">
      <c r="A112" s="13" t="s">
        <v>42</v>
      </c>
      <c r="B112" s="13" t="s">
        <v>25</v>
      </c>
      <c r="C112" s="13">
        <f>SUM('By Lot'!E932,'By Lot'!E949,'By Lot'!E1000,'By Lot'!E1018,'By Lot'!E1035)</f>
        <v>169</v>
      </c>
      <c r="D112" s="109">
        <f>SUM('By Lot'!F932,'By Lot'!F949,'By Lot'!F1000,'By Lot'!F1018,'By Lot'!F1035)</f>
        <v>0</v>
      </c>
      <c r="E112" s="504">
        <f>SUM('By Lot'!G932,'By Lot'!G949,'By Lot'!G1000,'By Lot'!G1018,'By Lot'!G1035)</f>
        <v>0</v>
      </c>
      <c r="F112" s="504">
        <f>SUM('By Lot'!H932,'By Lot'!H949,'By Lot'!H1000,'By Lot'!H1018,'By Lot'!H1035)</f>
        <v>0</v>
      </c>
      <c r="G112" s="504">
        <f>SUM('By Lot'!I932,'By Lot'!I949,'By Lot'!I1000,'By Lot'!I1018,'By Lot'!I1035)</f>
        <v>0</v>
      </c>
      <c r="H112" s="504">
        <f>SUM('By Lot'!J932,'By Lot'!J949,'By Lot'!J1000,'By Lot'!J1018,'By Lot'!J1035)</f>
        <v>2</v>
      </c>
      <c r="I112" s="91">
        <f>SUM('By Lot'!K932,'By Lot'!K949,'By Lot'!K1000,'By Lot'!K1018,'By Lot'!K1035)</f>
        <v>6</v>
      </c>
      <c r="J112" s="91">
        <f>SUM('By Lot'!L932,'By Lot'!L949,'By Lot'!L1000,'By Lot'!L1018,'By Lot'!L1035)</f>
        <v>2</v>
      </c>
      <c r="K112" s="91">
        <f>SUM('By Lot'!M932,'By Lot'!M949,'By Lot'!M1000,'By Lot'!M1018,'By Lot'!M1035)</f>
        <v>1</v>
      </c>
      <c r="L112" s="91">
        <f>SUM('By Lot'!N932,'By Lot'!N949,'By Lot'!N1000,'By Lot'!N1018,'By Lot'!N1035)</f>
        <v>7</v>
      </c>
      <c r="M112" s="108">
        <f>SUM('By Lot'!O932,'By Lot'!O949,'By Lot'!O1000,'By Lot'!O1018,'By Lot'!O1035)</f>
        <v>0</v>
      </c>
      <c r="N112" s="109">
        <f t="shared" si="17"/>
        <v>0</v>
      </c>
      <c r="O112" s="504">
        <f t="shared" si="18"/>
        <v>169</v>
      </c>
      <c r="P112" s="107">
        <f t="shared" si="19"/>
        <v>1</v>
      </c>
      <c r="Q112" s="504"/>
      <c r="R112" s="504"/>
      <c r="S112" s="504"/>
      <c r="T112" s="504"/>
      <c r="U112" s="504"/>
      <c r="V112" s="504"/>
      <c r="W112" s="504"/>
      <c r="X112" s="504"/>
      <c r="Y112" s="504"/>
      <c r="Z112" s="504"/>
    </row>
    <row r="113" spans="1:26" ht="11.25" customHeight="1">
      <c r="A113" s="13"/>
      <c r="B113" s="13" t="s">
        <v>27</v>
      </c>
      <c r="C113" s="13"/>
      <c r="D113" s="109"/>
      <c r="E113" s="504"/>
      <c r="F113" s="504"/>
      <c r="G113" s="504"/>
      <c r="H113" s="504"/>
      <c r="I113" s="504"/>
      <c r="J113" s="504"/>
      <c r="K113" s="504"/>
      <c r="L113" s="504"/>
      <c r="M113" s="110"/>
      <c r="N113" s="109"/>
      <c r="O113" s="504"/>
      <c r="P113" s="107"/>
      <c r="Q113" s="504"/>
      <c r="R113" s="504"/>
      <c r="S113" s="504"/>
      <c r="T113" s="504"/>
      <c r="U113" s="504"/>
      <c r="V113" s="504"/>
      <c r="W113" s="504"/>
      <c r="X113" s="504"/>
      <c r="Y113" s="504"/>
      <c r="Z113" s="504"/>
    </row>
    <row r="114" spans="1:26" ht="11.25" customHeight="1">
      <c r="A114" s="257" t="s">
        <v>84</v>
      </c>
      <c r="B114" s="13" t="s">
        <v>31</v>
      </c>
      <c r="C114" s="13">
        <f>SUM('By Lot'!E934:E935,'By Lot'!E951:E952,'By Lot'!E1002:E1003,'By Lot'!E1020:E1021,'By Lot'!E1037:E1038)</f>
        <v>13</v>
      </c>
      <c r="D114" s="109">
        <f>SUM('By Lot'!F934:F935,'By Lot'!F951:F952,'By Lot'!F1002:F1003,'By Lot'!F1020:F1021,'By Lot'!F1037:F1038)</f>
        <v>0</v>
      </c>
      <c r="E114" s="504">
        <f>SUM('By Lot'!G934:G935,'By Lot'!G951:G952,'By Lot'!G1002:G1003,'By Lot'!G1020:G1021,'By Lot'!G1037:G1038)</f>
        <v>0</v>
      </c>
      <c r="F114" s="504">
        <f>SUM('By Lot'!H934:H935,'By Lot'!H951:H952,'By Lot'!H1002:H1003,'By Lot'!H1020:H1021,'By Lot'!H1037:H1038)</f>
        <v>0</v>
      </c>
      <c r="G114" s="504">
        <f>SUM('By Lot'!I934:I935,'By Lot'!I951:I952,'By Lot'!I1002:I1003,'By Lot'!I1020:I1021,'By Lot'!I1037:I1038)</f>
        <v>0</v>
      </c>
      <c r="H114" s="504">
        <f>SUM('By Lot'!J934:J935,'By Lot'!J951:J952,'By Lot'!J1002:J1003,'By Lot'!J1020:J1021,'By Lot'!J1037:J1038)</f>
        <v>0</v>
      </c>
      <c r="I114" s="91">
        <f>SUM('By Lot'!K934:K935,'By Lot'!K951:K952,'By Lot'!K1002:K1003,'By Lot'!K1020:K1021,'By Lot'!K1037:K1038)</f>
        <v>0</v>
      </c>
      <c r="J114" s="91">
        <f>SUM('By Lot'!L934:L935,'By Lot'!L951:L952,'By Lot'!L1002:L1003,'By Lot'!L1020:L1021,'By Lot'!L1037:L1038)</f>
        <v>0</v>
      </c>
      <c r="K114" s="91">
        <f>SUM('By Lot'!M934:M935,'By Lot'!M951:M952,'By Lot'!M1002:M1003,'By Lot'!M1020:M1021,'By Lot'!M1037:M1038)</f>
        <v>0</v>
      </c>
      <c r="L114" s="91">
        <f>SUM('By Lot'!N934:N935,'By Lot'!N951:N952,'By Lot'!N1002:N1003,'By Lot'!N1020:N1021,'By Lot'!N1037:N1038)</f>
        <v>0</v>
      </c>
      <c r="M114" s="108">
        <f>SUM('By Lot'!O934:O935,'By Lot'!O951:O952,'By Lot'!O1002:O1003,'By Lot'!O1020:O1021,'By Lot'!O1037:O1038)</f>
        <v>0</v>
      </c>
      <c r="N114" s="109">
        <f t="shared" ref="N114:N119" si="22">MIN(D114:M114)</f>
        <v>0</v>
      </c>
      <c r="O114" s="504">
        <f t="shared" ref="O114:O119" si="23">C114-N114</f>
        <v>13</v>
      </c>
      <c r="P114" s="107">
        <f t="shared" ref="P114:P119" si="24">O114/C114</f>
        <v>1</v>
      </c>
      <c r="Q114" s="504"/>
      <c r="R114" s="504"/>
      <c r="S114" s="504"/>
      <c r="T114" s="504"/>
      <c r="U114" s="504"/>
      <c r="V114" s="504"/>
      <c r="W114" s="504"/>
      <c r="X114" s="504"/>
      <c r="Y114" s="504"/>
      <c r="Z114" s="504"/>
    </row>
    <row r="115" spans="1:26" ht="11.25" customHeight="1">
      <c r="A115" s="257" t="s">
        <v>85</v>
      </c>
      <c r="B115" s="13" t="s">
        <v>32</v>
      </c>
      <c r="C115" s="13">
        <f>SUM('By Lot'!E936,'By Lot'!E953,'By Lot'!E1006,'By Lot'!E1022,'By Lot'!E1039)</f>
        <v>11</v>
      </c>
      <c r="D115" s="109">
        <f>SUM('By Lot'!F936,'By Lot'!F953,'By Lot'!F1006,'By Lot'!F1022,'By Lot'!F1039)</f>
        <v>3</v>
      </c>
      <c r="E115" s="504">
        <f>SUM('By Lot'!G936,'By Lot'!G953,'By Lot'!G1006,'By Lot'!G1022,'By Lot'!G1039)</f>
        <v>2</v>
      </c>
      <c r="F115" s="504">
        <f>SUM('By Lot'!H936,'By Lot'!H953,'By Lot'!H1006,'By Lot'!H1022,'By Lot'!H1039)</f>
        <v>2</v>
      </c>
      <c r="G115" s="504">
        <f>SUM('By Lot'!I936,'By Lot'!I953,'By Lot'!I1006,'By Lot'!I1022,'By Lot'!I1039)</f>
        <v>3</v>
      </c>
      <c r="H115" s="504">
        <f>SUM('By Lot'!J936,'By Lot'!J953,'By Lot'!J1006,'By Lot'!J1022,'By Lot'!J1039)</f>
        <v>3</v>
      </c>
      <c r="I115" s="91">
        <f>SUM('By Lot'!K936,'By Lot'!K953,'By Lot'!K1006,'By Lot'!K1022,'By Lot'!K1039)</f>
        <v>3</v>
      </c>
      <c r="J115" s="91">
        <f>SUM('By Lot'!L936,'By Lot'!L953,'By Lot'!L1006,'By Lot'!L1022,'By Lot'!L1039)</f>
        <v>3</v>
      </c>
      <c r="K115" s="91">
        <f>SUM('By Lot'!M936,'By Lot'!M953,'By Lot'!M1006,'By Lot'!M1022,'By Lot'!M1039)</f>
        <v>3</v>
      </c>
      <c r="L115" s="91">
        <f>SUM('By Lot'!N936,'By Lot'!N953,'By Lot'!N1006,'By Lot'!N1022,'By Lot'!N1039)</f>
        <v>3</v>
      </c>
      <c r="M115" s="108">
        <f>SUM('By Lot'!O936,'By Lot'!O953,'By Lot'!O1006,'By Lot'!O1022,'By Lot'!O1039)</f>
        <v>3</v>
      </c>
      <c r="N115" s="109">
        <f t="shared" si="22"/>
        <v>2</v>
      </c>
      <c r="O115" s="504">
        <f t="shared" si="23"/>
        <v>9</v>
      </c>
      <c r="P115" s="107">
        <f t="shared" si="24"/>
        <v>0.81818181818181823</v>
      </c>
      <c r="Q115" s="504"/>
      <c r="R115" s="504"/>
      <c r="S115" s="504"/>
      <c r="T115" s="504"/>
      <c r="U115" s="504"/>
      <c r="V115" s="504"/>
      <c r="W115" s="504"/>
      <c r="X115" s="504"/>
      <c r="Y115" s="504"/>
      <c r="Z115" s="504"/>
    </row>
    <row r="116" spans="1:26" ht="11.25" customHeight="1">
      <c r="A116" s="257" t="s">
        <v>86</v>
      </c>
      <c r="B116" s="13" t="s">
        <v>33</v>
      </c>
      <c r="C116" s="13">
        <f>SUM('By Lot'!E937:E942,'By Lot'!E954:E959,'By Lot'!E1007:E1011,'By Lot'!E1023:E1028,'By Lot'!E1040:E1045)</f>
        <v>11</v>
      </c>
      <c r="D116" s="109">
        <f>SUM('By Lot'!F937:F942,'By Lot'!F954:F959,'By Lot'!F1007:F1011,'By Lot'!F1023:F1028,'By Lot'!F1040:F1045)</f>
        <v>2</v>
      </c>
      <c r="E116" s="504">
        <f>SUM('By Lot'!G937:G942,'By Lot'!G954:G959,'By Lot'!G1007:G1011,'By Lot'!G1023:G1028,'By Lot'!G1040:G1045)</f>
        <v>2</v>
      </c>
      <c r="F116" s="504">
        <f>SUM('By Lot'!H937:H942,'By Lot'!H954:H959,'By Lot'!H1007:H1011,'By Lot'!H1023:H1028,'By Lot'!H1040:H1045)</f>
        <v>2</v>
      </c>
      <c r="G116" s="504">
        <f>SUM('By Lot'!I937:I942,'By Lot'!I954:I959,'By Lot'!I1007:I1011,'By Lot'!I1023:I1028,'By Lot'!I1040:I1045)</f>
        <v>2</v>
      </c>
      <c r="H116" s="504">
        <f>SUM('By Lot'!J937:J942,'By Lot'!J954:J959,'By Lot'!J1007:J1011,'By Lot'!J1023:J1028,'By Lot'!J1040:J1045)</f>
        <v>2</v>
      </c>
      <c r="I116" s="91">
        <f>SUM('By Lot'!K937:K942,'By Lot'!K954:K959,'By Lot'!K1007:K1011,'By Lot'!K1023:K1028,'By Lot'!K1040:K1045)</f>
        <v>2</v>
      </c>
      <c r="J116" s="91">
        <f>SUM('By Lot'!L937:L942,'By Lot'!L954:L959,'By Lot'!L1007:L1011,'By Lot'!L1023:L1028,'By Lot'!L1040:L1045)</f>
        <v>3</v>
      </c>
      <c r="K116" s="91">
        <f>SUM('By Lot'!M937:M942,'By Lot'!M954:M959,'By Lot'!M1007:M1011,'By Lot'!M1023:M1028,'By Lot'!M1040:M1045)</f>
        <v>3</v>
      </c>
      <c r="L116" s="91">
        <f>SUM('By Lot'!N937:N942,'By Lot'!N954:N959,'By Lot'!N1007:N1011,'By Lot'!N1023:N1028,'By Lot'!N1040:N1045)</f>
        <v>3</v>
      </c>
      <c r="M116" s="108">
        <f>SUM('By Lot'!O937:O942,'By Lot'!O954:O959,'By Lot'!O1007:O1011,'By Lot'!O1023:O1028,'By Lot'!O1040:O1045)</f>
        <v>3</v>
      </c>
      <c r="N116" s="109">
        <f t="shared" si="22"/>
        <v>2</v>
      </c>
      <c r="O116" s="504">
        <f t="shared" si="23"/>
        <v>9</v>
      </c>
      <c r="P116" s="107">
        <f t="shared" si="24"/>
        <v>0.81818181818181823</v>
      </c>
      <c r="Q116" s="504"/>
      <c r="R116" s="504"/>
      <c r="S116" s="504"/>
      <c r="T116" s="504"/>
      <c r="U116" s="504"/>
      <c r="V116" s="504"/>
      <c r="W116" s="504"/>
      <c r="X116" s="504"/>
      <c r="Y116" s="504"/>
      <c r="Z116" s="504"/>
    </row>
    <row r="117" spans="1:26" ht="11.25" customHeight="1">
      <c r="A117" s="257" t="s">
        <v>87</v>
      </c>
      <c r="B117" s="13" t="s">
        <v>34</v>
      </c>
      <c r="C117" s="13">
        <f>SUM('By Lot'!E943,'By Lot'!E960,'By Lot'!E1012,'By Lot'!E1029,'By Lot'!E1046)</f>
        <v>7</v>
      </c>
      <c r="D117" s="109">
        <f>SUM('By Lot'!F943,'By Lot'!F960,'By Lot'!F1012,'By Lot'!F1029,'By Lot'!F1046)</f>
        <v>0</v>
      </c>
      <c r="E117" s="504">
        <f>SUM('By Lot'!G943,'By Lot'!G960,'By Lot'!G1012,'By Lot'!G1029,'By Lot'!G1046)</f>
        <v>0</v>
      </c>
      <c r="F117" s="504">
        <f>SUM('By Lot'!H943,'By Lot'!H960,'By Lot'!H1012,'By Lot'!H1029,'By Lot'!H1046)</f>
        <v>0</v>
      </c>
      <c r="G117" s="504">
        <f>SUM('By Lot'!I943,'By Lot'!I960,'By Lot'!I1012,'By Lot'!I1029,'By Lot'!I1046)</f>
        <v>0</v>
      </c>
      <c r="H117" s="504">
        <f>SUM('By Lot'!J943,'By Lot'!J960,'By Lot'!J1012,'By Lot'!J1029,'By Lot'!J1046)</f>
        <v>0</v>
      </c>
      <c r="I117" s="504">
        <f>SUM('By Lot'!K943,'By Lot'!K960,'By Lot'!K1012,'By Lot'!K1029,'By Lot'!K1046)</f>
        <v>0</v>
      </c>
      <c r="J117" s="504">
        <f>SUM('By Lot'!L943,'By Lot'!L960,'By Lot'!L1012,'By Lot'!L1029,'By Lot'!L1046)</f>
        <v>0</v>
      </c>
      <c r="K117" s="504">
        <f>SUM('By Lot'!M943,'By Lot'!M960,'By Lot'!M1012,'By Lot'!M1029,'By Lot'!M1046)</f>
        <v>0</v>
      </c>
      <c r="L117" s="504">
        <f>SUM('By Lot'!N943,'By Lot'!N960,'By Lot'!N1012,'By Lot'!N1029,'By Lot'!N1046)</f>
        <v>1</v>
      </c>
      <c r="M117" s="110">
        <f>SUM('By Lot'!O943,'By Lot'!O960,'By Lot'!O1012,'By Lot'!O1029,'By Lot'!O1046)</f>
        <v>1</v>
      </c>
      <c r="N117" s="109">
        <f t="shared" si="22"/>
        <v>0</v>
      </c>
      <c r="O117" s="504">
        <f t="shared" si="23"/>
        <v>7</v>
      </c>
      <c r="P117" s="107">
        <f t="shared" si="24"/>
        <v>1</v>
      </c>
      <c r="Q117" s="504"/>
      <c r="R117" s="504"/>
      <c r="S117" s="504"/>
      <c r="T117" s="504"/>
      <c r="U117" s="504"/>
      <c r="V117" s="504"/>
      <c r="W117" s="504"/>
      <c r="X117" s="504"/>
      <c r="Y117" s="504"/>
      <c r="Z117" s="504"/>
    </row>
    <row r="118" spans="1:26" ht="11.25" customHeight="1">
      <c r="A118" s="257" t="s">
        <v>88</v>
      </c>
      <c r="B118" s="13" t="s">
        <v>35</v>
      </c>
      <c r="C118" s="13">
        <f>SUM('By Lot'!E944,'By Lot'!E961,'By Lot'!E1013,'By Lot'!E1030,'By Lot'!E1047)</f>
        <v>7</v>
      </c>
      <c r="D118" s="109">
        <f>SUM('By Lot'!F944,'By Lot'!F961,'By Lot'!F1013,'By Lot'!F1030,'By Lot'!F1047)</f>
        <v>3</v>
      </c>
      <c r="E118" s="504">
        <f>SUM('By Lot'!G944,'By Lot'!G961,'By Lot'!G1013,'By Lot'!G1030,'By Lot'!G1047)</f>
        <v>3</v>
      </c>
      <c r="F118" s="504">
        <f>SUM('By Lot'!H944,'By Lot'!H961,'By Lot'!H1013,'By Lot'!H1030,'By Lot'!H1047)</f>
        <v>2</v>
      </c>
      <c r="G118" s="504">
        <f>SUM('By Lot'!I944,'By Lot'!I961,'By Lot'!I1013,'By Lot'!I1030,'By Lot'!I1047)</f>
        <v>0</v>
      </c>
      <c r="H118" s="504">
        <f>SUM('By Lot'!J944,'By Lot'!J961,'By Lot'!J1013,'By Lot'!J1030,'By Lot'!J1047)</f>
        <v>1</v>
      </c>
      <c r="I118" s="504">
        <f>SUM('By Lot'!K944,'By Lot'!K961,'By Lot'!K1013,'By Lot'!K1030,'By Lot'!K1047)</f>
        <v>3</v>
      </c>
      <c r="J118" s="504">
        <f>SUM('By Lot'!L944,'By Lot'!L961,'By Lot'!L1013,'By Lot'!L1030,'By Lot'!L1047)</f>
        <v>3</v>
      </c>
      <c r="K118" s="504">
        <f>SUM('By Lot'!M944,'By Lot'!M961,'By Lot'!M1013,'By Lot'!M1030,'By Lot'!M1047)</f>
        <v>3</v>
      </c>
      <c r="L118" s="504">
        <f>SUM('By Lot'!N944,'By Lot'!N961,'By Lot'!N1013,'By Lot'!N1030,'By Lot'!N1047)</f>
        <v>3</v>
      </c>
      <c r="M118" s="110">
        <f>SUM('By Lot'!O944,'By Lot'!O961,'By Lot'!O1013,'By Lot'!O1030,'By Lot'!O1047)</f>
        <v>3</v>
      </c>
      <c r="N118" s="109">
        <f t="shared" si="22"/>
        <v>0</v>
      </c>
      <c r="O118" s="504">
        <f t="shared" si="23"/>
        <v>7</v>
      </c>
      <c r="P118" s="107">
        <f t="shared" si="24"/>
        <v>1</v>
      </c>
      <c r="Q118" s="504"/>
      <c r="R118" s="504"/>
      <c r="S118" s="504"/>
      <c r="T118" s="504"/>
      <c r="U118" s="504"/>
      <c r="V118" s="504"/>
      <c r="W118" s="504"/>
      <c r="X118" s="504"/>
      <c r="Y118" s="504"/>
      <c r="Z118" s="504"/>
    </row>
    <row r="119" spans="1:26" ht="11.25" customHeight="1">
      <c r="A119" s="13"/>
      <c r="B119" s="13" t="s">
        <v>36</v>
      </c>
      <c r="C119" s="13">
        <f>SUM('By Lot'!E945,'By Lot'!E962,'By Lot'!E1014,'By Lot'!E1031,'By Lot'!E1048)</f>
        <v>2</v>
      </c>
      <c r="D119" s="109">
        <f>SUM('By Lot'!F945,'By Lot'!F962,'By Lot'!F1014,'By Lot'!F1031,'By Lot'!F1048)</f>
        <v>0</v>
      </c>
      <c r="E119" s="504">
        <f>SUM('By Lot'!G945,'By Lot'!G962,'By Lot'!G1014,'By Lot'!G1031,'By Lot'!G1048)</f>
        <v>0</v>
      </c>
      <c r="F119" s="504">
        <f>SUM('By Lot'!H945,'By Lot'!H962,'By Lot'!H1014,'By Lot'!H1031,'By Lot'!H1048)</f>
        <v>0</v>
      </c>
      <c r="G119" s="504">
        <f>SUM('By Lot'!I945,'By Lot'!I962,'By Lot'!I1014,'By Lot'!I1031,'By Lot'!I1048)</f>
        <v>0</v>
      </c>
      <c r="H119" s="504">
        <f>SUM('By Lot'!J945,'By Lot'!J962,'By Lot'!J1014,'By Lot'!J1031,'By Lot'!J1048)</f>
        <v>0</v>
      </c>
      <c r="I119" s="504">
        <f>SUM('By Lot'!K945,'By Lot'!K962,'By Lot'!K1014,'By Lot'!K1031,'By Lot'!K1048)</f>
        <v>0</v>
      </c>
      <c r="J119" s="504">
        <f>SUM('By Lot'!L945,'By Lot'!L962,'By Lot'!L1014,'By Lot'!L1031,'By Lot'!L1048)</f>
        <v>0</v>
      </c>
      <c r="K119" s="504">
        <f>SUM('By Lot'!M945,'By Lot'!M962,'By Lot'!M1014,'By Lot'!M1031,'By Lot'!M1048)</f>
        <v>0</v>
      </c>
      <c r="L119" s="504">
        <f>SUM('By Lot'!N945,'By Lot'!N962,'By Lot'!N1014,'By Lot'!N1031,'By Lot'!N1048)</f>
        <v>0</v>
      </c>
      <c r="M119" s="110">
        <f>SUM('By Lot'!O945,'By Lot'!O962,'By Lot'!O1014,'By Lot'!O1031,'By Lot'!O1048)</f>
        <v>0</v>
      </c>
      <c r="N119" s="109">
        <f t="shared" si="22"/>
        <v>0</v>
      </c>
      <c r="O119" s="504">
        <f t="shared" si="23"/>
        <v>2</v>
      </c>
      <c r="P119" s="107">
        <f t="shared" si="24"/>
        <v>1</v>
      </c>
      <c r="Q119" s="504"/>
      <c r="R119" s="504"/>
      <c r="S119" s="504"/>
      <c r="T119" s="504"/>
      <c r="U119" s="504"/>
      <c r="V119" s="504"/>
      <c r="W119" s="504"/>
      <c r="X119" s="504"/>
      <c r="Y119" s="504"/>
      <c r="Z119" s="504"/>
    </row>
    <row r="120" spans="1:26" ht="11.25" customHeight="1">
      <c r="A120" s="13"/>
      <c r="B120" s="13" t="s">
        <v>37</v>
      </c>
      <c r="C120" s="13"/>
      <c r="D120" s="109"/>
      <c r="E120" s="504"/>
      <c r="F120" s="504"/>
      <c r="G120" s="504"/>
      <c r="H120" s="504"/>
      <c r="I120" s="504"/>
      <c r="J120" s="504"/>
      <c r="K120" s="504"/>
      <c r="L120" s="504"/>
      <c r="M120" s="110"/>
      <c r="N120" s="109"/>
      <c r="O120" s="504"/>
      <c r="P120" s="107"/>
      <c r="Q120" s="504"/>
      <c r="R120" s="504"/>
      <c r="S120" s="504"/>
      <c r="T120" s="504"/>
      <c r="U120" s="504"/>
      <c r="V120" s="504"/>
      <c r="W120" s="504"/>
      <c r="X120" s="504"/>
      <c r="Y120" s="504"/>
      <c r="Z120" s="504"/>
    </row>
    <row r="121" spans="1:26" ht="11.25" customHeight="1">
      <c r="A121" s="2"/>
      <c r="B121" s="3" t="s">
        <v>38</v>
      </c>
      <c r="C121" s="3">
        <f t="shared" ref="C121:M121" si="25">SUM(C111:C120)</f>
        <v>244</v>
      </c>
      <c r="D121" s="21">
        <f t="shared" si="25"/>
        <v>24</v>
      </c>
      <c r="E121" s="71">
        <f t="shared" si="25"/>
        <v>21</v>
      </c>
      <c r="F121" s="71">
        <f t="shared" si="25"/>
        <v>18</v>
      </c>
      <c r="G121" s="71">
        <f t="shared" si="25"/>
        <v>21</v>
      </c>
      <c r="H121" s="71">
        <f t="shared" si="25"/>
        <v>24</v>
      </c>
      <c r="I121" s="70">
        <f t="shared" si="25"/>
        <v>32</v>
      </c>
      <c r="J121" s="70">
        <f t="shared" si="25"/>
        <v>25</v>
      </c>
      <c r="K121" s="70">
        <f t="shared" si="25"/>
        <v>23</v>
      </c>
      <c r="L121" s="70">
        <f t="shared" si="25"/>
        <v>33</v>
      </c>
      <c r="M121" s="27">
        <f t="shared" si="25"/>
        <v>27</v>
      </c>
      <c r="N121" s="21">
        <f>MIN(D121:M121)</f>
        <v>18</v>
      </c>
      <c r="O121" s="71">
        <f>C121-N121</f>
        <v>226</v>
      </c>
      <c r="P121" s="7">
        <f>O121/C121</f>
        <v>0.92622950819672134</v>
      </c>
      <c r="Q121" s="504"/>
      <c r="R121" s="504"/>
      <c r="S121" s="504"/>
      <c r="T121" s="504"/>
      <c r="U121" s="504"/>
      <c r="V121" s="504"/>
      <c r="W121" s="504"/>
      <c r="X121" s="504"/>
      <c r="Y121" s="504"/>
      <c r="Z121" s="504"/>
    </row>
    <row r="122" spans="1:26" ht="11.25" customHeight="1">
      <c r="A122" s="397" t="s">
        <v>89</v>
      </c>
      <c r="B122" s="13" t="s">
        <v>23</v>
      </c>
      <c r="C122" s="13"/>
      <c r="D122" s="109"/>
      <c r="E122" s="504"/>
      <c r="F122" s="504"/>
      <c r="G122" s="504"/>
      <c r="H122" s="504"/>
      <c r="I122" s="504"/>
      <c r="J122" s="504"/>
      <c r="K122" s="504"/>
      <c r="L122" s="504"/>
      <c r="M122" s="110"/>
      <c r="N122" s="109"/>
      <c r="O122" s="504"/>
      <c r="P122" s="107"/>
      <c r="Q122" s="504"/>
      <c r="R122" s="504"/>
      <c r="S122" s="504"/>
      <c r="T122" s="504"/>
      <c r="U122" s="504"/>
      <c r="V122" s="504"/>
      <c r="W122" s="504"/>
      <c r="X122" s="504"/>
      <c r="Y122" s="504"/>
      <c r="Z122" s="504"/>
    </row>
    <row r="123" spans="1:26" ht="11.25" customHeight="1">
      <c r="A123" s="13" t="s">
        <v>90</v>
      </c>
      <c r="B123" s="13" t="s">
        <v>25</v>
      </c>
      <c r="C123" s="13">
        <f>SUM('By Lot'!E1154,'By Lot'!E1171,'By Lot'!E1188,'By Lot'!E1205,
'By Lot'!E1222,'By Lot'!E1239,'By Lot'!E1256,'By Lot'!E1274,
'By Lot'!E1291,'By Lot'!E1308,'By Lot'!E1325)</f>
        <v>714</v>
      </c>
      <c r="D123" s="109">
        <f>SUM('By Lot'!F1154,'By Lot'!F1171,'By Lot'!F1188,'By Lot'!F1205,'By Lot'!F1222,'By Lot'!F1239,'By Lot'!F1256,'By Lot'!F1274,'By Lot'!F1291,'By Lot'!F1308,'By Lot'!F1325)</f>
        <v>665</v>
      </c>
      <c r="E123" s="504">
        <f>SUM('By Lot'!G1154,'By Lot'!G1171,'By Lot'!G1188,'By Lot'!G1205,'By Lot'!G1222,'By Lot'!G1239,'By Lot'!G1256,'By Lot'!G1274,'By Lot'!G1291,'By Lot'!G1308,'By Lot'!G1325)</f>
        <v>665</v>
      </c>
      <c r="F123" s="504">
        <f>SUM('By Lot'!H1154,'By Lot'!H1171,'By Lot'!H1188,'By Lot'!H1205,'By Lot'!H1222,'By Lot'!H1239,'By Lot'!H1256,'By Lot'!H1274,'By Lot'!H1291,'By Lot'!H1308,'By Lot'!H1325)</f>
        <v>656</v>
      </c>
      <c r="G123" s="504">
        <f>SUM('By Lot'!I1154,'By Lot'!I1171,'By Lot'!I1188,'By Lot'!I1205,'By Lot'!I1222,'By Lot'!I1239,'By Lot'!I1256,'By Lot'!I1274,'By Lot'!I1291,'By Lot'!I1308,'By Lot'!I1325)</f>
        <v>644</v>
      </c>
      <c r="H123" s="504">
        <f>SUM('By Lot'!J1154,'By Lot'!J1171,'By Lot'!J1188,'By Lot'!J1205,'By Lot'!J1222,'By Lot'!J1239,'By Lot'!J1256,'By Lot'!J1274,'By Lot'!J1291,'By Lot'!J1308,'By Lot'!J1325)</f>
        <v>623</v>
      </c>
      <c r="I123" s="504">
        <f>SUM('By Lot'!K1154,'By Lot'!K1171,'By Lot'!K1188,'By Lot'!K1205,'By Lot'!K1222,'By Lot'!K1239,'By Lot'!K1256,'By Lot'!K1274,'By Lot'!K1291,'By Lot'!K1308,'By Lot'!K1325)</f>
        <v>627</v>
      </c>
      <c r="J123" s="504">
        <f>SUM('By Lot'!L1154,'By Lot'!L1171,'By Lot'!L1188,'By Lot'!L1205,'By Lot'!L1222,'By Lot'!L1239,'By Lot'!L1256,'By Lot'!L1274,'By Lot'!L1291,'By Lot'!L1308,'By Lot'!L1325)</f>
        <v>649</v>
      </c>
      <c r="K123" s="504">
        <f>SUM('By Lot'!M1154,'By Lot'!M1171,'By Lot'!M1188,'By Lot'!M1205,'By Lot'!M1222,'By Lot'!M1239,'By Lot'!M1256,'By Lot'!M1274,'By Lot'!M1291,'By Lot'!M1308,'By Lot'!M1325)</f>
        <v>648</v>
      </c>
      <c r="L123" s="504">
        <f>SUM('By Lot'!N1154,'By Lot'!N1171,'By Lot'!N1188,'By Lot'!N1205,'By Lot'!N1222,'By Lot'!N1239,'By Lot'!N1256,'By Lot'!N1274,'By Lot'!N1291,'By Lot'!N1308,'By Lot'!N1325)</f>
        <v>668</v>
      </c>
      <c r="M123" s="110">
        <f>SUM('By Lot'!O1154,'By Lot'!O1171,'By Lot'!O1188,'By Lot'!O1205,'By Lot'!O1222,'By Lot'!O1239,'By Lot'!O1256,'By Lot'!O1274,'By Lot'!O1291,'By Lot'!O1308,'By Lot'!O1325)</f>
        <v>677</v>
      </c>
      <c r="N123" s="109">
        <f t="shared" ref="N123:N139" si="26">MIN(D123:M123)</f>
        <v>623</v>
      </c>
      <c r="O123" s="504">
        <f t="shared" ref="O123:O139" si="27">C123-N123</f>
        <v>91</v>
      </c>
      <c r="P123" s="107">
        <f t="shared" ref="P123:P139" si="28">O123/C123</f>
        <v>0.12745098039215685</v>
      </c>
      <c r="Q123" s="504"/>
      <c r="R123" s="504"/>
      <c r="S123" s="504"/>
      <c r="T123" s="504"/>
      <c r="U123" s="504"/>
      <c r="V123" s="504"/>
      <c r="W123" s="504"/>
      <c r="X123" s="504"/>
      <c r="Y123" s="504"/>
      <c r="Z123" s="504"/>
    </row>
    <row r="124" spans="1:26" ht="11.25" customHeight="1">
      <c r="A124" s="13" t="s">
        <v>91</v>
      </c>
      <c r="B124" s="13" t="s">
        <v>27</v>
      </c>
      <c r="C124" s="109">
        <f>SUM('By Lot'!E1155,'By Lot'!E1172,'By Lot'!E1189,'By Lot'!E1206,
'By Lot'!E1223,'By Lot'!E1257,'By Lot'!E1275,
'By Lot'!E1292,'By Lot'!E1309,'By Lot'!E1326)</f>
        <v>9</v>
      </c>
      <c r="D124" s="109">
        <f>SUM('By Lot'!F1155,'By Lot'!F1172,'By Lot'!F1189,'By Lot'!F1206,
'By Lot'!F1223,'By Lot'!F1257,'By Lot'!F1275,
'By Lot'!F1292,'By Lot'!F1309,'By Lot'!F1326)</f>
        <v>9</v>
      </c>
      <c r="E124" s="504">
        <f>SUM('By Lot'!G1155,'By Lot'!G1172,'By Lot'!G1189,'By Lot'!G1206,
'By Lot'!G1223,'By Lot'!G1257,'By Lot'!G1275,
'By Lot'!G1292,'By Lot'!G1309,'By Lot'!G1326)</f>
        <v>9</v>
      </c>
      <c r="F124" s="504">
        <f>SUM('By Lot'!H1155,'By Lot'!H1172,'By Lot'!H1189,'By Lot'!H1206,
'By Lot'!H1223,'By Lot'!H1257,'By Lot'!H1275,
'By Lot'!H1292,'By Lot'!H1309,'By Lot'!H1326)</f>
        <v>9</v>
      </c>
      <c r="G124" s="504">
        <f>SUM('By Lot'!I1155,'By Lot'!I1172,'By Lot'!I1189,'By Lot'!I1206,
'By Lot'!I1223,'By Lot'!I1257,'By Lot'!I1275,
'By Lot'!I1292,'By Lot'!I1309,'By Lot'!I1326)</f>
        <v>9</v>
      </c>
      <c r="H124" s="504">
        <f>SUM('By Lot'!J1155,'By Lot'!J1172,'By Lot'!J1189,'By Lot'!J1206,
'By Lot'!J1223,'By Lot'!J1257,'By Lot'!J1275,
'By Lot'!J1292,'By Lot'!J1309,'By Lot'!J1326)</f>
        <v>9</v>
      </c>
      <c r="I124" s="504">
        <f>SUM('By Lot'!K1155,'By Lot'!K1172,'By Lot'!K1189,'By Lot'!K1206,
'By Lot'!K1223,'By Lot'!K1257,'By Lot'!K1275,
'By Lot'!K1292,'By Lot'!K1309,'By Lot'!K1326)</f>
        <v>9</v>
      </c>
      <c r="J124" s="504">
        <f>SUM('By Lot'!L1155,'By Lot'!L1172,'By Lot'!L1189,'By Lot'!L1206,
'By Lot'!L1223,'By Lot'!L1257,'By Lot'!L1275,
'By Lot'!L1292,'By Lot'!L1309,'By Lot'!L1326)</f>
        <v>9</v>
      </c>
      <c r="K124" s="504">
        <f>SUM('By Lot'!M1155,'By Lot'!M1172,'By Lot'!M1189,'By Lot'!M1206,
'By Lot'!M1223,'By Lot'!M1257,'By Lot'!M1275,
'By Lot'!M1292,'By Lot'!M1309,'By Lot'!M1326)</f>
        <v>9</v>
      </c>
      <c r="L124" s="504">
        <f>SUM('By Lot'!N1155,'By Lot'!N1172,'By Lot'!N1189,'By Lot'!N1206,
'By Lot'!N1223,'By Lot'!N1257,'By Lot'!N1275,
'By Lot'!N1292,'By Lot'!N1309,'By Lot'!N1326)</f>
        <v>9</v>
      </c>
      <c r="M124" s="110">
        <f>SUM('By Lot'!O1155,'By Lot'!O1172,'By Lot'!O1189,'By Lot'!O1206,
'By Lot'!O1223,'By Lot'!O1257,'By Lot'!O1275,
'By Lot'!O1292,'By Lot'!O1309,'By Lot'!O1326)</f>
        <v>9</v>
      </c>
      <c r="N124" s="504">
        <f t="shared" si="26"/>
        <v>9</v>
      </c>
      <c r="O124" s="504">
        <f t="shared" si="27"/>
        <v>0</v>
      </c>
      <c r="P124" s="107">
        <f t="shared" si="28"/>
        <v>0</v>
      </c>
      <c r="Q124" s="504"/>
      <c r="R124" s="504"/>
      <c r="S124" s="504"/>
      <c r="T124" s="504"/>
      <c r="U124" s="504"/>
      <c r="V124" s="504"/>
      <c r="W124" s="504"/>
      <c r="X124" s="504"/>
      <c r="Y124" s="504"/>
      <c r="Z124" s="504"/>
    </row>
    <row r="125" spans="1:26" ht="11.25" customHeight="1">
      <c r="A125" s="1" t="s">
        <v>92</v>
      </c>
      <c r="B125" s="13" t="s">
        <v>93</v>
      </c>
      <c r="C125" s="109">
        <f>SUM('By Lot'!E1240)</f>
        <v>398</v>
      </c>
      <c r="D125" s="109">
        <f>SUM('By Lot'!F1240)</f>
        <v>396</v>
      </c>
      <c r="E125" s="504">
        <f>SUM('By Lot'!G1240)</f>
        <v>396</v>
      </c>
      <c r="F125" s="504">
        <f>SUM('By Lot'!H1240)</f>
        <v>396</v>
      </c>
      <c r="G125" s="504">
        <f>SUM('By Lot'!I1240)</f>
        <v>396</v>
      </c>
      <c r="H125" s="504">
        <f>SUM('By Lot'!J1240)</f>
        <v>395</v>
      </c>
      <c r="I125" s="504">
        <f>SUM('By Lot'!K1240)</f>
        <v>393</v>
      </c>
      <c r="J125" s="504">
        <f>SUM('By Lot'!L1240)</f>
        <v>395</v>
      </c>
      <c r="K125" s="504">
        <f>SUM('By Lot'!M1240)</f>
        <v>388</v>
      </c>
      <c r="L125" s="504">
        <f>SUM('By Lot'!N1240)</f>
        <v>387</v>
      </c>
      <c r="M125" s="110">
        <f>SUM('By Lot'!O1240)</f>
        <v>397</v>
      </c>
      <c r="N125" s="504">
        <f t="shared" si="26"/>
        <v>387</v>
      </c>
      <c r="O125" s="504">
        <f t="shared" si="27"/>
        <v>11</v>
      </c>
      <c r="P125" s="107">
        <f t="shared" si="28"/>
        <v>2.7638190954773871E-2</v>
      </c>
      <c r="Q125" s="504"/>
      <c r="R125" s="504"/>
      <c r="S125" s="504"/>
      <c r="T125" s="504"/>
      <c r="U125" s="504"/>
      <c r="V125" s="504"/>
      <c r="W125" s="504"/>
      <c r="X125" s="504"/>
      <c r="Y125" s="504"/>
      <c r="Z125" s="504"/>
    </row>
    <row r="126" spans="1:26" ht="11.25" customHeight="1">
      <c r="A126" s="1" t="s">
        <v>94</v>
      </c>
      <c r="B126" s="13" t="s">
        <v>31</v>
      </c>
      <c r="C126" s="13">
        <f>SUM('By Lot'!E1156:E1157,'By Lot'!E1173:E1174,'By Lot'!E1190:E1191,'By Lot'!E1207:E1208,
'By Lot'!E1224:E1225,'By Lot'!E1241:E1242,'By Lot'!E1258:E1259,'By Lot'!E1276:E1277,
'By Lot'!E1293:E1294,'By Lot'!E1310:E1311,'By Lot'!E1327:E1328)</f>
        <v>249</v>
      </c>
      <c r="D126" s="109">
        <f>SUM('By Lot'!F1156:F1157,'By Lot'!F1173:F1174,'By Lot'!F1190:F1191,'By Lot'!F1207:F1208,'By Lot'!F1224:F1225,'By Lot'!F1241:F1242,'By Lot'!F1258:F1259,'By Lot'!F1276:F1277,'By Lot'!F1293:F1294,'By Lot'!F1310:F1311,'By Lot'!F1327:F1328)</f>
        <v>215</v>
      </c>
      <c r="E126" s="504">
        <f>SUM('By Lot'!G1156:G1157,'By Lot'!G1173:G1174,'By Lot'!G1190:G1191,'By Lot'!G1207:G1208,'By Lot'!G1224:G1225,'By Lot'!G1241:G1242,'By Lot'!G1258:G1259,'By Lot'!G1276:G1277,'By Lot'!G1293:G1294,'By Lot'!G1310:G1311,'By Lot'!G1327:G1328)</f>
        <v>212</v>
      </c>
      <c r="F126" s="504">
        <f>SUM('By Lot'!H1156:H1157,'By Lot'!H1173:H1174,'By Lot'!H1190:H1191,'By Lot'!H1207:H1208,'By Lot'!H1224:H1225,'By Lot'!H1241:H1242,'By Lot'!H1258:H1259,'By Lot'!H1276:H1277,'By Lot'!H1293:H1294,'By Lot'!H1310:H1311,'By Lot'!H1327:H1328)</f>
        <v>179</v>
      </c>
      <c r="G126" s="504">
        <f>SUM('By Lot'!I1156:I1157,'By Lot'!I1173:I1174,'By Lot'!I1190:I1191,'By Lot'!I1207:I1208,'By Lot'!I1224:I1225,'By Lot'!I1241:I1242,'By Lot'!I1258:I1259,'By Lot'!I1276:I1277,'By Lot'!I1293:I1294,'By Lot'!I1310:I1311,'By Lot'!I1327:I1328)</f>
        <v>172</v>
      </c>
      <c r="H126" s="504">
        <f>SUM('By Lot'!J1156:J1157,'By Lot'!J1173:J1174,'By Lot'!J1190:J1191,'By Lot'!J1207:J1208,'By Lot'!J1224:J1225,'By Lot'!J1241:J1242,'By Lot'!J1258:J1259,'By Lot'!J1276:J1277,'By Lot'!J1293:J1294,'By Lot'!J1310:J1311,'By Lot'!J1327:J1328)</f>
        <v>167</v>
      </c>
      <c r="I126" s="504">
        <f>SUM('By Lot'!K1156:K1157,'By Lot'!K1173:K1174,'By Lot'!K1190:K1191,'By Lot'!K1207:K1208,'By Lot'!K1224:K1225,'By Lot'!K1241:K1242,'By Lot'!K1258:K1259,'By Lot'!K1276:K1277,'By Lot'!K1293:K1294,'By Lot'!K1310:K1311,'By Lot'!K1327:K1328)</f>
        <v>163</v>
      </c>
      <c r="J126" s="504">
        <f>SUM('By Lot'!L1156:L1157,'By Lot'!L1173:L1174,'By Lot'!L1190:L1191,'By Lot'!L1207:L1208,'By Lot'!L1224:L1225,'By Lot'!L1241:L1242,'By Lot'!L1258:L1259,'By Lot'!L1276:L1277,'By Lot'!L1293:L1294,'By Lot'!L1310:L1311,'By Lot'!L1327:L1328)</f>
        <v>168</v>
      </c>
      <c r="K126" s="504">
        <f>SUM('By Lot'!M1156:M1157,'By Lot'!M1173:M1174,'By Lot'!M1190:M1191,'By Lot'!M1207:M1208,'By Lot'!M1224:M1225,'By Lot'!M1241:M1242,'By Lot'!M1258:M1259,'By Lot'!M1276:M1277,'By Lot'!M1293:M1294,'By Lot'!M1310:M1311,'By Lot'!M1327:M1328)</f>
        <v>208</v>
      </c>
      <c r="L126" s="504">
        <f>SUM('By Lot'!N1156:N1157,'By Lot'!N1173:N1174,'By Lot'!N1190:N1191,'By Lot'!N1207:N1208,'By Lot'!N1224:N1225,'By Lot'!N1241:N1242,'By Lot'!N1258:N1259,'By Lot'!N1276:N1277,'By Lot'!N1293:N1294,'By Lot'!N1310:N1311,'By Lot'!N1327:N1328)</f>
        <v>233</v>
      </c>
      <c r="M126" s="110">
        <f>SUM('By Lot'!O1156:O1157,'By Lot'!O1173:O1174,'By Lot'!O1190:O1191,'By Lot'!O1207:O1208,'By Lot'!O1224:O1225,'By Lot'!O1241:O1242,'By Lot'!O1258:O1259,'By Lot'!O1276:O1277,'By Lot'!O1293:O1294,'By Lot'!O1310:O1311,'By Lot'!O1327:O1328)</f>
        <v>233</v>
      </c>
      <c r="N126" s="109">
        <f t="shared" si="26"/>
        <v>163</v>
      </c>
      <c r="O126" s="504">
        <f t="shared" si="27"/>
        <v>86</v>
      </c>
      <c r="P126" s="107">
        <f t="shared" si="28"/>
        <v>0.34538152610441769</v>
      </c>
      <c r="Q126" s="504"/>
      <c r="R126" s="504"/>
      <c r="S126" s="504"/>
      <c r="T126" s="504"/>
      <c r="U126" s="504"/>
      <c r="V126" s="504"/>
      <c r="W126" s="504"/>
      <c r="X126" s="504"/>
      <c r="Y126" s="504"/>
      <c r="Z126" s="504"/>
    </row>
    <row r="127" spans="1:26" ht="11.25" customHeight="1">
      <c r="A127" s="1" t="s">
        <v>95</v>
      </c>
      <c r="B127" s="13" t="s">
        <v>32</v>
      </c>
      <c r="C127" s="13">
        <f>SUM('By Lot'!E1158,'By Lot'!E1175,'By Lot'!E1192,'By Lot'!E1209,
'By Lot'!E1226,'By Lot'!E1243,'By Lot'!E1260,'By Lot'!E1278,
'By Lot'!E1295,'By Lot'!E1312,'By Lot'!E1329, )</f>
        <v>20</v>
      </c>
      <c r="D127" s="109">
        <f>SUM('By Lot'!F1158,'By Lot'!F1175,'By Lot'!F1192,'By Lot'!F1209,'By Lot'!F1226,'By Lot'!F1243,'By Lot'!F1260,'By Lot'!F1278,'By Lot'!F1295,'By Lot'!F1312,'By Lot'!F1329, )</f>
        <v>17</v>
      </c>
      <c r="E127" s="504">
        <f>SUM('By Lot'!G1158,'By Lot'!G1175,'By Lot'!G1192,'By Lot'!G1209,'By Lot'!G1226,'By Lot'!G1243,'By Lot'!G1260,'By Lot'!G1278,'By Lot'!G1295,'By Lot'!G1312,'By Lot'!G1329, )</f>
        <v>17</v>
      </c>
      <c r="F127" s="504">
        <f>SUM('By Lot'!H1158,'By Lot'!H1175,'By Lot'!H1192,'By Lot'!H1209,'By Lot'!H1226,'By Lot'!H1243,'By Lot'!H1260,'By Lot'!H1278,'By Lot'!H1295,'By Lot'!H1312,'By Lot'!H1329, )</f>
        <v>15</v>
      </c>
      <c r="G127" s="504">
        <f>SUM('By Lot'!I1158,'By Lot'!I1175,'By Lot'!I1192,'By Lot'!I1209,'By Lot'!I1226,'By Lot'!I1243,'By Lot'!I1260,'By Lot'!I1278,'By Lot'!I1295,'By Lot'!I1312,'By Lot'!I1329, )</f>
        <v>15</v>
      </c>
      <c r="H127" s="504">
        <f>SUM('By Lot'!J1158,'By Lot'!J1175,'By Lot'!J1192,'By Lot'!J1209,'By Lot'!J1226,'By Lot'!J1243,'By Lot'!J1260,'By Lot'!J1278,'By Lot'!J1295,'By Lot'!J1312,'By Lot'!J1329, )</f>
        <v>15</v>
      </c>
      <c r="I127" s="504">
        <f>SUM('By Lot'!K1158,'By Lot'!K1175,'By Lot'!K1192,'By Lot'!K1209,'By Lot'!K1226,'By Lot'!K1243,'By Lot'!K1260,'By Lot'!K1278,'By Lot'!K1295,'By Lot'!K1312,'By Lot'!K1329, )</f>
        <v>15</v>
      </c>
      <c r="J127" s="504">
        <f>SUM('By Lot'!L1158,'By Lot'!L1175,'By Lot'!L1192,'By Lot'!L1209,'By Lot'!L1226,'By Lot'!L1243,'By Lot'!L1260,'By Lot'!L1278,'By Lot'!L1295,'By Lot'!L1312,'By Lot'!L1329, )</f>
        <v>17</v>
      </c>
      <c r="K127" s="504">
        <f>SUM('By Lot'!M1158,'By Lot'!M1175,'By Lot'!M1192,'By Lot'!M1209,'By Lot'!M1226,'By Lot'!M1243,'By Lot'!M1260,'By Lot'!M1278,'By Lot'!M1295,'By Lot'!M1312,'By Lot'!M1329, )</f>
        <v>17</v>
      </c>
      <c r="L127" s="504">
        <f>SUM('By Lot'!N1158,'By Lot'!N1175,'By Lot'!N1192,'By Lot'!N1209,'By Lot'!N1226,'By Lot'!N1243,'By Lot'!N1260,'By Lot'!N1278,'By Lot'!N1295,'By Lot'!N1312,'By Lot'!N1329, )</f>
        <v>17</v>
      </c>
      <c r="M127" s="110">
        <f>SUM('By Lot'!O1158,'By Lot'!O1175,'By Lot'!O1192,'By Lot'!O1209,'By Lot'!O1226,'By Lot'!O1243,'By Lot'!O1260,'By Lot'!O1278,'By Lot'!O1295,'By Lot'!O1312,'By Lot'!O1329, )</f>
        <v>17</v>
      </c>
      <c r="N127" s="109">
        <f t="shared" si="26"/>
        <v>15</v>
      </c>
      <c r="O127" s="504">
        <f t="shared" si="27"/>
        <v>5</v>
      </c>
      <c r="P127" s="107">
        <f t="shared" si="28"/>
        <v>0.25</v>
      </c>
      <c r="Q127" s="504"/>
      <c r="R127" s="504"/>
      <c r="S127" s="504"/>
      <c r="T127" s="504"/>
      <c r="U127" s="504"/>
      <c r="V127" s="504"/>
      <c r="W127" s="504"/>
      <c r="X127" s="504"/>
      <c r="Y127" s="504"/>
      <c r="Z127" s="504"/>
    </row>
    <row r="128" spans="1:26" ht="11.25" customHeight="1">
      <c r="A128" s="13"/>
      <c r="B128" s="13" t="s">
        <v>33</v>
      </c>
      <c r="C128" s="13">
        <f>SUM('By Lot'!E1159:E1164,'By Lot'!E1176:E1181,'By Lot'!E1193:E1198,'By Lot'!E1210:E1215,
'By Lot'!E1227:E1232,'By Lot'!E1244:E1249,'By Lot'!E1261:E1266,'By Lot'!E1279:E1284,
'By Lot'!E1296:E1301,'By Lot'!E1313:E1318,'By Lot'!E1330:E1335)</f>
        <v>87</v>
      </c>
      <c r="D128" s="109">
        <f>SUM('By Lot'!F1159:F1164,'By Lot'!F1176:F1181,'By Lot'!F1193:F1198,'By Lot'!F1210:F1215,'By Lot'!F1227:F1232,'By Lot'!F1244:F1249,'By Lot'!F1261:F1266,'By Lot'!F1279:F1284,'By Lot'!F1296:F1301,'By Lot'!F1313:F1318,'By Lot'!F1330:F1335)</f>
        <v>30</v>
      </c>
      <c r="E128" s="504">
        <f>SUM('By Lot'!G1159:G1164,'By Lot'!G1176:G1181,'By Lot'!G1193:G1198,'By Lot'!G1210:G1215,'By Lot'!G1227:G1232,'By Lot'!G1244:G1249,'By Lot'!G1261:G1266,'By Lot'!G1279:G1284,'By Lot'!G1296:G1301,'By Lot'!G1313:G1318,'By Lot'!G1330:G1335)</f>
        <v>26</v>
      </c>
      <c r="F128" s="504">
        <f>SUM('By Lot'!H1159:H1164,'By Lot'!H1176:H1181,'By Lot'!H1193:H1198,'By Lot'!H1210:H1215,'By Lot'!H1227:H1232,'By Lot'!H1244:H1249,'By Lot'!H1261:H1266,'By Lot'!H1279:H1284,'By Lot'!H1296:H1301,'By Lot'!H1313:H1318,'By Lot'!H1330:H1335)</f>
        <v>26</v>
      </c>
      <c r="G128" s="504">
        <f>SUM('By Lot'!I1159:I1164,'By Lot'!I1176:I1181,'By Lot'!I1193:I1198,'By Lot'!I1210:I1215,'By Lot'!I1227:I1232,'By Lot'!I1244:I1249,'By Lot'!I1261:I1266,'By Lot'!I1279:I1284,'By Lot'!I1296:I1301,'By Lot'!I1313:I1318,'By Lot'!I1330:I1335)</f>
        <v>26</v>
      </c>
      <c r="H128" s="504">
        <f>SUM('By Lot'!J1159:J1164,'By Lot'!J1176:J1181,'By Lot'!J1193:J1198,'By Lot'!J1210:J1215,'By Lot'!J1227:J1232,'By Lot'!J1244:J1249,'By Lot'!J1261:J1266,'By Lot'!J1279:J1284,'By Lot'!J1296:J1301,'By Lot'!J1313:J1318,'By Lot'!J1330:J1335)</f>
        <v>25</v>
      </c>
      <c r="I128" s="504">
        <f>SUM('By Lot'!K1159:K1164,'By Lot'!K1176:K1181,'By Lot'!K1193:K1198,'By Lot'!K1210:K1215,'By Lot'!K1227:K1232,'By Lot'!K1244:K1249,'By Lot'!K1261:K1266,'By Lot'!K1279:K1284,'By Lot'!K1296:K1301,'By Lot'!K1313:K1318,'By Lot'!K1330:K1335)</f>
        <v>28</v>
      </c>
      <c r="J128" s="504">
        <f>SUM('By Lot'!L1159:L1164,'By Lot'!L1176:L1181,'By Lot'!L1193:L1198,'By Lot'!L1210:L1215,'By Lot'!L1227:L1232,'By Lot'!L1244:L1249,'By Lot'!L1261:L1266,'By Lot'!L1279:L1284,'By Lot'!L1296:L1301,'By Lot'!L1313:L1318,'By Lot'!L1330:L1335)</f>
        <v>30</v>
      </c>
      <c r="K128" s="504">
        <f>SUM('By Lot'!M1159:M1164,'By Lot'!M1176:M1181,'By Lot'!M1193:M1198,'By Lot'!M1210:M1215,'By Lot'!M1227:M1232,'By Lot'!M1244:M1249,'By Lot'!M1261:M1266,'By Lot'!M1279:M1284,'By Lot'!M1296:M1301,'By Lot'!M1313:M1318,'By Lot'!M1330:M1335)</f>
        <v>40</v>
      </c>
      <c r="L128" s="504">
        <f>SUM('By Lot'!N1159:N1164,'By Lot'!N1176:N1181,'By Lot'!N1193:N1198,'By Lot'!N1210:N1215,'By Lot'!N1227:N1232,'By Lot'!N1244:N1249,'By Lot'!N1261:N1266,'By Lot'!N1279:N1284,'By Lot'!N1296:N1301,'By Lot'!N1313:N1318,'By Lot'!N1330:N1335)</f>
        <v>45</v>
      </c>
      <c r="M128" s="110">
        <f>SUM('By Lot'!O1159:O1164,'By Lot'!O1176:O1181,'By Lot'!O1193:O1198,'By Lot'!O1210:O1215,'By Lot'!O1227:O1232,'By Lot'!O1244:O1249,'By Lot'!O1261:O1266,'By Lot'!O1279:O1284,'By Lot'!O1296:O1301,'By Lot'!O1313:O1318,'By Lot'!O1330:O1335)</f>
        <v>46</v>
      </c>
      <c r="N128" s="109">
        <f t="shared" si="26"/>
        <v>25</v>
      </c>
      <c r="O128" s="504">
        <f t="shared" si="27"/>
        <v>62</v>
      </c>
      <c r="P128" s="107">
        <f t="shared" si="28"/>
        <v>0.71264367816091956</v>
      </c>
      <c r="Q128" s="504"/>
      <c r="R128" s="504"/>
      <c r="S128" s="504"/>
      <c r="T128" s="504"/>
      <c r="U128" s="504"/>
      <c r="V128" s="504"/>
      <c r="W128" s="504"/>
      <c r="X128" s="504"/>
      <c r="Y128" s="504"/>
      <c r="Z128" s="504"/>
    </row>
    <row r="129" spans="1:26" ht="11.25" customHeight="1">
      <c r="A129" s="13"/>
      <c r="B129" s="13" t="s">
        <v>34</v>
      </c>
      <c r="C129" s="13">
        <f>SUM('By Lot'!E1165,'By Lot'!E1182,'By Lot'!E1199,'By Lot'!E1216,
'By Lot'!E1233,'By Lot'!E1250,'By Lot'!E1267,'By Lot'!E1285,
'By Lot'!E1302,'By Lot'!E1319,'By Lot'!E1336)</f>
        <v>24</v>
      </c>
      <c r="D129" s="109">
        <f>SUM('By Lot'!F1165,'By Lot'!F1182,'By Lot'!F1199,'By Lot'!F1216,'By Lot'!F1233,'By Lot'!F1250,'By Lot'!F1267,'By Lot'!F1285,'By Lot'!F1302,'By Lot'!F1319,'By Lot'!F1336)</f>
        <v>21</v>
      </c>
      <c r="E129" s="504">
        <f>SUM('By Lot'!G1165,'By Lot'!G1182,'By Lot'!G1199,'By Lot'!G1216,'By Lot'!G1233,'By Lot'!G1250,'By Lot'!G1267,'By Lot'!G1285,'By Lot'!G1302,'By Lot'!G1319,'By Lot'!G1336)</f>
        <v>21</v>
      </c>
      <c r="F129" s="504">
        <f>SUM('By Lot'!H1165,'By Lot'!H1182,'By Lot'!H1199,'By Lot'!H1216,'By Lot'!H1233,'By Lot'!H1250,'By Lot'!H1267,'By Lot'!H1285,'By Lot'!H1302,'By Lot'!H1319,'By Lot'!H1336)</f>
        <v>21</v>
      </c>
      <c r="G129" s="504">
        <f>SUM('By Lot'!I1165,'By Lot'!I1182,'By Lot'!I1199,'By Lot'!I1216,'By Lot'!I1233,'By Lot'!I1250,'By Lot'!I1267,'By Lot'!I1285,'By Lot'!I1302,'By Lot'!I1319,'By Lot'!I1336)</f>
        <v>21</v>
      </c>
      <c r="H129" s="504">
        <f>SUM('By Lot'!J1165,'By Lot'!J1182,'By Lot'!J1199,'By Lot'!J1216,'By Lot'!J1233,'By Lot'!J1250,'By Lot'!J1267,'By Lot'!J1285,'By Lot'!J1302,'By Lot'!J1319,'By Lot'!J1336)</f>
        <v>21</v>
      </c>
      <c r="I129" s="504">
        <f>SUM('By Lot'!K1165,'By Lot'!K1182,'By Lot'!K1199,'By Lot'!K1216,'By Lot'!K1233,'By Lot'!K1250,'By Lot'!K1267,'By Lot'!K1285,'By Lot'!K1302,'By Lot'!K1319,'By Lot'!K1336)</f>
        <v>21</v>
      </c>
      <c r="J129" s="504">
        <f>SUM('By Lot'!L1165,'By Lot'!L1182,'By Lot'!L1199,'By Lot'!L1216,'By Lot'!L1233,'By Lot'!L1250,'By Lot'!L1267,'By Lot'!L1285,'By Lot'!L1302,'By Lot'!L1319,'By Lot'!L1336)</f>
        <v>22</v>
      </c>
      <c r="K129" s="504">
        <f>SUM('By Lot'!M1165,'By Lot'!M1182,'By Lot'!M1199,'By Lot'!M1216,'By Lot'!M1233,'By Lot'!M1250,'By Lot'!M1267,'By Lot'!M1285,'By Lot'!M1302,'By Lot'!M1319,'By Lot'!M1336)</f>
        <v>22</v>
      </c>
      <c r="L129" s="504">
        <f>SUM('By Lot'!N1165,'By Lot'!N1182,'By Lot'!N1199,'By Lot'!N1216,'By Lot'!N1233,'By Lot'!N1250,'By Lot'!N1267,'By Lot'!N1285,'By Lot'!N1302,'By Lot'!N1319,'By Lot'!N1336)</f>
        <v>24</v>
      </c>
      <c r="M129" s="110">
        <f>SUM('By Lot'!O1165,'By Lot'!O1182,'By Lot'!O1199,'By Lot'!O1216,'By Lot'!O1233,'By Lot'!O1250,'By Lot'!O1267,'By Lot'!O1285,'By Lot'!O1302,'By Lot'!O1319,'By Lot'!O1336)</f>
        <v>24</v>
      </c>
      <c r="N129" s="109">
        <f t="shared" si="26"/>
        <v>21</v>
      </c>
      <c r="O129" s="504">
        <f t="shared" si="27"/>
        <v>3</v>
      </c>
      <c r="P129" s="107">
        <f t="shared" si="28"/>
        <v>0.125</v>
      </c>
      <c r="Q129" s="504"/>
      <c r="R129" s="504"/>
      <c r="S129" s="504"/>
      <c r="T129" s="504"/>
      <c r="U129" s="504"/>
      <c r="V129" s="504"/>
      <c r="W129" s="504"/>
      <c r="X129" s="504"/>
      <c r="Y129" s="504"/>
      <c r="Z129" s="504"/>
    </row>
    <row r="130" spans="1:26" ht="11.25" customHeight="1">
      <c r="A130" s="13"/>
      <c r="B130" s="13" t="s">
        <v>35</v>
      </c>
      <c r="C130" s="13">
        <f>SUM('By Lot'!E1166,'By Lot'!E1183,'By Lot'!E1200,'By Lot'!E1217,
'By Lot'!E1234,'By Lot'!E1251,'By Lot'!E1268,'By Lot'!E1286,
'By Lot'!E1303,'By Lot'!E1320,'By Lot'!E1337)</f>
        <v>22</v>
      </c>
      <c r="D130" s="109">
        <f>SUM('By Lot'!F1166,'By Lot'!F1183,'By Lot'!F1200,'By Lot'!F1217,'By Lot'!F1234,'By Lot'!F1251,'By Lot'!F1268,'By Lot'!F1286,'By Lot'!F1303,'By Lot'!F1320,'By Lot'!F1337)</f>
        <v>13</v>
      </c>
      <c r="E130" s="504">
        <f>SUM('By Lot'!G1166,'By Lot'!G1183,'By Lot'!G1200,'By Lot'!G1217,'By Lot'!G1234,'By Lot'!G1251,'By Lot'!G1268,'By Lot'!G1286,'By Lot'!G1303,'By Lot'!G1320,'By Lot'!G1337)</f>
        <v>13</v>
      </c>
      <c r="F130" s="504">
        <f>SUM('By Lot'!H1166,'By Lot'!H1183,'By Lot'!H1200,'By Lot'!H1217,'By Lot'!H1234,'By Lot'!H1251,'By Lot'!H1268,'By Lot'!H1286,'By Lot'!H1303,'By Lot'!H1320,'By Lot'!H1337)</f>
        <v>15</v>
      </c>
      <c r="G130" s="504">
        <f>SUM('By Lot'!I1166,'By Lot'!I1183,'By Lot'!I1200,'By Lot'!I1217,'By Lot'!I1234,'By Lot'!I1251,'By Lot'!I1268,'By Lot'!I1286,'By Lot'!I1303,'By Lot'!I1320,'By Lot'!I1337)</f>
        <v>15</v>
      </c>
      <c r="H130" s="504">
        <f>SUM('By Lot'!J1166,'By Lot'!J1183,'By Lot'!J1200,'By Lot'!J1217,'By Lot'!J1234,'By Lot'!J1251,'By Lot'!J1268,'By Lot'!J1286,'By Lot'!J1303,'By Lot'!J1320,'By Lot'!J1337)</f>
        <v>15</v>
      </c>
      <c r="I130" s="504">
        <f>SUM('By Lot'!K1166,'By Lot'!K1183,'By Lot'!K1200,'By Lot'!K1217,'By Lot'!K1234,'By Lot'!K1251,'By Lot'!K1268,'By Lot'!K1286,'By Lot'!K1303,'By Lot'!K1320,'By Lot'!K1337)</f>
        <v>15</v>
      </c>
      <c r="J130" s="504">
        <f>SUM('By Lot'!L1166,'By Lot'!L1183,'By Lot'!L1200,'By Lot'!L1217,'By Lot'!L1234,'By Lot'!L1251,'By Lot'!L1268,'By Lot'!L1286,'By Lot'!L1303,'By Lot'!L1320,'By Lot'!L1337)</f>
        <v>15</v>
      </c>
      <c r="K130" s="504">
        <f>SUM('By Lot'!M1166,'By Lot'!M1183,'By Lot'!M1200,'By Lot'!M1217,'By Lot'!M1234,'By Lot'!M1251,'By Lot'!M1268,'By Lot'!M1286,'By Lot'!M1303,'By Lot'!M1320,'By Lot'!M1337)</f>
        <v>15</v>
      </c>
      <c r="L130" s="504">
        <f>SUM('By Lot'!N1166,'By Lot'!N1183,'By Lot'!N1200,'By Lot'!N1217,'By Lot'!N1234,'By Lot'!N1251,'By Lot'!N1268,'By Lot'!N1286,'By Lot'!N1303,'By Lot'!N1320,'By Lot'!N1337)</f>
        <v>15</v>
      </c>
      <c r="M130" s="110">
        <f>SUM('By Lot'!O1166,'By Lot'!O1183,'By Lot'!O1200,'By Lot'!O1217,'By Lot'!O1234,'By Lot'!O1251,'By Lot'!O1268,'By Lot'!O1286,'By Lot'!O1303,'By Lot'!O1320,'By Lot'!O1337)</f>
        <v>15</v>
      </c>
      <c r="N130" s="109">
        <f t="shared" si="26"/>
        <v>13</v>
      </c>
      <c r="O130" s="504">
        <f t="shared" si="27"/>
        <v>9</v>
      </c>
      <c r="P130" s="107">
        <f t="shared" si="28"/>
        <v>0.40909090909090912</v>
      </c>
      <c r="Q130" s="504"/>
      <c r="R130" s="504"/>
      <c r="S130" s="504"/>
      <c r="T130" s="504"/>
      <c r="U130" s="504"/>
      <c r="V130" s="504"/>
      <c r="W130" s="504"/>
      <c r="X130" s="504"/>
      <c r="Y130" s="504"/>
      <c r="Z130" s="504"/>
    </row>
    <row r="131" spans="1:26" ht="11.25" customHeight="1">
      <c r="A131" s="13"/>
      <c r="B131" s="13" t="s">
        <v>36</v>
      </c>
      <c r="C131" s="13">
        <f>SUM('By Lot'!E1167,'By Lot'!E1184,'By Lot'!E1201,'By Lot'!E1218,
'By Lot'!E1235,'By Lot'!E1252,'By Lot'!E1269,'By Lot'!E1287,
'By Lot'!E1304,'By Lot'!E1321,'By Lot'!E1338)</f>
        <v>1</v>
      </c>
      <c r="D131" s="109">
        <f>SUM('By Lot'!F1166,'By Lot'!F1184,'By Lot'!F1201,'By Lot'!F1218,'By Lot'!F1235,'By Lot'!F1252,'By Lot'!F1269,'By Lot'!F1287,'By Lot'!F1304,'By Lot'!F1321,'By Lot'!F1338)</f>
        <v>1</v>
      </c>
      <c r="E131" s="504">
        <f>SUM('By Lot'!G1167,'By Lot'!G1184,'By Lot'!G1201,'By Lot'!G1218,'By Lot'!G1235,'By Lot'!G1252,'By Lot'!G1269,'By Lot'!G1287,'By Lot'!G1304,'By Lot'!G1321,'By Lot'!G1338)</f>
        <v>0</v>
      </c>
      <c r="F131" s="504">
        <f>SUM('By Lot'!H1167,'By Lot'!H1184,'By Lot'!H1201,'By Lot'!H1218,'By Lot'!H1235,'By Lot'!H1252,'By Lot'!H1269,'By Lot'!H1287,'By Lot'!H1304,'By Lot'!H1321,'By Lot'!H1338)</f>
        <v>0</v>
      </c>
      <c r="G131" s="504">
        <f>SUM('By Lot'!I1167,'By Lot'!I1184,'By Lot'!I1201,'By Lot'!I1218,'By Lot'!I1235,'By Lot'!I1252,'By Lot'!I1269,'By Lot'!I1287,'By Lot'!I1304,'By Lot'!I1321,'By Lot'!I1338)</f>
        <v>0</v>
      </c>
      <c r="H131" s="504">
        <f>SUM('By Lot'!J1167,'By Lot'!J1184,'By Lot'!J1201,'By Lot'!J1218,'By Lot'!J1235,'By Lot'!J1252,'By Lot'!J1269,'By Lot'!J1287,'By Lot'!J1304,'By Lot'!J1321,'By Lot'!J1338)</f>
        <v>0</v>
      </c>
      <c r="I131" s="504">
        <f>SUM('By Lot'!K1167,'By Lot'!K1184,'By Lot'!K1201,'By Lot'!K1218,'By Lot'!K1235,'By Lot'!K1252,'By Lot'!K1269,'By Lot'!K1287,'By Lot'!K1304,'By Lot'!K1321,'By Lot'!K1338)</f>
        <v>0</v>
      </c>
      <c r="J131" s="504">
        <f>SUM('By Lot'!L1167,'By Lot'!L1184,'By Lot'!L1201,'By Lot'!L1218,'By Lot'!L1235,'By Lot'!L1252,'By Lot'!L1269,'By Lot'!L1287,'By Lot'!L1304,'By Lot'!L1321,'By Lot'!L1338)</f>
        <v>0</v>
      </c>
      <c r="K131" s="504">
        <f>SUM('By Lot'!M1167,'By Lot'!M1184,'By Lot'!M1201,'By Lot'!M1218,'By Lot'!M1235,'By Lot'!M1252,'By Lot'!M1269,'By Lot'!M1287,'By Lot'!M1304,'By Lot'!M1321,'By Lot'!M1338)</f>
        <v>0</v>
      </c>
      <c r="L131" s="504">
        <f>SUM('By Lot'!N1167,'By Lot'!N1184,'By Lot'!N1201,'By Lot'!N1218,'By Lot'!N1235,'By Lot'!N1252,'By Lot'!N1269,'By Lot'!N1287,'By Lot'!N1304,'By Lot'!N1321,'By Lot'!N1338)</f>
        <v>0</v>
      </c>
      <c r="M131" s="110">
        <f>SUM('By Lot'!O1167,'By Lot'!O1184,'By Lot'!O1201,'By Lot'!O1218,'By Lot'!O1235,'By Lot'!O1252,'By Lot'!O1269,'By Lot'!O1287,'By Lot'!O1304,'By Lot'!O1321,'By Lot'!O1338)</f>
        <v>0</v>
      </c>
      <c r="N131" s="109">
        <f t="shared" si="26"/>
        <v>0</v>
      </c>
      <c r="O131" s="504">
        <f t="shared" si="27"/>
        <v>1</v>
      </c>
      <c r="P131" s="107">
        <f t="shared" si="28"/>
        <v>1</v>
      </c>
      <c r="Q131" s="504"/>
      <c r="R131" s="504"/>
      <c r="S131" s="504"/>
      <c r="T131" s="504"/>
      <c r="U131" s="504"/>
      <c r="V131" s="504"/>
      <c r="W131" s="504"/>
      <c r="X131" s="504"/>
      <c r="Y131" s="504"/>
      <c r="Z131" s="504"/>
    </row>
    <row r="132" spans="1:26" ht="11.25" customHeight="1">
      <c r="A132" s="13"/>
      <c r="B132" s="109" t="s">
        <v>37</v>
      </c>
      <c r="C132" s="2">
        <f>SUM('By Lot'!E1168,'By Lot'!E1185,'By Lot'!E1202,'By Lot'!E1219,
'By Lot'!E1236,'By Lot'!E1253,'By Lot'!E1270:E1271,'By Lot'!E1288,
'By Lot'!E1305,'By Lot'!E1322,'By Lot'!E1339)</f>
        <v>7</v>
      </c>
      <c r="D132" s="505">
        <f>SUM('By Lot'!F1168,'By Lot'!F1185,'By Lot'!F1202,'By Lot'!F1219,
'By Lot'!F1236,'By Lot'!F1253,'By Lot'!F1270:F1271,'By Lot'!F1288,
'By Lot'!F1305,'By Lot'!F1322,'By Lot'!F1339)</f>
        <v>6</v>
      </c>
      <c r="E132" s="505">
        <f>SUM('By Lot'!G1168,'By Lot'!G1185,'By Lot'!G1202,'By Lot'!G1219,
'By Lot'!G1236,'By Lot'!G1253,'By Lot'!G1270:G1271,'By Lot'!G1288,
'By Lot'!G1305,'By Lot'!G1322,'By Lot'!G1339)</f>
        <v>7</v>
      </c>
      <c r="F132" s="505">
        <f>SUM('By Lot'!H1168,'By Lot'!H1185,'By Lot'!H1202,'By Lot'!H1219,
'By Lot'!H1236,'By Lot'!H1253,'By Lot'!H1270:H1271,'By Lot'!H1288,
'By Lot'!H1305,'By Lot'!H1322,'By Lot'!H1339)</f>
        <v>7</v>
      </c>
      <c r="G132" s="505">
        <f>SUM('By Lot'!I1168,'By Lot'!I1185,'By Lot'!I1202,'By Lot'!I1219,
'By Lot'!I1236,'By Lot'!I1253,'By Lot'!I1270:I1271,'By Lot'!I1288,
'By Lot'!I1305,'By Lot'!I1322,'By Lot'!I1339)</f>
        <v>7</v>
      </c>
      <c r="H132" s="505">
        <f>SUM('By Lot'!J1168,'By Lot'!J1185,'By Lot'!J1202,'By Lot'!J1219,
'By Lot'!J1236,'By Lot'!J1253,'By Lot'!J1270:J1271,'By Lot'!J1288,
'By Lot'!J1305,'By Lot'!J1322,'By Lot'!J1339)</f>
        <v>6</v>
      </c>
      <c r="I132" s="505">
        <f>SUM('By Lot'!K1168,'By Lot'!K1185,'By Lot'!K1202,'By Lot'!K1219,
'By Lot'!K1236,'By Lot'!K1253,'By Lot'!K1270:K1271,'By Lot'!K1288,
'By Lot'!K1305,'By Lot'!K1322,'By Lot'!K1339)</f>
        <v>6</v>
      </c>
      <c r="J132" s="505">
        <f>SUM('By Lot'!L1168,'By Lot'!L1185,'By Lot'!L1202,'By Lot'!L1219,
'By Lot'!L1236,'By Lot'!L1253,'By Lot'!L1270:L1271,'By Lot'!L1288,
'By Lot'!L1305,'By Lot'!L1322,'By Lot'!L1339)</f>
        <v>6</v>
      </c>
      <c r="K132" s="505">
        <f>SUM('By Lot'!M1168,'By Lot'!M1185,'By Lot'!M1202,'By Lot'!M1219,
'By Lot'!M1236,'By Lot'!M1253,'By Lot'!M1270:M1271,'By Lot'!M1288,
'By Lot'!M1305,'By Lot'!M1322,'By Lot'!M1339)</f>
        <v>6</v>
      </c>
      <c r="L132" s="505">
        <f>SUM('By Lot'!N1168,'By Lot'!N1185,'By Lot'!N1202,'By Lot'!N1219,
'By Lot'!N1236,'By Lot'!N1253,'By Lot'!N1270:N1271,'By Lot'!N1288,
'By Lot'!N1305,'By Lot'!N1322,'By Lot'!N1339)</f>
        <v>7</v>
      </c>
      <c r="M132" s="133">
        <f>SUM('By Lot'!O1168,'By Lot'!O1185,'By Lot'!O1202,'By Lot'!O1219,
'By Lot'!O1236,'By Lot'!O1253,'By Lot'!O1270:O1271,'By Lot'!O1288,
'By Lot'!O1305,'By Lot'!O1322,'By Lot'!O1339)</f>
        <v>7</v>
      </c>
      <c r="N132" s="504">
        <f t="shared" si="26"/>
        <v>6</v>
      </c>
      <c r="O132" s="504">
        <f t="shared" si="27"/>
        <v>1</v>
      </c>
      <c r="P132" s="107">
        <f t="shared" si="28"/>
        <v>0.14285714285714285</v>
      </c>
      <c r="Q132" s="504"/>
      <c r="R132" s="504"/>
      <c r="S132" s="504"/>
      <c r="T132" s="504"/>
      <c r="U132" s="504"/>
      <c r="V132" s="504"/>
      <c r="W132" s="504"/>
      <c r="X132" s="504"/>
      <c r="Y132" s="504"/>
      <c r="Z132" s="504"/>
    </row>
    <row r="133" spans="1:26" ht="11.25" customHeight="1">
      <c r="A133" s="2"/>
      <c r="B133" s="3" t="s">
        <v>38</v>
      </c>
      <c r="C133" s="139">
        <f t="shared" ref="C133:M133" si="29">SUM(C122:C132)</f>
        <v>1531</v>
      </c>
      <c r="D133" s="73">
        <f t="shared" si="29"/>
        <v>1373</v>
      </c>
      <c r="E133" s="506">
        <f t="shared" si="29"/>
        <v>1366</v>
      </c>
      <c r="F133" s="506">
        <f t="shared" si="29"/>
        <v>1324</v>
      </c>
      <c r="G133" s="506">
        <f t="shared" si="29"/>
        <v>1305</v>
      </c>
      <c r="H133" s="506">
        <f t="shared" si="29"/>
        <v>1276</v>
      </c>
      <c r="I133" s="506">
        <f t="shared" si="29"/>
        <v>1277</v>
      </c>
      <c r="J133" s="506">
        <f t="shared" si="29"/>
        <v>1311</v>
      </c>
      <c r="K133" s="506">
        <f t="shared" si="29"/>
        <v>1353</v>
      </c>
      <c r="L133" s="506">
        <f t="shared" si="29"/>
        <v>1405</v>
      </c>
      <c r="M133" s="134">
        <f t="shared" si="29"/>
        <v>1425</v>
      </c>
      <c r="N133" s="21">
        <f t="shared" si="26"/>
        <v>1276</v>
      </c>
      <c r="O133" s="71">
        <f t="shared" si="27"/>
        <v>255</v>
      </c>
      <c r="P133" s="7">
        <f t="shared" si="28"/>
        <v>0.16655780535597647</v>
      </c>
      <c r="Q133" s="504"/>
      <c r="R133" s="504"/>
      <c r="S133" s="504"/>
      <c r="T133" s="504"/>
      <c r="U133" s="504"/>
      <c r="V133" s="504"/>
      <c r="W133" s="504"/>
      <c r="X133" s="504"/>
      <c r="Y133" s="504"/>
      <c r="Z133" s="504"/>
    </row>
    <row r="134" spans="1:26" ht="11.25" customHeight="1">
      <c r="A134" s="397" t="s">
        <v>96</v>
      </c>
      <c r="B134" s="13" t="s">
        <v>23</v>
      </c>
      <c r="C134" s="13">
        <f>SUM('By Lot'!E1613,'By Lot'!E1751,'By Lot'!E1785,
'By Lot'!E1802,'By Lot'!E1853,'By Lot'!E1870,'By Lot'!E1904)</f>
        <v>9</v>
      </c>
      <c r="D134" s="109">
        <f>SUM('By Lot'!F1613,'By Lot'!F1751,'By Lot'!F1768,'By Lot'!F1785,'By Lot'!F1802,'By Lot'!F1853,'By Lot'!F1870,'By Lot'!F1904)</f>
        <v>4</v>
      </c>
      <c r="E134" s="504">
        <f>SUM('By Lot'!G1613,'By Lot'!G1751,'By Lot'!G1768,'By Lot'!G1785,'By Lot'!G1802,'By Lot'!G1853,'By Lot'!G1870,'By Lot'!G1904)</f>
        <v>1</v>
      </c>
      <c r="F134" s="504">
        <f>SUM('By Lot'!H1613,'By Lot'!H1751,'By Lot'!H1768,'By Lot'!H1785,'By Lot'!H1802,'By Lot'!H1853,'By Lot'!H1870,'By Lot'!H1904)</f>
        <v>0</v>
      </c>
      <c r="G134" s="504">
        <f>SUM('By Lot'!I1613,'By Lot'!I1751,'By Lot'!I1768,'By Lot'!I1785,'By Lot'!I1802,'By Lot'!I1853,'By Lot'!I1870,'By Lot'!I1904)</f>
        <v>0</v>
      </c>
      <c r="H134" s="504">
        <f>SUM('By Lot'!J1613,'By Lot'!J1751,'By Lot'!J1768,'By Lot'!J1785,'By Lot'!J1802,'By Lot'!J1853,'By Lot'!J1870,'By Lot'!J1904)</f>
        <v>1</v>
      </c>
      <c r="I134" s="504">
        <f>SUM('By Lot'!K1613,'By Lot'!K1751,'By Lot'!K1768,'By Lot'!K1785,'By Lot'!K1802,'By Lot'!K1853,'By Lot'!K1870,'By Lot'!K1904)</f>
        <v>2</v>
      </c>
      <c r="J134" s="504">
        <f>SUM('By Lot'!L1613,'By Lot'!L1751,'By Lot'!L1768,'By Lot'!L1785,'By Lot'!L1802,'By Lot'!L1853,'By Lot'!L1870,'By Lot'!L1904)</f>
        <v>3</v>
      </c>
      <c r="K134" s="504">
        <f>SUM('By Lot'!M1613,'By Lot'!M1751,'By Lot'!M1768,'By Lot'!M1785,'By Lot'!M1802,'By Lot'!M1853,'By Lot'!M1870,'By Lot'!M1904)</f>
        <v>3</v>
      </c>
      <c r="L134" s="504">
        <f>SUM('By Lot'!N1613,'By Lot'!N1751,'By Lot'!N1768,'By Lot'!N1785,'By Lot'!N1802,'By Lot'!N1853,'By Lot'!N1870,'By Lot'!N1904)</f>
        <v>4</v>
      </c>
      <c r="M134" s="110">
        <f>SUM('By Lot'!O1613,'By Lot'!O1751,'By Lot'!O1768,'By Lot'!O1785,'By Lot'!O1802,'By Lot'!O1853,'By Lot'!O1870,'By Lot'!O1904)</f>
        <v>6</v>
      </c>
      <c r="N134" s="109">
        <f t="shared" si="26"/>
        <v>0</v>
      </c>
      <c r="O134" s="504">
        <f t="shared" si="27"/>
        <v>9</v>
      </c>
      <c r="P134" s="107">
        <f t="shared" si="28"/>
        <v>1</v>
      </c>
      <c r="Q134" s="504"/>
      <c r="R134" s="504"/>
      <c r="S134" s="504"/>
      <c r="T134" s="504"/>
      <c r="U134" s="504"/>
      <c r="V134" s="504"/>
      <c r="W134" s="504"/>
      <c r="X134" s="504"/>
      <c r="Y134" s="504"/>
      <c r="Z134" s="504"/>
    </row>
    <row r="135" spans="1:26" ht="11.25" customHeight="1">
      <c r="A135" s="13" t="s">
        <v>76</v>
      </c>
      <c r="B135" s="13" t="s">
        <v>55</v>
      </c>
      <c r="C135" s="13">
        <f>'By Lot'!E1768</f>
        <v>8</v>
      </c>
      <c r="D135" s="109">
        <f>'By Lot'!F1768</f>
        <v>0</v>
      </c>
      <c r="E135" s="504">
        <f>'By Lot'!G1768</f>
        <v>0</v>
      </c>
      <c r="F135" s="504">
        <f>'By Lot'!H1768</f>
        <v>0</v>
      </c>
      <c r="G135" s="504">
        <f>'By Lot'!I1768</f>
        <v>0</v>
      </c>
      <c r="H135" s="504">
        <f>'By Lot'!J1768</f>
        <v>1</v>
      </c>
      <c r="I135" s="504">
        <f>'By Lot'!K1768</f>
        <v>0</v>
      </c>
      <c r="J135" s="504">
        <f>'By Lot'!L1768</f>
        <v>1</v>
      </c>
      <c r="K135" s="504">
        <f>'By Lot'!M1768</f>
        <v>1</v>
      </c>
      <c r="L135" s="504">
        <f>'By Lot'!N1768</f>
        <v>3</v>
      </c>
      <c r="M135" s="110">
        <f>'By Lot'!O1768</f>
        <v>3</v>
      </c>
      <c r="N135" s="109">
        <f t="shared" si="26"/>
        <v>0</v>
      </c>
      <c r="O135" s="504">
        <f t="shared" si="27"/>
        <v>8</v>
      </c>
      <c r="P135" s="107">
        <f t="shared" si="28"/>
        <v>1</v>
      </c>
      <c r="Q135" s="504"/>
      <c r="R135" s="504"/>
      <c r="S135" s="504"/>
      <c r="T135" s="504"/>
      <c r="U135" s="504"/>
      <c r="V135" s="504"/>
      <c r="W135" s="504"/>
      <c r="X135" s="504"/>
      <c r="Y135" s="504"/>
      <c r="Z135" s="504"/>
    </row>
    <row r="136" spans="1:26" ht="11.25" customHeight="1">
      <c r="A136" s="13"/>
      <c r="B136" s="13" t="s">
        <v>25</v>
      </c>
      <c r="C136" s="13">
        <f>SUM('By Lot'!E1614,'By Lot'!E1752,'By Lot'!E1769,'By Lot'!E1786,
'By Lot'!E1803,'By Lot'!E1854,'By Lot'!E1871,'By Lot'!E1905)</f>
        <v>2</v>
      </c>
      <c r="D136" s="109">
        <f>SUM('By Lot'!F1614,'By Lot'!F1752,'By Lot'!F1769,'By Lot'!F1786,'By Lot'!F1803,'By Lot'!F1854,'By Lot'!F1871,'By Lot'!F1905)</f>
        <v>0</v>
      </c>
      <c r="E136" s="504">
        <f>SUM('By Lot'!G1614,'By Lot'!G1752,'By Lot'!G1769,'By Lot'!G1786,'By Lot'!G1803,'By Lot'!G1856,'By Lot'!G1871,'By Lot'!G1905)</f>
        <v>2</v>
      </c>
      <c r="F136" s="504">
        <f>SUM('By Lot'!H1614,'By Lot'!H1752,'By Lot'!H1769,'By Lot'!H1786,'By Lot'!H1803,'By Lot'!H1856,'By Lot'!H1871,'By Lot'!H1905)</f>
        <v>3</v>
      </c>
      <c r="G136" s="504">
        <f>SUM('By Lot'!I1614,'By Lot'!I1752,'By Lot'!I1769,'By Lot'!I1786,'By Lot'!I1803,'By Lot'!I1856,'By Lot'!I1871,'By Lot'!I1905)</f>
        <v>3</v>
      </c>
      <c r="H136" s="504">
        <f>SUM('By Lot'!J1614,'By Lot'!J1752,'By Lot'!J1769,'By Lot'!J1786,'By Lot'!J1803,'By Lot'!J1856,'By Lot'!J1871,'By Lot'!J1905)</f>
        <v>0</v>
      </c>
      <c r="I136" s="504">
        <f>SUM('By Lot'!K1614,'By Lot'!K1752,'By Lot'!K1769,'By Lot'!K1786,'By Lot'!K1803,'By Lot'!K1856,'By Lot'!K1871,'By Lot'!K1905)</f>
        <v>0</v>
      </c>
      <c r="J136" s="504">
        <f>SUM('By Lot'!L1614,'By Lot'!L1752,'By Lot'!L1769,'By Lot'!L1786,'By Lot'!L1803,'By Lot'!L1856,'By Lot'!L1871,'By Lot'!L1905)</f>
        <v>0</v>
      </c>
      <c r="K136" s="504">
        <f>SUM('By Lot'!M1614,'By Lot'!M1752,'By Lot'!M1769,'By Lot'!M1786,'By Lot'!M1803,'By Lot'!M1856,'By Lot'!M1871,'By Lot'!M1905)</f>
        <v>1</v>
      </c>
      <c r="L136" s="504">
        <f>SUM('By Lot'!N1614,'By Lot'!N1752,'By Lot'!N1769,'By Lot'!N1786,'By Lot'!N1803,'By Lot'!N1856,'By Lot'!N1871,'By Lot'!N1905)</f>
        <v>1</v>
      </c>
      <c r="M136" s="110">
        <f>SUM('By Lot'!O1614,'By Lot'!O1752,'By Lot'!O1769,'By Lot'!O1786,'By Lot'!O1803,'By Lot'!O1856,'By Lot'!O1871,'By Lot'!O1905)</f>
        <v>1</v>
      </c>
      <c r="N136" s="109">
        <f t="shared" si="26"/>
        <v>0</v>
      </c>
      <c r="O136" s="504">
        <f t="shared" si="27"/>
        <v>2</v>
      </c>
      <c r="P136" s="107">
        <f t="shared" si="28"/>
        <v>1</v>
      </c>
      <c r="Q136" s="504"/>
      <c r="R136" s="504"/>
      <c r="S136" s="504"/>
      <c r="T136" s="504"/>
      <c r="U136" s="504"/>
      <c r="V136" s="504"/>
      <c r="W136" s="504"/>
      <c r="X136" s="504"/>
      <c r="Y136" s="504"/>
      <c r="Z136" s="504"/>
    </row>
    <row r="137" spans="1:26" ht="11.25" customHeight="1">
      <c r="A137" s="13"/>
      <c r="B137" s="13" t="s">
        <v>27</v>
      </c>
      <c r="C137" s="13">
        <f>SUM('By Lot'!E1615,'By Lot'!E1753,'By Lot'!E1770,'By Lot'!E1787,
'By Lot'!E1804,'By Lot'!E1855,'By Lot'!E1872,'By Lot'!E1906)</f>
        <v>26</v>
      </c>
      <c r="D137" s="109">
        <f>SUM('By Lot'!F1615,'By Lot'!F1753,'By Lot'!F1770,'By Lot'!F1787,'By Lot'!F1804,'By Lot'!F1855,'By Lot'!F1872,'By Lot'!F1906)</f>
        <v>1</v>
      </c>
      <c r="E137" s="504">
        <f>SUM('By Lot'!G1615,'By Lot'!G1753,'By Lot'!G1770,'By Lot'!G1787,'By Lot'!G1804,'By Lot'!G1855,'By Lot'!G1872,'By Lot'!G1906)</f>
        <v>0</v>
      </c>
      <c r="F137" s="504">
        <f>SUM('By Lot'!H1615,'By Lot'!H1753,'By Lot'!H1770,'By Lot'!H1787,'By Lot'!H1804,'By Lot'!H1855,'By Lot'!H1872,'By Lot'!H1906)</f>
        <v>0</v>
      </c>
      <c r="G137" s="504">
        <f>SUM('By Lot'!I1615,'By Lot'!I1753,'By Lot'!I1770,'By Lot'!I1787,'By Lot'!I1804,'By Lot'!I1855,'By Lot'!I1872,'By Lot'!I1906)</f>
        <v>0</v>
      </c>
      <c r="H137" s="504">
        <f>SUM('By Lot'!J1615,'By Lot'!J1753,'By Lot'!J1770,'By Lot'!J1787,'By Lot'!J1804,'By Lot'!J1855,'By Lot'!J1872,'By Lot'!J1906)</f>
        <v>0</v>
      </c>
      <c r="I137" s="504">
        <f>SUM('By Lot'!K1615,'By Lot'!K1753,'By Lot'!K1770,'By Lot'!K1787,'By Lot'!K1804,'By Lot'!K1855,'By Lot'!K1872,'By Lot'!K1906)</f>
        <v>1</v>
      </c>
      <c r="J137" s="504">
        <f>SUM('By Lot'!L1615,'By Lot'!L1753,'By Lot'!L1770,'By Lot'!L1787,'By Lot'!L1804,'By Lot'!L1855,'By Lot'!L1872,'By Lot'!L1906)</f>
        <v>0</v>
      </c>
      <c r="K137" s="504">
        <f>SUM('By Lot'!M1615,'By Lot'!M1753,'By Lot'!M1770,'By Lot'!M1787,'By Lot'!M1804,'By Lot'!M1855,'By Lot'!M1872,'By Lot'!M1906)</f>
        <v>0</v>
      </c>
      <c r="L137" s="504">
        <f>SUM('By Lot'!N1615,'By Lot'!N1753,'By Lot'!N1770,'By Lot'!N1787,'By Lot'!N1804,'By Lot'!N1855,'By Lot'!N1872,'By Lot'!N1906)</f>
        <v>0</v>
      </c>
      <c r="M137" s="110">
        <f>SUM('By Lot'!O1615,'By Lot'!O1753,'By Lot'!O1770,'By Lot'!O1787,'By Lot'!O1804,'By Lot'!O1855,'By Lot'!O1872,'By Lot'!O1906)</f>
        <v>0</v>
      </c>
      <c r="N137" s="109">
        <f t="shared" si="26"/>
        <v>0</v>
      </c>
      <c r="O137" s="504">
        <f t="shared" si="27"/>
        <v>26</v>
      </c>
      <c r="P137" s="107">
        <f t="shared" si="28"/>
        <v>1</v>
      </c>
      <c r="Q137" s="504"/>
      <c r="R137" s="504"/>
      <c r="S137" s="504"/>
      <c r="T137" s="504"/>
      <c r="U137" s="504"/>
      <c r="V137" s="504"/>
      <c r="W137" s="504"/>
      <c r="X137" s="504"/>
      <c r="Y137" s="504"/>
      <c r="Z137" s="504"/>
    </row>
    <row r="138" spans="1:26" ht="11.25" customHeight="1">
      <c r="A138" s="13"/>
      <c r="B138" s="13" t="s">
        <v>31</v>
      </c>
      <c r="C138" s="13">
        <f>SUM('By Lot'!E1616:E1617,'By Lot'!E1754:E1755,'By Lot'!E1771:E1772,'By Lot'!E1788:E1789,
'By Lot'!E1805:E1806,'By Lot'!E1856:E1857,'By Lot'!E1873:E1874,'By Lot'!E1907:E1908)</f>
        <v>25</v>
      </c>
      <c r="D138" s="109">
        <f>SUM('By Lot'!F1616:F1617,'By Lot'!F1754:F1755,'By Lot'!F1771:F1772,'By Lot'!F1788:F1789,'By Lot'!F1805:F1806,'By Lot'!F1856:F1857,'By Lot'!F1873:F1874,'By Lot'!F1907:F1908)</f>
        <v>8</v>
      </c>
      <c r="E138" s="504">
        <f>SUM('By Lot'!G1616:G1617,'By Lot'!G1754:G1755,'By Lot'!G1771:G1772,'By Lot'!G1788:G1789,'By Lot'!G1805:G1806,'By Lot'!G1857,'By Lot'!G1873:G1874,'By Lot'!G1907:G1908)</f>
        <v>3</v>
      </c>
      <c r="F138" s="504">
        <f>SUM('By Lot'!H1616:H1617,'By Lot'!H1754:H1755,'By Lot'!H1771:H1772,'By Lot'!H1788:H1789,'By Lot'!H1805:H1806,'By Lot'!H1857,'By Lot'!H1873:H1874,'By Lot'!H1907:H1908)</f>
        <v>1</v>
      </c>
      <c r="G138" s="504">
        <f>SUM('By Lot'!I1616:I1617,'By Lot'!I1754:I1755,'By Lot'!I1771:I1772,'By Lot'!I1788:I1789,'By Lot'!I1805:I1806,'By Lot'!I1857,'By Lot'!I1873:I1874,'By Lot'!I1907:I1908)</f>
        <v>2</v>
      </c>
      <c r="H138" s="504">
        <f>SUM('By Lot'!J1616:J1617,'By Lot'!J1754:J1755,'By Lot'!J1771:J1772,'By Lot'!J1788:J1789,'By Lot'!J1805:J1806,'By Lot'!J1857,'By Lot'!J1873:J1874,'By Lot'!J1907:J1908)</f>
        <v>2</v>
      </c>
      <c r="I138" s="504">
        <f>SUM('By Lot'!K1616:K1617,'By Lot'!K1754:K1755,'By Lot'!K1771:K1772,'By Lot'!K1788:K1789,'By Lot'!K1805:K1806,'By Lot'!K1857,'By Lot'!K1873:K1874,'By Lot'!K1907:K1908)</f>
        <v>1</v>
      </c>
      <c r="J138" s="504">
        <f>SUM('By Lot'!L1616:L1617,'By Lot'!L1754:L1755,'By Lot'!L1771:L1772,'By Lot'!L1788:L1789,'By Lot'!L1805:L1806,'By Lot'!L1857,'By Lot'!L1873:L1874,'By Lot'!L1907:L1908)</f>
        <v>1</v>
      </c>
      <c r="K138" s="504">
        <f>SUM('By Lot'!M1616:M1617,'By Lot'!M1754:M1755,'By Lot'!M1771:M1772,'By Lot'!M1788:M1789,'By Lot'!M1805:M1806,'By Lot'!M1857,'By Lot'!M1873:M1874,'By Lot'!M1907:M1908)</f>
        <v>1</v>
      </c>
      <c r="L138" s="504">
        <f>SUM('By Lot'!N1616:N1617,'By Lot'!N1754:N1755,'By Lot'!N1771:N1772,'By Lot'!N1788:N1789,'By Lot'!N1805:N1806,'By Lot'!N1857,'By Lot'!N1873:N1874,'By Lot'!N1907:N1908)</f>
        <v>4</v>
      </c>
      <c r="M138" s="110">
        <f>SUM('By Lot'!O1616:O1617,'By Lot'!O1754:O1755,'By Lot'!O1771:O1772,'By Lot'!O1788:O1789,'By Lot'!O1805:O1806,'By Lot'!O1857,'By Lot'!O1873:O1874,'By Lot'!O1907:O1908)</f>
        <v>1</v>
      </c>
      <c r="N138" s="109">
        <f t="shared" si="26"/>
        <v>1</v>
      </c>
      <c r="O138" s="504">
        <f t="shared" si="27"/>
        <v>24</v>
      </c>
      <c r="P138" s="107">
        <f t="shared" si="28"/>
        <v>0.96</v>
      </c>
      <c r="Q138" s="504"/>
      <c r="R138" s="504"/>
      <c r="S138" s="504"/>
      <c r="T138" s="504"/>
      <c r="U138" s="504"/>
      <c r="V138" s="504"/>
      <c r="W138" s="504"/>
      <c r="X138" s="504"/>
      <c r="Y138" s="504"/>
      <c r="Z138" s="504"/>
    </row>
    <row r="139" spans="1:26" ht="11.25" customHeight="1">
      <c r="A139" s="13"/>
      <c r="B139" s="13" t="s">
        <v>32</v>
      </c>
      <c r="C139" s="13">
        <f>SUM('By Lot'!E1618,'By Lot'!E1756,'By Lot'!E1773,'By Lot'!E1790,
'By Lot'!E1807,'By Lot'!E1858,'By Lot'!E1875,'By Lot'!E1909)</f>
        <v>44</v>
      </c>
      <c r="D139" s="109">
        <f>SUM('By Lot'!F1618,'By Lot'!F1756,'By Lot'!F1773,'By Lot'!F1790,'By Lot'!F1807,'By Lot'!F1858,'By Lot'!F1875,'By Lot'!F1909)</f>
        <v>33</v>
      </c>
      <c r="E139" s="504">
        <f>SUM('By Lot'!G1618,'By Lot'!G1756,'By Lot'!G1773,'By Lot'!G1790,'By Lot'!G1807,,'By Lot'!G1875,'By Lot'!G1909)</f>
        <v>29</v>
      </c>
      <c r="F139" s="504">
        <f>SUM('By Lot'!H1618,'By Lot'!H1756,'By Lot'!H1773,'By Lot'!H1790,'By Lot'!H1807,,'By Lot'!H1875,'By Lot'!H1909)</f>
        <v>22</v>
      </c>
      <c r="G139" s="504">
        <f>SUM('By Lot'!I1618,'By Lot'!I1756,'By Lot'!I1773,'By Lot'!I1790,'By Lot'!I1807,,'By Lot'!I1875,'By Lot'!I1909)</f>
        <v>19</v>
      </c>
      <c r="H139" s="504">
        <f>SUM('By Lot'!J1618,'By Lot'!J1756,'By Lot'!J1773,'By Lot'!J1790,'By Lot'!J1807,,'By Lot'!J1875,'By Lot'!J1909)</f>
        <v>21</v>
      </c>
      <c r="I139" s="504">
        <f>SUM('By Lot'!K1618,'By Lot'!K1756,'By Lot'!K1773,'By Lot'!K1790,'By Lot'!K1807,,'By Lot'!K1875,'By Lot'!K1909)</f>
        <v>20</v>
      </c>
      <c r="J139" s="504">
        <f>SUM('By Lot'!L1618,'By Lot'!L1756,'By Lot'!L1773,'By Lot'!L1790,'By Lot'!L1807,,'By Lot'!L1875,'By Lot'!L1909)</f>
        <v>20</v>
      </c>
      <c r="K139" s="504">
        <f>SUM('By Lot'!M1618,'By Lot'!M1756,'By Lot'!M1773,'By Lot'!M1790,'By Lot'!M1807,,'By Lot'!M1875,'By Lot'!M1909)</f>
        <v>16</v>
      </c>
      <c r="L139" s="504">
        <f>SUM('By Lot'!N1618,'By Lot'!N1756,'By Lot'!N1773,'By Lot'!N1790,'By Lot'!N1807,,'By Lot'!N1875,'By Lot'!N1909)</f>
        <v>17</v>
      </c>
      <c r="M139" s="110">
        <f>SUM('By Lot'!O1618,'By Lot'!O1756,'By Lot'!O1773,'By Lot'!O1790,'By Lot'!O1807,,'By Lot'!O1875,'By Lot'!O1909)</f>
        <v>22</v>
      </c>
      <c r="N139" s="109">
        <f t="shared" si="26"/>
        <v>16</v>
      </c>
      <c r="O139" s="504">
        <f t="shared" si="27"/>
        <v>28</v>
      </c>
      <c r="P139" s="107">
        <f t="shared" si="28"/>
        <v>0.63636363636363635</v>
      </c>
      <c r="Q139" s="504"/>
      <c r="R139" s="504"/>
      <c r="S139" s="504"/>
      <c r="T139" s="504"/>
      <c r="U139" s="504"/>
      <c r="V139" s="504"/>
      <c r="W139" s="504"/>
      <c r="X139" s="504"/>
      <c r="Y139" s="504"/>
      <c r="Z139" s="504"/>
    </row>
    <row r="140" spans="1:26" ht="11.25" customHeight="1">
      <c r="A140" s="13"/>
      <c r="B140" s="13" t="s">
        <v>33</v>
      </c>
      <c r="C140" s="13"/>
      <c r="D140" s="109"/>
      <c r="E140" s="504"/>
      <c r="F140" s="504"/>
      <c r="G140" s="504"/>
      <c r="H140" s="504"/>
      <c r="I140" s="504"/>
      <c r="J140" s="504"/>
      <c r="K140" s="504"/>
      <c r="L140" s="504"/>
      <c r="M140" s="110"/>
      <c r="N140" s="109"/>
      <c r="O140" s="504"/>
      <c r="P140" s="107"/>
      <c r="Q140" s="504"/>
      <c r="R140" s="504"/>
      <c r="S140" s="504"/>
      <c r="T140" s="504"/>
      <c r="U140" s="504"/>
      <c r="V140" s="504"/>
      <c r="W140" s="504"/>
      <c r="X140" s="504"/>
      <c r="Y140" s="504"/>
      <c r="Z140" s="504"/>
    </row>
    <row r="141" spans="1:26" ht="11.25" customHeight="1">
      <c r="A141" s="13"/>
      <c r="B141" s="13" t="s">
        <v>34</v>
      </c>
      <c r="C141" s="13">
        <f>SUM('By Lot'!E1625,'By Lot'!E1763,'By Lot'!E1780,'By Lot'!E1797,
'By Lot'!E1814,'By Lot'!E1865,'By Lot'!E1882,'By Lot'!E1916)</f>
        <v>28</v>
      </c>
      <c r="D141" s="109">
        <f>SUM('By Lot'!F1625,'By Lot'!F1763,'By Lot'!F1780,'By Lot'!F1797,'By Lot'!F1814,'By Lot'!F1865,'By Lot'!F1882,'By Lot'!F1916)</f>
        <v>19</v>
      </c>
      <c r="E141" s="504">
        <f>SUM('By Lot'!G1625,'By Lot'!G1763,'By Lot'!G1780,'By Lot'!G1797,'By Lot'!G1814,'By Lot'!G1865,'By Lot'!G1882,'By Lot'!G1916)</f>
        <v>18</v>
      </c>
      <c r="F141" s="504">
        <f>SUM('By Lot'!H1625,'By Lot'!H1763,'By Lot'!H1780,'By Lot'!H1797,'By Lot'!H1814,'By Lot'!H1865,'By Lot'!H1882,'By Lot'!H1916)</f>
        <v>17</v>
      </c>
      <c r="G141" s="504">
        <f>SUM('By Lot'!I1625,'By Lot'!I1763,'By Lot'!I1780,'By Lot'!I1797,'By Lot'!I1814,'By Lot'!I1865,'By Lot'!I1882,'By Lot'!I1916)</f>
        <v>17</v>
      </c>
      <c r="H141" s="504">
        <f>SUM('By Lot'!J1625,'By Lot'!J1763,'By Lot'!J1780,'By Lot'!J1797,'By Lot'!J1814,'By Lot'!J1865,'By Lot'!J1882,'By Lot'!J1916)</f>
        <v>18</v>
      </c>
      <c r="I141" s="504">
        <f>SUM('By Lot'!K1625,'By Lot'!K1763,'By Lot'!K1780,'By Lot'!K1797,'By Lot'!K1814,'By Lot'!K1865,'By Lot'!K1882,'By Lot'!K1916)</f>
        <v>19</v>
      </c>
      <c r="J141" s="504">
        <f>SUM('By Lot'!L1625,'By Lot'!L1763,'By Lot'!L1780,'By Lot'!L1797,'By Lot'!L1814,'By Lot'!L1865,'By Lot'!L1882,'By Lot'!L1916)</f>
        <v>19</v>
      </c>
      <c r="K141" s="504">
        <f>SUM('By Lot'!M1625,'By Lot'!M1763,'By Lot'!M1780,'By Lot'!M1797,'By Lot'!M1814,'By Lot'!M1865,'By Lot'!M1882,'By Lot'!M1916)</f>
        <v>21</v>
      </c>
      <c r="L141" s="504">
        <f>SUM('By Lot'!N1625,'By Lot'!N1763,'By Lot'!N1780,'By Lot'!N1797,'By Lot'!N1814,'By Lot'!N1865,'By Lot'!N1882,'By Lot'!N1916)</f>
        <v>20</v>
      </c>
      <c r="M141" s="110">
        <f>SUM('By Lot'!O1625,'By Lot'!O1763,'By Lot'!O1780,'By Lot'!O1797,'By Lot'!O1814,'By Lot'!O1865,'By Lot'!O1882,'By Lot'!O1916)</f>
        <v>24</v>
      </c>
      <c r="N141" s="109">
        <f>MIN(D141:M141)</f>
        <v>17</v>
      </c>
      <c r="O141" s="504">
        <f>C141-N141</f>
        <v>11</v>
      </c>
      <c r="P141" s="107">
        <f>O141/C141</f>
        <v>0.39285714285714285</v>
      </c>
      <c r="Q141" s="504"/>
      <c r="R141" s="504"/>
      <c r="S141" s="504"/>
      <c r="T141" s="504"/>
      <c r="U141" s="504"/>
      <c r="V141" s="504"/>
      <c r="W141" s="504"/>
      <c r="X141" s="504"/>
      <c r="Y141" s="504"/>
      <c r="Z141" s="504"/>
    </row>
    <row r="142" spans="1:26" ht="11.25" customHeight="1">
      <c r="A142" s="13"/>
      <c r="B142" s="13" t="s">
        <v>35</v>
      </c>
      <c r="C142" s="13"/>
      <c r="D142" s="109"/>
      <c r="E142" s="504"/>
      <c r="F142" s="504"/>
      <c r="G142" s="504"/>
      <c r="H142" s="504"/>
      <c r="I142" s="504"/>
      <c r="J142" s="504"/>
      <c r="K142" s="504"/>
      <c r="L142" s="504"/>
      <c r="M142" s="110"/>
      <c r="N142" s="109"/>
      <c r="O142" s="504"/>
      <c r="P142" s="107"/>
      <c r="Q142" s="504"/>
      <c r="R142" s="504"/>
      <c r="S142" s="504"/>
      <c r="T142" s="504"/>
      <c r="U142" s="504"/>
      <c r="V142" s="504"/>
      <c r="W142" s="504"/>
      <c r="X142" s="504"/>
      <c r="Y142" s="504"/>
      <c r="Z142" s="504"/>
    </row>
    <row r="143" spans="1:26" ht="11.25" customHeight="1">
      <c r="A143" s="13"/>
      <c r="B143" s="13" t="s">
        <v>36</v>
      </c>
      <c r="C143" s="13">
        <f>SUM('By Lot'!E1627,'By Lot'!E1765,'By Lot'!E1782,'By Lot'!E1799,
'By Lot'!E1816,'By Lot'!E1867,'By Lot'!E1884,'By Lot'!E1918)</f>
        <v>6</v>
      </c>
      <c r="D143" s="109">
        <f>SUM('By Lot'!F1627,'By Lot'!F1765,'By Lot'!F1782,'By Lot'!F1799,'By Lot'!F1816,'By Lot'!F1867,'By Lot'!F1884,'By Lot'!F1918)</f>
        <v>5</v>
      </c>
      <c r="E143" s="504">
        <f>SUM(,'By Lot'!G1765,'By Lot'!G1782,'By Lot'!G1799,'By Lot'!G1816,'By Lot'!G1867,'By Lot'!G1884,'By Lot'!G1918)</f>
        <v>4</v>
      </c>
      <c r="F143" s="504">
        <f>SUM(,'By Lot'!H1765,'By Lot'!H1782,'By Lot'!H1799,'By Lot'!H1816,'By Lot'!H1867,'By Lot'!H1884,'By Lot'!H1918)</f>
        <v>4</v>
      </c>
      <c r="G143" s="504">
        <f>SUM(,'By Lot'!I1765,'By Lot'!I1782,'By Lot'!I1799,'By Lot'!I1816,'By Lot'!I1867,'By Lot'!I1884,'By Lot'!I1918)</f>
        <v>2</v>
      </c>
      <c r="H143" s="504">
        <f>SUM(,'By Lot'!J1765,'By Lot'!J1782,'By Lot'!J1799,'By Lot'!J1816,'By Lot'!J1867,'By Lot'!J1884,'By Lot'!J1918)</f>
        <v>3</v>
      </c>
      <c r="I143" s="504">
        <f>SUM(,'By Lot'!K1765,'By Lot'!K1782,'By Lot'!K1799,'By Lot'!K1816,'By Lot'!K1867,'By Lot'!K1884,'By Lot'!K1918)</f>
        <v>3</v>
      </c>
      <c r="J143" s="504">
        <f>SUM(,'By Lot'!L1765,'By Lot'!L1782,'By Lot'!L1799,'By Lot'!L1816,'By Lot'!L1867,'By Lot'!L1884,'By Lot'!L1918)</f>
        <v>4</v>
      </c>
      <c r="K143" s="504">
        <f>SUM(,'By Lot'!M1765,'By Lot'!M1782,'By Lot'!M1799,'By Lot'!M1816,'By Lot'!M1867,'By Lot'!M1884,'By Lot'!M1918)</f>
        <v>5</v>
      </c>
      <c r="L143" s="504">
        <f>SUM(,'By Lot'!N1765,'By Lot'!N1782,'By Lot'!N1799,'By Lot'!N1816,'By Lot'!N1867,'By Lot'!N1884,'By Lot'!N1918)</f>
        <v>5</v>
      </c>
      <c r="M143" s="110">
        <f>SUM(,'By Lot'!O1765,'By Lot'!O1782,'By Lot'!O1799,'By Lot'!O1816,'By Lot'!O1867,'By Lot'!O1884,'By Lot'!O1918)</f>
        <v>5</v>
      </c>
      <c r="N143" s="109">
        <f t="shared" ref="N143:N147" si="30">MIN(D143:M143)</f>
        <v>2</v>
      </c>
      <c r="O143" s="504">
        <f>C143-N143</f>
        <v>4</v>
      </c>
      <c r="P143" s="107">
        <f>O143/C143</f>
        <v>0.66666666666666663</v>
      </c>
      <c r="Q143" s="504"/>
      <c r="R143" s="504"/>
      <c r="S143" s="504"/>
      <c r="T143" s="504"/>
      <c r="U143" s="504"/>
      <c r="V143" s="504"/>
      <c r="W143" s="504"/>
      <c r="X143" s="504"/>
      <c r="Y143" s="504"/>
      <c r="Z143" s="504"/>
    </row>
    <row r="144" spans="1:26" ht="11.25" customHeight="1">
      <c r="A144" s="13"/>
      <c r="B144" s="13" t="s">
        <v>37</v>
      </c>
      <c r="C144" s="13">
        <f>SUM('By Lot'!E1628,'By Lot'!E1766,'By Lot'!E1783,'By Lot'!E1800,
'By Lot'!E1817,'By Lot'!E1868,'By Lot'!E1885,'By Lot'!E1919)</f>
        <v>6</v>
      </c>
      <c r="D144" s="109">
        <f>SUM('By Lot'!F1628,'By Lot'!F1766,'By Lot'!F1783,'By Lot'!F1800,'By Lot'!F1817,'By Lot'!F1868,'By Lot'!F1885,'By Lot'!F1919)</f>
        <v>5</v>
      </c>
      <c r="E144" s="504">
        <f>SUM('By Lot'!G1627,'By Lot'!G1766,'By Lot'!G1783,'By Lot'!G1800,'By Lot'!G1817,'By Lot'!G1868,'By Lot'!G1885,'By Lot'!G1919)</f>
        <v>4</v>
      </c>
      <c r="F144" s="504">
        <f>SUM('By Lot'!H1627,'By Lot'!H1766,'By Lot'!H1783,'By Lot'!H1800,'By Lot'!H1817,'By Lot'!H1868,'By Lot'!H1885,'By Lot'!H1919)</f>
        <v>5</v>
      </c>
      <c r="G144" s="504">
        <f>SUM('By Lot'!I1627,'By Lot'!I1766,'By Lot'!I1783,'By Lot'!I1800,'By Lot'!I1817,'By Lot'!I1868,'By Lot'!I1885,'By Lot'!I1919)</f>
        <v>1</v>
      </c>
      <c r="H144" s="504">
        <f>SUM('By Lot'!J1627,'By Lot'!J1766,'By Lot'!J1783,'By Lot'!J1800,'By Lot'!J1817,'By Lot'!J1868,'By Lot'!J1885,'By Lot'!J1919)</f>
        <v>3</v>
      </c>
      <c r="I144" s="504">
        <f>SUM('By Lot'!K1627,'By Lot'!K1766,'By Lot'!K1783,'By Lot'!K1800,'By Lot'!K1817,'By Lot'!K1868,'By Lot'!K1885,'By Lot'!K1919)</f>
        <v>2</v>
      </c>
      <c r="J144" s="504">
        <f>SUM('By Lot'!L1627,'By Lot'!L1766,'By Lot'!L1783,'By Lot'!L1800,'By Lot'!L1817,'By Lot'!L1868,'By Lot'!L1885,'By Lot'!L1919)</f>
        <v>3</v>
      </c>
      <c r="K144" s="504">
        <f>SUM('By Lot'!M1627,'By Lot'!M1766,'By Lot'!M1783,'By Lot'!M1800,'By Lot'!M1817,'By Lot'!M1868,'By Lot'!M1885,'By Lot'!M1919)</f>
        <v>3</v>
      </c>
      <c r="L144" s="504">
        <f>SUM('By Lot'!N1627,'By Lot'!N1766,'By Lot'!N1783,'By Lot'!N1800,'By Lot'!N1817,'By Lot'!N1868,'By Lot'!N1885,'By Lot'!N1919)</f>
        <v>1</v>
      </c>
      <c r="M144" s="110">
        <f>SUM('By Lot'!O1627,'By Lot'!O1766,'By Lot'!O1783,'By Lot'!O1800,'By Lot'!O1817,'By Lot'!O1868,'By Lot'!O1885,'By Lot'!O1919)</f>
        <v>2</v>
      </c>
      <c r="N144" s="109">
        <f t="shared" si="30"/>
        <v>1</v>
      </c>
      <c r="O144" s="504">
        <f>C144-N144</f>
        <v>5</v>
      </c>
      <c r="P144" s="107">
        <f>O144/C144</f>
        <v>0.83333333333333337</v>
      </c>
      <c r="Q144" s="504"/>
      <c r="R144" s="504"/>
      <c r="S144" s="504"/>
      <c r="T144" s="504"/>
      <c r="U144" s="504"/>
      <c r="V144" s="504"/>
      <c r="W144" s="504"/>
      <c r="X144" s="504"/>
      <c r="Y144" s="504"/>
      <c r="Z144" s="504"/>
    </row>
    <row r="145" spans="1:26" ht="11.25" customHeight="1">
      <c r="A145" s="2"/>
      <c r="B145" s="3" t="s">
        <v>38</v>
      </c>
      <c r="C145" s="3">
        <f t="shared" ref="C145:M145" si="31">SUM(C134:C144)</f>
        <v>154</v>
      </c>
      <c r="D145" s="21">
        <f t="shared" si="31"/>
        <v>75</v>
      </c>
      <c r="E145" s="71">
        <f t="shared" si="31"/>
        <v>61</v>
      </c>
      <c r="F145" s="71">
        <f t="shared" si="31"/>
        <v>52</v>
      </c>
      <c r="G145" s="71">
        <f t="shared" si="31"/>
        <v>44</v>
      </c>
      <c r="H145" s="71">
        <f t="shared" si="31"/>
        <v>49</v>
      </c>
      <c r="I145" s="71">
        <f t="shared" si="31"/>
        <v>48</v>
      </c>
      <c r="J145" s="71">
        <f t="shared" si="31"/>
        <v>51</v>
      </c>
      <c r="K145" s="71">
        <f t="shared" si="31"/>
        <v>51</v>
      </c>
      <c r="L145" s="71">
        <f t="shared" si="31"/>
        <v>55</v>
      </c>
      <c r="M145" s="26">
        <f t="shared" si="31"/>
        <v>64</v>
      </c>
      <c r="N145" s="21">
        <f t="shared" si="30"/>
        <v>44</v>
      </c>
      <c r="O145" s="71">
        <f>C145-N145</f>
        <v>110</v>
      </c>
      <c r="P145" s="7">
        <f>O145/C145</f>
        <v>0.7142857142857143</v>
      </c>
      <c r="Q145" s="504"/>
      <c r="R145" s="504"/>
      <c r="S145" s="504"/>
      <c r="T145" s="504"/>
      <c r="U145" s="504"/>
      <c r="V145" s="504"/>
      <c r="W145" s="504"/>
      <c r="X145" s="504"/>
      <c r="Y145" s="504"/>
      <c r="Z145" s="504"/>
    </row>
    <row r="146" spans="1:26" ht="11.25" customHeight="1">
      <c r="A146" s="397" t="s">
        <v>42</v>
      </c>
      <c r="B146" s="13" t="s">
        <v>23</v>
      </c>
      <c r="C146" s="13">
        <f>SUM('By Lot'!E1836,'By Lot'!E1887)</f>
        <v>26</v>
      </c>
      <c r="D146" s="504">
        <f>SUM('By Lot'!F1836,'By Lot'!F1887)</f>
        <v>23</v>
      </c>
      <c r="E146" s="504">
        <f>SUM('By Lot'!G1836,'By Lot'!G1887)</f>
        <v>23</v>
      </c>
      <c r="F146" s="504">
        <f>SUM('By Lot'!H1836,'By Lot'!H1887)</f>
        <v>18</v>
      </c>
      <c r="G146" s="504">
        <f>SUM('By Lot'!I1836,'By Lot'!I1887)</f>
        <v>18</v>
      </c>
      <c r="H146" s="504">
        <f>SUM('By Lot'!J1836,'By Lot'!J1887)</f>
        <v>17</v>
      </c>
      <c r="I146" s="504">
        <f>SUM('By Lot'!K1836,'By Lot'!K1887)</f>
        <v>5</v>
      </c>
      <c r="J146" s="504">
        <f>SUM('By Lot'!L1836,'By Lot'!L1887)</f>
        <v>17</v>
      </c>
      <c r="K146" s="504">
        <f>SUM('By Lot'!M1836,'By Lot'!M1887)</f>
        <v>11</v>
      </c>
      <c r="L146" s="504">
        <f>SUM('By Lot'!N1836,'By Lot'!N1887)</f>
        <v>14</v>
      </c>
      <c r="M146" s="110">
        <f>SUM('By Lot'!O1836,'By Lot'!O1887)</f>
        <v>13</v>
      </c>
      <c r="N146" s="109">
        <f t="shared" si="30"/>
        <v>5</v>
      </c>
      <c r="O146" s="504">
        <f>C146-N146</f>
        <v>21</v>
      </c>
      <c r="P146" s="107">
        <f>O146/C146</f>
        <v>0.80769230769230771</v>
      </c>
      <c r="Q146" s="504"/>
      <c r="R146" s="504"/>
      <c r="S146" s="504"/>
      <c r="T146" s="504"/>
      <c r="U146" s="504"/>
      <c r="V146" s="504"/>
      <c r="W146" s="504"/>
      <c r="X146" s="504"/>
      <c r="Y146" s="504"/>
      <c r="Z146" s="504"/>
    </row>
    <row r="147" spans="1:26" ht="11.25" customHeight="1">
      <c r="A147" s="13" t="s">
        <v>97</v>
      </c>
      <c r="B147" s="13" t="s">
        <v>25</v>
      </c>
      <c r="C147" s="13">
        <f>SUM('By Lot'!E1837,'By Lot'!E1888)</f>
        <v>219</v>
      </c>
      <c r="D147" s="504">
        <f>SUM('By Lot'!F1837,'By Lot'!F1888)</f>
        <v>42</v>
      </c>
      <c r="E147" s="504">
        <f>SUM('By Lot'!G1837,'By Lot'!G1888)</f>
        <v>17</v>
      </c>
      <c r="F147" s="504">
        <f>SUM('By Lot'!H1837,'By Lot'!H1888)</f>
        <v>7</v>
      </c>
      <c r="G147" s="504">
        <f>SUM('By Lot'!I1837,'By Lot'!I1888)</f>
        <v>5</v>
      </c>
      <c r="H147" s="504">
        <f>SUM('By Lot'!J1837,'By Lot'!J1888)</f>
        <v>7</v>
      </c>
      <c r="I147" s="504">
        <f>SUM('By Lot'!K1837,'By Lot'!K1888)</f>
        <v>6</v>
      </c>
      <c r="J147" s="504">
        <f>SUM('By Lot'!L1837,'By Lot'!L1888)</f>
        <v>10</v>
      </c>
      <c r="K147" s="504">
        <f>SUM('By Lot'!M1837,'By Lot'!M1888)</f>
        <v>43</v>
      </c>
      <c r="L147" s="504">
        <f>SUM('By Lot'!N1837,'By Lot'!N1888)</f>
        <v>81</v>
      </c>
      <c r="M147" s="110">
        <f>SUM('By Lot'!O1837,'By Lot'!O1888)</f>
        <v>94</v>
      </c>
      <c r="N147" s="109">
        <f t="shared" si="30"/>
        <v>5</v>
      </c>
      <c r="O147" s="504">
        <f>C147-N147</f>
        <v>214</v>
      </c>
      <c r="P147" s="107">
        <f>O147/C147</f>
        <v>0.97716894977168944</v>
      </c>
      <c r="Q147" s="504"/>
      <c r="R147" s="504"/>
      <c r="S147" s="504"/>
      <c r="T147" s="504"/>
      <c r="U147" s="504"/>
      <c r="V147" s="504"/>
      <c r="W147" s="504"/>
      <c r="X147" s="504"/>
      <c r="Y147" s="504"/>
      <c r="Z147" s="504"/>
    </row>
    <row r="148" spans="1:26" ht="11.25" customHeight="1">
      <c r="A148" s="13" t="s">
        <v>98</v>
      </c>
      <c r="B148" s="13" t="s">
        <v>27</v>
      </c>
      <c r="C148" s="13"/>
      <c r="D148" s="504"/>
      <c r="E148" s="504"/>
      <c r="F148" s="504"/>
      <c r="G148" s="504"/>
      <c r="H148" s="504"/>
      <c r="I148" s="504"/>
      <c r="J148" s="504"/>
      <c r="K148" s="504"/>
      <c r="L148" s="504"/>
      <c r="M148" s="110"/>
      <c r="N148" s="109"/>
      <c r="O148" s="504"/>
      <c r="P148" s="107"/>
      <c r="Q148" s="504"/>
      <c r="R148" s="504"/>
      <c r="S148" s="504"/>
      <c r="T148" s="504"/>
      <c r="U148" s="504"/>
      <c r="V148" s="504"/>
      <c r="W148" s="504"/>
      <c r="X148" s="504"/>
      <c r="Y148" s="504"/>
      <c r="Z148" s="504"/>
    </row>
    <row r="149" spans="1:26" ht="11.25" customHeight="1">
      <c r="A149" s="13"/>
      <c r="B149" s="13" t="s">
        <v>31</v>
      </c>
      <c r="C149" s="13">
        <f>SUM('By Lot'!E1839:E1840,'By Lot'!E1890:E1891)</f>
        <v>25</v>
      </c>
      <c r="D149" s="504">
        <f>SUM('By Lot'!F1839:F1840,'By Lot'!F1890:F1891)</f>
        <v>8</v>
      </c>
      <c r="E149" s="504">
        <f>SUM('By Lot'!G1839:G1840,'By Lot'!G1890:G1891)</f>
        <v>11</v>
      </c>
      <c r="F149" s="504">
        <f>SUM('By Lot'!H1839:H1840,'By Lot'!H1890:H1891)</f>
        <v>10</v>
      </c>
      <c r="G149" s="504">
        <f>SUM('By Lot'!I1839:I1840,'By Lot'!I1890:I1891)</f>
        <v>8</v>
      </c>
      <c r="H149" s="504">
        <f>SUM('By Lot'!J1839:J1840,'By Lot'!J1890:J1891)</f>
        <v>11</v>
      </c>
      <c r="I149" s="504">
        <f>SUM('By Lot'!K1839:K1840,'By Lot'!K1890:K1891)</f>
        <v>16</v>
      </c>
      <c r="J149" s="504">
        <f>SUM('By Lot'!L1839:L1840,'By Lot'!L1890:L1891)</f>
        <v>8</v>
      </c>
      <c r="K149" s="504">
        <f>SUM('By Lot'!M1839:M1840,'By Lot'!M1890:M1891)</f>
        <v>9</v>
      </c>
      <c r="L149" s="504">
        <f>SUM('By Lot'!N1839:N1840,'By Lot'!N1890:N1891)</f>
        <v>12</v>
      </c>
      <c r="M149" s="110">
        <f>SUM('By Lot'!O1839:O1840,'By Lot'!O1890:O1891)</f>
        <v>12</v>
      </c>
      <c r="N149" s="109">
        <f>MIN(D149:M149)</f>
        <v>8</v>
      </c>
      <c r="O149" s="504">
        <f>C149-N149</f>
        <v>17</v>
      </c>
      <c r="P149" s="107">
        <f>O149/C149</f>
        <v>0.68</v>
      </c>
      <c r="Q149" s="504"/>
      <c r="R149" s="504"/>
      <c r="S149" s="504"/>
      <c r="T149" s="504"/>
      <c r="U149" s="504"/>
      <c r="V149" s="504"/>
      <c r="W149" s="504"/>
      <c r="X149" s="504"/>
      <c r="Y149" s="504"/>
      <c r="Z149" s="504"/>
    </row>
    <row r="150" spans="1:26" ht="11.25" customHeight="1">
      <c r="A150" s="13"/>
      <c r="B150" s="13" t="s">
        <v>32</v>
      </c>
      <c r="C150" s="13">
        <f>SUM('By Lot'!E1841,'By Lot'!E1892)</f>
        <v>1</v>
      </c>
      <c r="D150" s="504">
        <f>SUM('By Lot'!F1841,'By Lot'!F1892)</f>
        <v>1</v>
      </c>
      <c r="E150" s="504">
        <f>SUM('By Lot'!G1841,'By Lot'!G1892)</f>
        <v>1</v>
      </c>
      <c r="F150" s="504">
        <f>SUM('By Lot'!H1841,'By Lot'!H1892)</f>
        <v>1</v>
      </c>
      <c r="G150" s="504">
        <f>SUM('By Lot'!I1841,'By Lot'!I1892)</f>
        <v>1</v>
      </c>
      <c r="H150" s="504">
        <f>SUM('By Lot'!J1841,'By Lot'!J1892)</f>
        <v>1</v>
      </c>
      <c r="I150" s="504">
        <f>SUM('By Lot'!K1841,'By Lot'!K1892)</f>
        <v>1</v>
      </c>
      <c r="J150" s="504">
        <f>SUM('By Lot'!L1841,'By Lot'!L1892)</f>
        <v>1</v>
      </c>
      <c r="K150" s="504">
        <f>SUM('By Lot'!M1841,'By Lot'!M1892)</f>
        <v>1</v>
      </c>
      <c r="L150" s="504">
        <f>SUM('By Lot'!N1841,'By Lot'!N1892)</f>
        <v>1</v>
      </c>
      <c r="M150" s="110">
        <f>SUM('By Lot'!O1841,'By Lot'!O1892)</f>
        <v>1</v>
      </c>
      <c r="N150" s="109">
        <f>MIN(D150:M150)</f>
        <v>1</v>
      </c>
      <c r="O150" s="553">
        <f>C150-N150</f>
        <v>0</v>
      </c>
      <c r="P150" s="107">
        <f>O150/C150</f>
        <v>0</v>
      </c>
      <c r="Q150" s="504"/>
      <c r="R150" s="504"/>
      <c r="S150" s="504"/>
      <c r="T150" s="504"/>
      <c r="U150" s="504"/>
      <c r="V150" s="504"/>
      <c r="W150" s="504"/>
      <c r="X150" s="504"/>
      <c r="Y150" s="504"/>
      <c r="Z150" s="504"/>
    </row>
    <row r="151" spans="1:26" ht="11.25" customHeight="1">
      <c r="A151" s="13"/>
      <c r="B151" s="13" t="s">
        <v>33</v>
      </c>
      <c r="C151" s="13">
        <f>SUM('By Lot'!E1842:E1847,'By Lot'!E1893:E1898)</f>
        <v>7</v>
      </c>
      <c r="D151" s="504">
        <f>SUM('By Lot'!F1842:F1847,'By Lot'!F1893:F1898)</f>
        <v>3</v>
      </c>
      <c r="E151" s="504">
        <f>SUM('By Lot'!G1842:G1847,'By Lot'!G1893:G1898)</f>
        <v>3</v>
      </c>
      <c r="F151" s="504">
        <f>SUM('By Lot'!H1842:H1847,'By Lot'!H1893:H1898)</f>
        <v>3</v>
      </c>
      <c r="G151" s="504">
        <f>SUM('By Lot'!I1842:I1847,'By Lot'!I1893:I1898)</f>
        <v>3</v>
      </c>
      <c r="H151" s="504">
        <f>SUM('By Lot'!J1842:J1847,'By Lot'!J1893:J1898)</f>
        <v>3</v>
      </c>
      <c r="I151" s="504">
        <f>SUM('By Lot'!K1842:K1847,'By Lot'!K1893:K1898)</f>
        <v>5</v>
      </c>
      <c r="J151" s="504">
        <f>SUM('By Lot'!L1842:L1847,'By Lot'!L1893:L1898)</f>
        <v>5</v>
      </c>
      <c r="K151" s="504">
        <f>SUM('By Lot'!M1842:M1847,'By Lot'!M1893:M1898)</f>
        <v>4</v>
      </c>
      <c r="L151" s="504">
        <f>SUM('By Lot'!N1842:N1847,'By Lot'!N1893:N1898)</f>
        <v>5</v>
      </c>
      <c r="M151" s="110">
        <f>SUM('By Lot'!O1842:O1847,'By Lot'!O1893:O1898)</f>
        <v>5</v>
      </c>
      <c r="N151" s="109">
        <f t="shared" ref="N151:N182" si="32">MIN(D151:M151)</f>
        <v>3</v>
      </c>
      <c r="O151" s="504">
        <f t="shared" ref="O151:O182" si="33">C151-N151</f>
        <v>4</v>
      </c>
      <c r="P151" s="107">
        <f t="shared" ref="P151:P182" si="34">O151/C151</f>
        <v>0.5714285714285714</v>
      </c>
      <c r="Q151" s="504"/>
      <c r="R151" s="504"/>
      <c r="S151" s="504"/>
      <c r="T151" s="504"/>
      <c r="U151" s="504"/>
      <c r="V151" s="504"/>
      <c r="W151" s="504"/>
      <c r="X151" s="504"/>
      <c r="Y151" s="504"/>
      <c r="Z151" s="504"/>
    </row>
    <row r="152" spans="1:26" ht="11.25" customHeight="1">
      <c r="A152" s="13"/>
      <c r="B152" s="13" t="s">
        <v>34</v>
      </c>
      <c r="C152" s="13">
        <f>SUM('By Lot'!E1848,'By Lot'!E1899)</f>
        <v>9</v>
      </c>
      <c r="D152" s="504">
        <f>SUM('By Lot'!F1848,'By Lot'!F1899)</f>
        <v>2</v>
      </c>
      <c r="E152" s="504">
        <f>SUM('By Lot'!G1848,'By Lot'!G1899)</f>
        <v>2</v>
      </c>
      <c r="F152" s="504">
        <f>SUM('By Lot'!H1848,'By Lot'!H1899)</f>
        <v>2</v>
      </c>
      <c r="G152" s="504">
        <f>SUM('By Lot'!I1848,'By Lot'!I1899)</f>
        <v>1</v>
      </c>
      <c r="H152" s="504">
        <f>SUM('By Lot'!J1848,'By Lot'!J1899)</f>
        <v>0</v>
      </c>
      <c r="I152" s="504">
        <f>SUM('By Lot'!K1848,'By Lot'!K1899)</f>
        <v>0</v>
      </c>
      <c r="J152" s="504">
        <f>SUM('By Lot'!L1848,'By Lot'!L1899)</f>
        <v>1</v>
      </c>
      <c r="K152" s="504">
        <f>SUM('By Lot'!M1848,'By Lot'!M1899)</f>
        <v>6</v>
      </c>
      <c r="L152" s="504">
        <f>SUM('By Lot'!N1848,'By Lot'!N1899)</f>
        <v>7</v>
      </c>
      <c r="M152" s="110">
        <f>SUM('By Lot'!O1848,'By Lot'!O1899)</f>
        <v>6</v>
      </c>
      <c r="N152" s="109">
        <f t="shared" si="32"/>
        <v>0</v>
      </c>
      <c r="O152" s="504">
        <f t="shared" si="33"/>
        <v>9</v>
      </c>
      <c r="P152" s="107">
        <f t="shared" si="34"/>
        <v>1</v>
      </c>
      <c r="Q152" s="504"/>
      <c r="R152" s="504"/>
      <c r="S152" s="504"/>
      <c r="T152" s="504"/>
      <c r="U152" s="504"/>
      <c r="V152" s="504"/>
      <c r="W152" s="504"/>
      <c r="X152" s="504"/>
      <c r="Y152" s="504"/>
      <c r="Z152" s="504"/>
    </row>
    <row r="153" spans="1:26" ht="11.25" customHeight="1">
      <c r="A153" s="13"/>
      <c r="B153" s="13" t="s">
        <v>35</v>
      </c>
      <c r="C153" s="13">
        <f>SUM('By Lot'!E1849,'By Lot'!E1900)</f>
        <v>133</v>
      </c>
      <c r="D153" s="504">
        <f>SUM('By Lot'!F1849,'By Lot'!F1900)</f>
        <v>29</v>
      </c>
      <c r="E153" s="504">
        <f>SUM('By Lot'!G1849,'By Lot'!G1900)</f>
        <v>36</v>
      </c>
      <c r="F153" s="504">
        <f>SUM('By Lot'!H1849,'By Lot'!H1900)</f>
        <v>26</v>
      </c>
      <c r="G153" s="504">
        <f>SUM('By Lot'!I1849,'By Lot'!I1900)</f>
        <v>41</v>
      </c>
      <c r="H153" s="504">
        <f>SUM('By Lot'!J1849,'By Lot'!J1900)</f>
        <v>25</v>
      </c>
      <c r="I153" s="504">
        <f>SUM('By Lot'!K1849,'By Lot'!K1900)</f>
        <v>26</v>
      </c>
      <c r="J153" s="504">
        <f>SUM('By Lot'!L1849,'By Lot'!L1900)</f>
        <v>9</v>
      </c>
      <c r="K153" s="504">
        <f>SUM('By Lot'!M1849,'By Lot'!M1900)</f>
        <v>0</v>
      </c>
      <c r="L153" s="504">
        <f>SUM('By Lot'!N1849,'By Lot'!N1900)</f>
        <v>0</v>
      </c>
      <c r="M153" s="110">
        <f>SUM('By Lot'!O1849,'By Lot'!O1900)</f>
        <v>0</v>
      </c>
      <c r="N153" s="109">
        <f t="shared" si="32"/>
        <v>0</v>
      </c>
      <c r="O153" s="504">
        <f t="shared" si="33"/>
        <v>133</v>
      </c>
      <c r="P153" s="107">
        <f t="shared" si="34"/>
        <v>1</v>
      </c>
      <c r="Q153" s="504"/>
      <c r="R153" s="504"/>
      <c r="S153" s="504"/>
      <c r="T153" s="504"/>
      <c r="U153" s="504"/>
      <c r="V153" s="504"/>
      <c r="W153" s="504"/>
      <c r="X153" s="504"/>
      <c r="Y153" s="504"/>
      <c r="Z153" s="504"/>
    </row>
    <row r="154" spans="1:26" ht="11.25" customHeight="1">
      <c r="A154" s="13"/>
      <c r="B154" s="13" t="s">
        <v>36</v>
      </c>
      <c r="C154" s="13">
        <f>SUM('By Lot'!E1850,'By Lot'!E1901)</f>
        <v>9</v>
      </c>
      <c r="D154" s="504">
        <f>SUM(,'By Lot'!F1901)</f>
        <v>1</v>
      </c>
      <c r="E154" s="504">
        <f>SUM(,'By Lot'!G1901)</f>
        <v>1</v>
      </c>
      <c r="F154" s="504">
        <f>SUM('By Lot'!G1850,'By Lot'!H1901)</f>
        <v>3</v>
      </c>
      <c r="G154" s="504">
        <f>SUM('By Lot'!H1850,'By Lot'!I1901)</f>
        <v>3</v>
      </c>
      <c r="H154" s="504">
        <f>SUM('By Lot'!I1850,'By Lot'!J1901)</f>
        <v>3</v>
      </c>
      <c r="I154" s="504">
        <f>SUM('By Lot'!J1850,'By Lot'!K1901)</f>
        <v>2</v>
      </c>
      <c r="J154" s="504">
        <f>SUM('By Lot'!K1850,'By Lot'!L1901)</f>
        <v>2</v>
      </c>
      <c r="K154" s="504">
        <f>SUM('By Lot'!L1850,'By Lot'!M1901)</f>
        <v>2</v>
      </c>
      <c r="L154" s="504">
        <f>SUM('By Lot'!M1850,'By Lot'!N1901)</f>
        <v>4</v>
      </c>
      <c r="M154" s="110">
        <f>SUM('By Lot'!N1850,'By Lot'!O1901)</f>
        <v>3</v>
      </c>
      <c r="N154" s="109">
        <f t="shared" si="32"/>
        <v>1</v>
      </c>
      <c r="O154" s="504">
        <f t="shared" si="33"/>
        <v>8</v>
      </c>
      <c r="P154" s="107">
        <f t="shared" si="34"/>
        <v>0.88888888888888884</v>
      </c>
      <c r="Q154" s="504"/>
      <c r="R154" s="504"/>
      <c r="S154" s="504"/>
      <c r="T154" s="504"/>
      <c r="U154" s="504"/>
      <c r="V154" s="504"/>
      <c r="W154" s="504"/>
      <c r="X154" s="504"/>
      <c r="Y154" s="504"/>
      <c r="Z154" s="504"/>
    </row>
    <row r="155" spans="1:26" ht="11.25" customHeight="1">
      <c r="A155" s="13"/>
      <c r="B155" s="13" t="s">
        <v>37</v>
      </c>
      <c r="C155" s="13">
        <f>SUM('By Lot'!E1851,'By Lot'!E1902)</f>
        <v>4</v>
      </c>
      <c r="D155" s="504">
        <f>SUM('By Lot'!F1851,'By Lot'!F1902)</f>
        <v>3</v>
      </c>
      <c r="E155" s="504">
        <f>SUM('By Lot'!G1851,'By Lot'!G1902)</f>
        <v>3</v>
      </c>
      <c r="F155" s="504">
        <f>SUM('By Lot'!H1851,'By Lot'!H1902)</f>
        <v>3</v>
      </c>
      <c r="G155" s="504">
        <f>SUM('By Lot'!I1851,'By Lot'!I1902)</f>
        <v>3</v>
      </c>
      <c r="H155" s="504">
        <f>SUM('By Lot'!J1851,'By Lot'!J1902)</f>
        <v>2</v>
      </c>
      <c r="I155" s="504">
        <f>SUM('By Lot'!K1851,'By Lot'!K1902)</f>
        <v>3</v>
      </c>
      <c r="J155" s="504">
        <f>SUM('By Lot'!L1851,'By Lot'!L1902)</f>
        <v>4</v>
      </c>
      <c r="K155" s="504">
        <f>SUM('By Lot'!M1851,'By Lot'!M1902)</f>
        <v>4</v>
      </c>
      <c r="L155" s="504">
        <f>SUM('By Lot'!N1851,'By Lot'!N1902)</f>
        <v>4</v>
      </c>
      <c r="M155" s="110">
        <f>SUM('By Lot'!O1851,'By Lot'!O1902)</f>
        <v>3</v>
      </c>
      <c r="N155" s="109">
        <f t="shared" si="32"/>
        <v>2</v>
      </c>
      <c r="O155" s="504">
        <f t="shared" si="33"/>
        <v>2</v>
      </c>
      <c r="P155" s="107">
        <f t="shared" si="34"/>
        <v>0.5</v>
      </c>
      <c r="Q155" s="504"/>
      <c r="R155" s="504"/>
      <c r="S155" s="504"/>
      <c r="T155" s="504"/>
      <c r="U155" s="504"/>
      <c r="V155" s="504"/>
      <c r="W155" s="504"/>
      <c r="X155" s="504"/>
      <c r="Y155" s="504"/>
      <c r="Z155" s="504"/>
    </row>
    <row r="156" spans="1:26" ht="11.25" customHeight="1">
      <c r="A156" s="2"/>
      <c r="B156" s="3" t="s">
        <v>38</v>
      </c>
      <c r="C156" s="3">
        <f t="shared" ref="C156:M156" si="35">SUM(C146:C155)</f>
        <v>433</v>
      </c>
      <c r="D156" s="21">
        <f t="shared" si="35"/>
        <v>112</v>
      </c>
      <c r="E156" s="71">
        <f t="shared" si="35"/>
        <v>97</v>
      </c>
      <c r="F156" s="71">
        <f t="shared" si="35"/>
        <v>73</v>
      </c>
      <c r="G156" s="71">
        <f t="shared" si="35"/>
        <v>83</v>
      </c>
      <c r="H156" s="71">
        <f t="shared" si="35"/>
        <v>69</v>
      </c>
      <c r="I156" s="71">
        <f t="shared" si="35"/>
        <v>64</v>
      </c>
      <c r="J156" s="71">
        <f t="shared" si="35"/>
        <v>57</v>
      </c>
      <c r="K156" s="71">
        <f t="shared" si="35"/>
        <v>80</v>
      </c>
      <c r="L156" s="71">
        <f t="shared" si="35"/>
        <v>128</v>
      </c>
      <c r="M156" s="26">
        <f t="shared" si="35"/>
        <v>137</v>
      </c>
      <c r="N156" s="21">
        <f t="shared" si="32"/>
        <v>57</v>
      </c>
      <c r="O156" s="71">
        <f t="shared" si="33"/>
        <v>376</v>
      </c>
      <c r="P156" s="7">
        <f t="shared" si="34"/>
        <v>0.86836027713625863</v>
      </c>
      <c r="Q156" s="504"/>
      <c r="R156" s="504"/>
      <c r="S156" s="504"/>
      <c r="T156" s="504"/>
      <c r="U156" s="504"/>
      <c r="V156" s="504"/>
      <c r="W156" s="504"/>
      <c r="X156" s="504"/>
      <c r="Y156" s="504"/>
      <c r="Z156" s="504"/>
    </row>
    <row r="157" spans="1:26" ht="11.25" customHeight="1">
      <c r="A157" s="398" t="s">
        <v>99</v>
      </c>
      <c r="B157" s="13" t="s">
        <v>23</v>
      </c>
      <c r="C157" s="13">
        <f>SUM('By Lot'!E1341,'By Lot'!E1375,'By Lot'!E1392,'By Lot'!E1426,'By Lot'!E1443,'By Lot'!E1630,'By Lot'!E1647,'By Lot'!E1666,'By Lot'!E1683,'By Lot'!E1700,'By Lot'!E1717,'By Lot'!E1819)</f>
        <v>398</v>
      </c>
      <c r="D157" s="109">
        <f>SUM('By Lot'!F1341,'By Lot'!F1375,'By Lot'!F1392,'By Lot'!F1426,'By Lot'!F1443,'By Lot'!F1630,'By Lot'!F1647,'By Lot'!F1666,'By Lot'!F1683,'By Lot'!F1700,'By Lot'!F1717,'By Lot'!F1819)</f>
        <v>354</v>
      </c>
      <c r="E157" s="504">
        <f>SUM('By Lot'!G1341,'By Lot'!G1375,'By Lot'!G1392,'By Lot'!G1426,'By Lot'!G1443,'By Lot'!G1630,'By Lot'!G1647,'By Lot'!G1666,'By Lot'!G1683,'By Lot'!G1700,'By Lot'!G1717,'By Lot'!G1819)</f>
        <v>327</v>
      </c>
      <c r="F157" s="504">
        <f>SUM('By Lot'!H1341,'By Lot'!H1375,'By Lot'!H1392,'By Lot'!H1426,'By Lot'!H1443,'By Lot'!H1630,'By Lot'!H1647,'By Lot'!H1666,'By Lot'!H1683,'By Lot'!H1700,'By Lot'!H1717,'By Lot'!H1819)</f>
        <v>310</v>
      </c>
      <c r="G157" s="504">
        <f>SUM('By Lot'!I1341,'By Lot'!I1375,'By Lot'!I1392,'By Lot'!I1426,'By Lot'!I1443,'By Lot'!I1630,'By Lot'!I1647,'By Lot'!I1666,'By Lot'!I1683,'By Lot'!I1700,'By Lot'!I1717,'By Lot'!I1819)</f>
        <v>301</v>
      </c>
      <c r="H157" s="504">
        <f>SUM('By Lot'!J1341,'By Lot'!J1375,'By Lot'!J1392,'By Lot'!J1426,'By Lot'!J1443,'By Lot'!J1630,'By Lot'!J1647,'By Lot'!J1666,'By Lot'!J1683,'By Lot'!J1700,'By Lot'!J1717,'By Lot'!J1819)</f>
        <v>292</v>
      </c>
      <c r="I157" s="504">
        <f>SUM('By Lot'!K1341,'By Lot'!K1375,'By Lot'!K1392,'By Lot'!K1426,'By Lot'!K1443,'By Lot'!K1630,'By Lot'!K1647,'By Lot'!K1666,'By Lot'!K1683,'By Lot'!K1700,'By Lot'!K1717,'By Lot'!K1819)</f>
        <v>295</v>
      </c>
      <c r="J157" s="504">
        <f>SUM('By Lot'!L1341,'By Lot'!L1375,'By Lot'!L1392,'By Lot'!L1426,'By Lot'!L1443,'By Lot'!L1630,'By Lot'!L1647,'By Lot'!L1666,'By Lot'!L1683,'By Lot'!L1700,'By Lot'!L1717,'By Lot'!L1819)</f>
        <v>302</v>
      </c>
      <c r="K157" s="504">
        <f>SUM('By Lot'!M1341,'By Lot'!M1375,'By Lot'!M1392,'By Lot'!M1426,'By Lot'!M1443,'By Lot'!M1630,'By Lot'!M1647,'By Lot'!M1666,'By Lot'!M1683,'By Lot'!M1700,'By Lot'!M1717,'By Lot'!M1819)</f>
        <v>305</v>
      </c>
      <c r="L157" s="504">
        <f>SUM('By Lot'!N1341,'By Lot'!N1375,'By Lot'!N1392,'By Lot'!N1426,'By Lot'!N1443,'By Lot'!N1630,'By Lot'!N1647,'By Lot'!N1666,'By Lot'!N1683,'By Lot'!N1700,'By Lot'!N1717,'By Lot'!N1819)</f>
        <v>309</v>
      </c>
      <c r="M157" s="110">
        <f>SUM('By Lot'!O1341,'By Lot'!O1375,'By Lot'!O1392,'By Lot'!O1426,'By Lot'!O1443,'By Lot'!O1630,'By Lot'!O1647,'By Lot'!O1666,'By Lot'!O1683,'By Lot'!O1700,'By Lot'!O1717,'By Lot'!O1819)</f>
        <v>313</v>
      </c>
      <c r="N157" s="109">
        <f t="shared" si="32"/>
        <v>292</v>
      </c>
      <c r="O157" s="504">
        <f t="shared" si="33"/>
        <v>106</v>
      </c>
      <c r="P157" s="107">
        <f t="shared" si="34"/>
        <v>0.26633165829145727</v>
      </c>
      <c r="Q157" s="504"/>
      <c r="R157" s="504"/>
      <c r="S157" s="504"/>
      <c r="T157" s="504"/>
      <c r="U157" s="504"/>
      <c r="V157" s="504"/>
      <c r="W157" s="504"/>
      <c r="X157" s="504"/>
      <c r="Y157" s="504"/>
      <c r="Z157" s="504"/>
    </row>
    <row r="158" spans="1:26" ht="11.25" customHeight="1">
      <c r="A158" s="109" t="s">
        <v>76</v>
      </c>
      <c r="B158" s="13" t="s">
        <v>56</v>
      </c>
      <c r="C158" s="13">
        <f>'By Lot'!E1358</f>
        <v>4</v>
      </c>
      <c r="D158" s="109">
        <f>'By Lot'!F1358</f>
        <v>2</v>
      </c>
      <c r="E158" s="504">
        <f>'By Lot'!G1358</f>
        <v>2</v>
      </c>
      <c r="F158" s="504">
        <f>'By Lot'!H1358</f>
        <v>2</v>
      </c>
      <c r="G158" s="504">
        <f>'By Lot'!I1358</f>
        <v>2</v>
      </c>
      <c r="H158" s="504">
        <f>'By Lot'!J1358</f>
        <v>2</v>
      </c>
      <c r="I158" s="504">
        <f>'By Lot'!K1358</f>
        <v>2</v>
      </c>
      <c r="J158" s="504">
        <f>'By Lot'!L1358</f>
        <v>2</v>
      </c>
      <c r="K158" s="504">
        <f>'By Lot'!M1358</f>
        <v>2</v>
      </c>
      <c r="L158" s="504">
        <f>'By Lot'!N1358</f>
        <v>1</v>
      </c>
      <c r="M158" s="110">
        <f>'By Lot'!O1358</f>
        <v>1</v>
      </c>
      <c r="N158" s="109">
        <f t="shared" si="32"/>
        <v>1</v>
      </c>
      <c r="O158" s="504">
        <f t="shared" si="33"/>
        <v>3</v>
      </c>
      <c r="P158" s="107">
        <f t="shared" si="34"/>
        <v>0.75</v>
      </c>
      <c r="Q158" s="504"/>
      <c r="R158" s="504"/>
      <c r="S158" s="504"/>
      <c r="T158" s="504"/>
      <c r="U158" s="504"/>
      <c r="V158" s="504"/>
      <c r="W158" s="504"/>
      <c r="X158" s="504"/>
      <c r="Y158" s="504"/>
      <c r="Z158" s="504"/>
    </row>
    <row r="159" spans="1:26" ht="11.25" customHeight="1">
      <c r="A159" s="109"/>
      <c r="B159" s="13" t="s">
        <v>25</v>
      </c>
      <c r="C159" s="13">
        <f>SUM('By Lot'!E1342,'By Lot'!E1359,'By Lot'!E1376,'By Lot'!E1393,'By Lot'!E1427,'By Lot'!E1444,'By Lot'!E1631,'By Lot'!E1648,'By Lot'!E1667,'By Lot'!E1684,'By Lot'!E1701,'By Lot'!E1718,'By Lot'!E1820)</f>
        <v>232</v>
      </c>
      <c r="D159" s="109">
        <f>SUM('By Lot'!F1342,'By Lot'!F1359,'By Lot'!F1376,'By Lot'!F1393,'By Lot'!F1427,'By Lot'!F1444,'By Lot'!F1631,'By Lot'!F1648,'By Lot'!F1667,'By Lot'!F1684,'By Lot'!F1701,'By Lot'!F1718,'By Lot'!F1820)</f>
        <v>91</v>
      </c>
      <c r="E159" s="504">
        <f>SUM('By Lot'!G1342,'By Lot'!G1359,'By Lot'!G1376,'By Lot'!G1393,'By Lot'!G1427,'By Lot'!G1444,'By Lot'!G1631,'By Lot'!G1648,'By Lot'!G1667,'By Lot'!G1684,'By Lot'!G1701,'By Lot'!G1718,'By Lot'!G1820)</f>
        <v>52</v>
      </c>
      <c r="F159" s="504">
        <f>SUM('By Lot'!H1342,'By Lot'!H1359,'By Lot'!H1376,'By Lot'!H1393,'By Lot'!H1427,'By Lot'!H1444,'By Lot'!H1631,'By Lot'!H1648,'By Lot'!H1667,'By Lot'!H1684,'By Lot'!H1701,'By Lot'!H1718,'By Lot'!H1820)</f>
        <v>26</v>
      </c>
      <c r="G159" s="504">
        <f>SUM('By Lot'!I1342,'By Lot'!I1359,'By Lot'!I1376,'By Lot'!I1393,'By Lot'!I1427,'By Lot'!I1444,'By Lot'!I1631,'By Lot'!I1648,'By Lot'!I1667,'By Lot'!I1684,'By Lot'!I1701,'By Lot'!I1718,'By Lot'!I1820)</f>
        <v>5</v>
      </c>
      <c r="H159" s="504">
        <f>SUM('By Lot'!J1342,'By Lot'!J1359,'By Lot'!J1376,'By Lot'!J1393,'By Lot'!J1427,'By Lot'!J1444,'By Lot'!J1631,'By Lot'!J1648,'By Lot'!J1667,'By Lot'!J1684,'By Lot'!J1701,'By Lot'!J1718,'By Lot'!J1820)</f>
        <v>8</v>
      </c>
      <c r="I159" s="504">
        <f>SUM('By Lot'!K1342,'By Lot'!K1359,'By Lot'!K1376,'By Lot'!K1393,'By Lot'!K1427,'By Lot'!K1444,'By Lot'!K1631,'By Lot'!K1648,'By Lot'!K1667,'By Lot'!K1684,'By Lot'!K1701,'By Lot'!K1718,'By Lot'!K1820)</f>
        <v>6</v>
      </c>
      <c r="J159" s="504">
        <f>SUM('By Lot'!L1342,'By Lot'!L1359,'By Lot'!L1376,'By Lot'!L1393,'By Lot'!L1427,'By Lot'!L1444,'By Lot'!L1631,'By Lot'!L1648,'By Lot'!L1667,'By Lot'!L1684,'By Lot'!L1701,'By Lot'!L1718,'By Lot'!L1820)</f>
        <v>10</v>
      </c>
      <c r="K159" s="504">
        <f>SUM('By Lot'!M1342,'By Lot'!M1359,'By Lot'!M1376,'By Lot'!M1393,'By Lot'!M1427,'By Lot'!M1444,'By Lot'!M1631,'By Lot'!M1648,'By Lot'!M1667,'By Lot'!M1684,'By Lot'!M1701,'By Lot'!M1718,'By Lot'!M1820)</f>
        <v>28</v>
      </c>
      <c r="L159" s="504">
        <f>SUM('By Lot'!N1342,'By Lot'!N1359,'By Lot'!N1376,'By Lot'!N1393,'By Lot'!N1427,'By Lot'!N1444,'By Lot'!N1631,'By Lot'!N1648,'By Lot'!N1667,'By Lot'!N1684,'By Lot'!N1701,'By Lot'!N1718,'By Lot'!N1820)</f>
        <v>45</v>
      </c>
      <c r="M159" s="110">
        <f>SUM('By Lot'!O1342,'By Lot'!O1359,'By Lot'!O1376,'By Lot'!O1393,'By Lot'!O1427,'By Lot'!O1444,'By Lot'!O1631,'By Lot'!O1648,'By Lot'!O1667,'By Lot'!O1684,'By Lot'!O1701,'By Lot'!O1718,'By Lot'!O1820)</f>
        <v>52</v>
      </c>
      <c r="N159" s="109">
        <f t="shared" si="32"/>
        <v>5</v>
      </c>
      <c r="O159" s="504">
        <f t="shared" si="33"/>
        <v>227</v>
      </c>
      <c r="P159" s="107">
        <f t="shared" si="34"/>
        <v>0.97844827586206895</v>
      </c>
      <c r="Q159" s="504"/>
      <c r="R159" s="504"/>
      <c r="S159" s="504"/>
      <c r="T159" s="504"/>
      <c r="U159" s="504"/>
      <c r="V159" s="504"/>
      <c r="W159" s="504"/>
      <c r="X159" s="504"/>
      <c r="Y159" s="504"/>
      <c r="Z159" s="504"/>
    </row>
    <row r="160" spans="1:26" ht="11.25" customHeight="1">
      <c r="A160" s="109"/>
      <c r="B160" s="13" t="s">
        <v>27</v>
      </c>
      <c r="C160" s="13">
        <f>SUM('By Lot'!E1343,'By Lot'!E1360,'By Lot'!E1377,'By Lot'!E1394,'By Lot'!E1428,'By Lot'!E1445,'By Lot'!E1632,'By Lot'!E1649,'By Lot'!E1668,'By Lot'!E1685,'By Lot'!E1702,'By Lot'!E1719,'By Lot'!E1821)</f>
        <v>88</v>
      </c>
      <c r="D160" s="109">
        <f>SUM('By Lot'!F1343,'By Lot'!F1360,'By Lot'!F1377,'By Lot'!F1394,'By Lot'!F1428,'By Lot'!F1445,'By Lot'!F1632,'By Lot'!F1649,'By Lot'!F1668,'By Lot'!F1685,'By Lot'!F1702,'By Lot'!F1719,'By Lot'!F1821)</f>
        <v>0</v>
      </c>
      <c r="E160" s="504">
        <f>SUM('By Lot'!G1343,'By Lot'!G1360,'By Lot'!G1377,'By Lot'!G1394,'By Lot'!G1428,'By Lot'!G1445,'By Lot'!G1632,'By Lot'!G1649,'By Lot'!G1668,'By Lot'!G1685,'By Lot'!G1702,'By Lot'!G1719,'By Lot'!G1821)</f>
        <v>1</v>
      </c>
      <c r="F160" s="504">
        <f>SUM('By Lot'!H1343,'By Lot'!H1360,'By Lot'!H1377,'By Lot'!H1394,'By Lot'!H1428,'By Lot'!H1445,'By Lot'!H1632,'By Lot'!H1649,'By Lot'!H1668,'By Lot'!H1685,'By Lot'!H1702,'By Lot'!H1719,'By Lot'!H1821)</f>
        <v>0</v>
      </c>
      <c r="G160" s="504">
        <f>SUM('By Lot'!I1343,'By Lot'!I1360,'By Lot'!I1377,'By Lot'!I1394,'By Lot'!I1428,'By Lot'!I1445,'By Lot'!I1632,'By Lot'!I1649,'By Lot'!I1668,'By Lot'!I1685,'By Lot'!I1702,'By Lot'!I1719,'By Lot'!I1821)</f>
        <v>1</v>
      </c>
      <c r="H160" s="504">
        <f>SUM('By Lot'!J1343,'By Lot'!J1360,'By Lot'!J1377,'By Lot'!J1394,'By Lot'!J1428,'By Lot'!J1445,'By Lot'!J1632,'By Lot'!J1649,'By Lot'!J1668,'By Lot'!J1685,'By Lot'!J1702,'By Lot'!J1719,'By Lot'!J1821)</f>
        <v>4</v>
      </c>
      <c r="I160" s="504">
        <f>SUM('By Lot'!K1343,'By Lot'!K1360,'By Lot'!K1377,'By Lot'!K1394,'By Lot'!K1428,'By Lot'!K1445,'By Lot'!K1632,'By Lot'!K1649,'By Lot'!K1668,'By Lot'!K1685,'By Lot'!K1702,'By Lot'!K1719,'By Lot'!K1821)</f>
        <v>0</v>
      </c>
      <c r="J160" s="504">
        <f>SUM('By Lot'!L1343,'By Lot'!L1360,'By Lot'!L1377,'By Lot'!L1394,'By Lot'!L1428,'By Lot'!L1445,'By Lot'!L1632,'By Lot'!L1649,'By Lot'!L1668,'By Lot'!L1685,'By Lot'!L1702,'By Lot'!L1719,'By Lot'!L1821)</f>
        <v>2</v>
      </c>
      <c r="K160" s="504">
        <f>SUM('By Lot'!M1343,'By Lot'!M1360,'By Lot'!M1377,'By Lot'!M1394,'By Lot'!M1428,'By Lot'!M1445,'By Lot'!M1632,'By Lot'!M1649,'By Lot'!M1668,'By Lot'!M1685,'By Lot'!M1702,'By Lot'!M1719,'By Lot'!M1821)</f>
        <v>4</v>
      </c>
      <c r="L160" s="504">
        <f>SUM('By Lot'!N1343,'By Lot'!N1360,'By Lot'!N1377,'By Lot'!N1394,'By Lot'!N1428,'By Lot'!N1445,'By Lot'!N1632,'By Lot'!N1649,'By Lot'!N1668,'By Lot'!N1685,'By Lot'!N1702,'By Lot'!N1719,'By Lot'!N1821)</f>
        <v>2</v>
      </c>
      <c r="M160" s="110">
        <f>SUM('By Lot'!O1343,'By Lot'!O1360,'By Lot'!O1377,'By Lot'!O1394,'By Lot'!O1428,'By Lot'!O1445,'By Lot'!O1632,'By Lot'!O1649,'By Lot'!O1668,'By Lot'!O1685,'By Lot'!O1702,'By Lot'!O1719,'By Lot'!O1821)</f>
        <v>1</v>
      </c>
      <c r="N160" s="109">
        <f t="shared" si="32"/>
        <v>0</v>
      </c>
      <c r="O160" s="504">
        <f t="shared" si="33"/>
        <v>88</v>
      </c>
      <c r="P160" s="107">
        <f t="shared" si="34"/>
        <v>1</v>
      </c>
      <c r="Q160" s="504"/>
      <c r="R160" s="504"/>
      <c r="S160" s="504"/>
      <c r="T160" s="504"/>
      <c r="U160" s="504"/>
      <c r="V160" s="504"/>
      <c r="W160" s="504"/>
      <c r="X160" s="504"/>
      <c r="Y160" s="504"/>
      <c r="Z160" s="504"/>
    </row>
    <row r="161" spans="1:26" ht="11.25" customHeight="1">
      <c r="A161" s="109"/>
      <c r="B161" s="109" t="s">
        <v>31</v>
      </c>
      <c r="C161" s="13">
        <f>SUM('By Lot'!E1344:E1345,'By Lot'!E1361:E1362,'By Lot'!E1378:E1379,'By Lot'!E1395:E1396,'By Lot'!E1429:E1430,'By Lot'!E1446:E1447,'By Lot'!E1633:E1634,'By Lot'!E1650:E1651,'By Lot'!E1669:E1670,'By Lot'!E1686:E1687,'By Lot'!E1703:E1704,'By Lot'!E1720:E1721,'By Lot'!E1822:E1823)</f>
        <v>215</v>
      </c>
      <c r="D161" s="504">
        <f>SUM('By Lot'!F1344:F1345,'By Lot'!F1361:F1362,'By Lot'!F1378:F1379,'By Lot'!F1395:F1396,'By Lot'!F1429:F1430,'By Lot'!F1446:F1447,'By Lot'!F1633:F1634,'By Lot'!F1650:F1651,'By Lot'!F1669:F1670,'By Lot'!F1686:F1687,'By Lot'!F1703:F1704,'By Lot'!F1720:F1721,'By Lot'!F1822:F1823)</f>
        <v>57</v>
      </c>
      <c r="E161" s="504">
        <f>SUM('By Lot'!G1344:G1345,'By Lot'!G1361:G1362,'By Lot'!G1378:G1379,'By Lot'!G1395:G1396,'By Lot'!G1429:G1430,'By Lot'!G1446:G1447,'By Lot'!G1633:G1634,'By Lot'!G1650:G1651,'By Lot'!G1669:G1670,'By Lot'!G1686:G1687,'By Lot'!G1703:G1704,'By Lot'!G1720:G1721,'By Lot'!G1822:G1823)</f>
        <v>18</v>
      </c>
      <c r="F161" s="504">
        <f>SUM('By Lot'!H1344:H1345,'By Lot'!H1361:H1362,'By Lot'!H1378:H1379,'By Lot'!H1395:H1396,'By Lot'!H1429:H1430,'By Lot'!H1446:H1447,'By Lot'!H1633:H1634,'By Lot'!H1650:H1651,'By Lot'!H1669:H1670,'By Lot'!H1686:H1687,'By Lot'!H1703:H1704,'By Lot'!H1720:H1721,'By Lot'!H1822:H1823)</f>
        <v>6</v>
      </c>
      <c r="G161" s="504">
        <f>SUM('By Lot'!I1344:I1345,'By Lot'!I1361:I1362,'By Lot'!I1378:I1379,'By Lot'!I1395:I1396,'By Lot'!I1429:I1430,'By Lot'!I1446:I1447,'By Lot'!I1633:I1634,'By Lot'!I1650:I1651,'By Lot'!I1669:I1670,'By Lot'!I1686:I1687,'By Lot'!I1703:I1704,'By Lot'!I1720:I1721,'By Lot'!I1822:I1823)</f>
        <v>5</v>
      </c>
      <c r="H161" s="504">
        <f>SUM('By Lot'!J1344:J1345,'By Lot'!J1361:J1362,'By Lot'!J1378:J1379,'By Lot'!J1395:J1396,'By Lot'!J1429:J1430,'By Lot'!J1446:J1447,'By Lot'!J1633:J1634,'By Lot'!J1650:J1651,'By Lot'!J1669:J1670,'By Lot'!J1686:J1687,'By Lot'!J1703:J1704,'By Lot'!J1720:J1721,'By Lot'!J1822:J1823)</f>
        <v>6</v>
      </c>
      <c r="I161" s="504">
        <f>SUM('By Lot'!K1344:K1345,'By Lot'!K1361:K1362,'By Lot'!K1378:K1379,'By Lot'!K1395:K1396,'By Lot'!K1429:K1430,'By Lot'!K1446:K1447,'By Lot'!K1633:K1634,'By Lot'!K1650:K1651,'By Lot'!K1669:K1670,'By Lot'!K1686:K1687,'By Lot'!K1703:K1704,'By Lot'!K1720:K1721,'By Lot'!K1822:K1823)</f>
        <v>7</v>
      </c>
      <c r="J161" s="504">
        <f>SUM('By Lot'!L1344:L1345,'By Lot'!L1361:L1362,'By Lot'!L1378:L1379,'By Lot'!L1395:L1396,'By Lot'!L1429:L1430,'By Lot'!L1446:L1447,'By Lot'!L1633:L1634,'By Lot'!L1650:L1651,'By Lot'!L1669:L1670,'By Lot'!L1686:L1687,'By Lot'!L1703:L1704,'By Lot'!L1720:L1721,'By Lot'!L1822:L1823)</f>
        <v>7</v>
      </c>
      <c r="K161" s="504">
        <f>SUM('By Lot'!M1344:M1345,'By Lot'!M1361:M1362,'By Lot'!M1378:M1379,'By Lot'!M1395:M1396,'By Lot'!M1429:M1430,'By Lot'!M1446:M1447,'By Lot'!M1633:M1634,'By Lot'!M1650:M1651,'By Lot'!M1669:M1670,'By Lot'!M1686:M1687,'By Lot'!M1703:M1704,'By Lot'!M1720:M1721,'By Lot'!M1822:M1823)</f>
        <v>34</v>
      </c>
      <c r="L161" s="504">
        <f>SUM('By Lot'!N1344:N1345,'By Lot'!N1361:N1362,'By Lot'!N1378:N1379,'By Lot'!N1395:N1396,'By Lot'!N1429:N1430,'By Lot'!N1446:N1447,'By Lot'!N1633:N1634,'By Lot'!N1650:N1651,'By Lot'!N1669:N1670,'By Lot'!N1686:N1687,'By Lot'!N1703:N1704,'By Lot'!N1720:N1721,'By Lot'!N1822:N1823)</f>
        <v>64</v>
      </c>
      <c r="M161" s="110">
        <f>SUM('By Lot'!O1344:O1345,'By Lot'!O1361:O1362,'By Lot'!O1378:O1379,'By Lot'!O1395:O1396,'By Lot'!O1429:O1430,'By Lot'!O1446:O1447,'By Lot'!O1633:O1634,'By Lot'!O1650:O1651,'By Lot'!O1669:O1670,'By Lot'!O1686:O1687,'By Lot'!O1703:O1704,'By Lot'!O1720:O1721,'By Lot'!O1822:O1823)</f>
        <v>73</v>
      </c>
      <c r="N161" s="504">
        <f t="shared" si="32"/>
        <v>5</v>
      </c>
      <c r="O161" s="504">
        <f t="shared" si="33"/>
        <v>210</v>
      </c>
      <c r="P161" s="107">
        <f t="shared" si="34"/>
        <v>0.97674418604651159</v>
      </c>
      <c r="Q161" s="504"/>
      <c r="R161" s="504"/>
      <c r="S161" s="504"/>
      <c r="T161" s="504"/>
      <c r="U161" s="504"/>
      <c r="V161" s="504"/>
      <c r="W161" s="504"/>
      <c r="X161" s="504"/>
      <c r="Y161" s="504"/>
      <c r="Z161" s="504"/>
    </row>
    <row r="162" spans="1:26" ht="11.25" customHeight="1">
      <c r="A162" s="109"/>
      <c r="B162" s="109" t="s">
        <v>32</v>
      </c>
      <c r="C162" s="13">
        <f>SUM('By Lot'!E1346,'By Lot'!E1363,'By Lot'!E1380,'By Lot'!E1397,'By Lot'!E1431,'By Lot'!E1448,'By Lot'!E1635,'By Lot'!E1652:E1653,'By Lot'!E1671,'By Lot'!E1688,'By Lot'!E1705,'By Lot'!E1722,'By Lot'!E1824)</f>
        <v>19</v>
      </c>
      <c r="D162" s="504">
        <f>SUM('By Lot'!F1346,'By Lot'!F1363,'By Lot'!F1380,'By Lot'!F1397,'By Lot'!F1431,'By Lot'!F1448,'By Lot'!F1635,'By Lot'!F1652:F1653,'By Lot'!F1671,'By Lot'!F1688,'By Lot'!F1705,'By Lot'!F1722,'By Lot'!F1824)</f>
        <v>11</v>
      </c>
      <c r="E162" s="504">
        <f>SUM('By Lot'!G1346,'By Lot'!G1363,'By Lot'!G1380,'By Lot'!G1397,'By Lot'!G1431,'By Lot'!G1448,'By Lot'!G1635,'By Lot'!G1652:G1653,'By Lot'!G1671,'By Lot'!G1688,'By Lot'!G1705,'By Lot'!G1722,'By Lot'!G1824)</f>
        <v>10</v>
      </c>
      <c r="F162" s="504">
        <f>SUM('By Lot'!H1346,'By Lot'!H1363,'By Lot'!H1380,'By Lot'!H1397,'By Lot'!H1431,'By Lot'!H1448,'By Lot'!H1635,'By Lot'!H1652:H1653,'By Lot'!H1671,'By Lot'!H1688,'By Lot'!H1705,'By Lot'!H1722,'By Lot'!H1824)</f>
        <v>10</v>
      </c>
      <c r="G162" s="504">
        <f>SUM('By Lot'!I1346,'By Lot'!I1363,'By Lot'!I1380,'By Lot'!I1397,'By Lot'!I1431,'By Lot'!I1448,'By Lot'!I1635,'By Lot'!I1652:I1653,'By Lot'!I1671,'By Lot'!I1688,'By Lot'!I1705,'By Lot'!I1722,'By Lot'!I1824)</f>
        <v>10</v>
      </c>
      <c r="H162" s="504">
        <f>SUM('By Lot'!J1346,'By Lot'!J1363,'By Lot'!J1380,'By Lot'!J1397,'By Lot'!J1431,'By Lot'!J1448,'By Lot'!J1635,'By Lot'!J1652:J1653,'By Lot'!J1671,'By Lot'!J1688,'By Lot'!J1705,'By Lot'!J1722,'By Lot'!J1824)</f>
        <v>11</v>
      </c>
      <c r="I162" s="504">
        <f>SUM('By Lot'!K1346,'By Lot'!K1363,'By Lot'!K1380,'By Lot'!K1397,'By Lot'!K1431,'By Lot'!K1448,'By Lot'!K1635,'By Lot'!K1652:K1653,'By Lot'!K1671,'By Lot'!K1688,'By Lot'!K1705,'By Lot'!K1722,'By Lot'!K1824)</f>
        <v>10</v>
      </c>
      <c r="J162" s="504">
        <f>SUM('By Lot'!L1346,'By Lot'!L1363,'By Lot'!L1380,'By Lot'!L1397,'By Lot'!L1431,'By Lot'!L1448,'By Lot'!L1635,'By Lot'!L1652:L1653,'By Lot'!L1671,'By Lot'!L1688,'By Lot'!L1705,'By Lot'!L1722,'By Lot'!L1824)</f>
        <v>10</v>
      </c>
      <c r="K162" s="504">
        <f>SUM('By Lot'!M1346,'By Lot'!M1363,'By Lot'!M1380,'By Lot'!M1397,'By Lot'!M1431,'By Lot'!M1448,'By Lot'!M1635,'By Lot'!M1652:M1653,'By Lot'!M1671,'By Lot'!M1688,'By Lot'!M1705,'By Lot'!M1722,'By Lot'!M1824)</f>
        <v>12</v>
      </c>
      <c r="L162" s="504">
        <f>SUM('By Lot'!N1346,'By Lot'!N1363,'By Lot'!N1380,'By Lot'!N1397,'By Lot'!N1431,'By Lot'!N1448,'By Lot'!N1635,'By Lot'!N1652:N1653,'By Lot'!N1671,'By Lot'!N1688,'By Lot'!N1705,'By Lot'!N1722,'By Lot'!N1824)</f>
        <v>12</v>
      </c>
      <c r="M162" s="110">
        <f>SUM('By Lot'!O1346,'By Lot'!O1363,'By Lot'!O1380,'By Lot'!O1397,'By Lot'!O1431,'By Lot'!O1448,'By Lot'!O1635,'By Lot'!O1652:O1653,'By Lot'!O1671,'By Lot'!O1688,'By Lot'!O1705,'By Lot'!O1722,'By Lot'!O1824)</f>
        <v>14</v>
      </c>
      <c r="N162" s="504">
        <f t="shared" si="32"/>
        <v>10</v>
      </c>
      <c r="O162" s="504">
        <f t="shared" si="33"/>
        <v>9</v>
      </c>
      <c r="P162" s="107">
        <f t="shared" si="34"/>
        <v>0.47368421052631576</v>
      </c>
      <c r="Q162" s="504"/>
      <c r="R162" s="504"/>
      <c r="S162" s="504"/>
      <c r="T162" s="504"/>
      <c r="U162" s="504"/>
      <c r="V162" s="504"/>
      <c r="W162" s="504"/>
      <c r="X162" s="504"/>
      <c r="Y162" s="504"/>
      <c r="Z162" s="504"/>
    </row>
    <row r="163" spans="1:26" ht="11.25" customHeight="1">
      <c r="A163" s="109"/>
      <c r="B163" s="109" t="s">
        <v>33</v>
      </c>
      <c r="C163" s="13">
        <f>SUM('By Lot'!E1347:E1352,'By Lot'!E1364:E1369,'By Lot'!E1381:E1386,'By Lot'!E1398:E1403,'By Lot'!E1432:E1437,'By Lot'!E1449:E1454,'By Lot'!E1636:E1641,'By Lot'!E1654:E1660,'By Lot'!E1672:E1677,'By Lot'!E1689:E1694,'By Lot'!E1706:E1711,'By Lot'!E1723:E1728,'By Lot'!E1825:E1830)</f>
        <v>89</v>
      </c>
      <c r="D163" s="504">
        <f>SUM('By Lot'!F1347:F1352,'By Lot'!F1364:F1369,'By Lot'!F1381:F1386,'By Lot'!F1398:F1403,'By Lot'!F1432:F1437,'By Lot'!F1449:F1454,'By Lot'!F1636:F1641,'By Lot'!F1654:F1660,'By Lot'!F1672:F1677,'By Lot'!F1689:F1694,'By Lot'!F1706:F1711,'By Lot'!F1723:F1728,'By Lot'!F1825:F1830)</f>
        <v>54</v>
      </c>
      <c r="E163" s="504">
        <f>SUM('By Lot'!G1347:G1352,'By Lot'!G1364:G1369,'By Lot'!G1381:G1386,'By Lot'!G1398:G1403,'By Lot'!G1432:G1437,'By Lot'!G1449:G1454,'By Lot'!G1636:G1641,'By Lot'!G1654:G1660,'By Lot'!G1672:G1677,'By Lot'!G1689:G1694,'By Lot'!G1706:G1711,'By Lot'!G1723:G1728,'By Lot'!G1825:G1830)</f>
        <v>53</v>
      </c>
      <c r="F163" s="504">
        <f>SUM('By Lot'!H1347:H1352,'By Lot'!H1364:H1369,'By Lot'!H1381:H1386,'By Lot'!H1398:H1403,'By Lot'!H1432:H1437,'By Lot'!H1449:H1454,'By Lot'!H1636:H1641,'By Lot'!H1654:H1660,'By Lot'!H1672:H1677,'By Lot'!H1689:H1694,'By Lot'!H1706:H1711,'By Lot'!H1723:H1728,'By Lot'!H1825:H1830)</f>
        <v>45</v>
      </c>
      <c r="G163" s="504">
        <f>SUM('By Lot'!I1347:I1352,'By Lot'!I1364:I1369,'By Lot'!I1381:I1386,'By Lot'!I1398:I1403,'By Lot'!I1432:I1437,'By Lot'!I1449:I1454,'By Lot'!I1636:I1641,'By Lot'!I1654:I1660,'By Lot'!I1672:I1677,'By Lot'!I1689:I1694,'By Lot'!I1706:I1711,'By Lot'!I1723:I1728,'By Lot'!I1825:I1830)</f>
        <v>44</v>
      </c>
      <c r="H163" s="504">
        <f>SUM('By Lot'!J1347:J1352,'By Lot'!J1364:J1369,'By Lot'!J1381:J1386,'By Lot'!J1398:J1403,'By Lot'!J1432:J1437,'By Lot'!J1449:J1454,'By Lot'!J1636:J1641,'By Lot'!J1654:J1660,'By Lot'!J1672:J1677,'By Lot'!J1689:J1694,'By Lot'!J1706:J1711,'By Lot'!J1723:J1728,'By Lot'!J1825:J1830)</f>
        <v>45</v>
      </c>
      <c r="I163" s="504">
        <f>SUM('By Lot'!K1347:K1352,'By Lot'!K1364:K1369,'By Lot'!K1381:K1386,'By Lot'!K1398:K1403,'By Lot'!K1432:K1437,'By Lot'!K1449:K1454,'By Lot'!K1636:K1641,'By Lot'!K1654:K1660,'By Lot'!K1672:K1677,'By Lot'!K1689:K1694,'By Lot'!K1706:K1711,'By Lot'!K1723:K1728,'By Lot'!K1825:K1830)</f>
        <v>45</v>
      </c>
      <c r="J163" s="504">
        <f>SUM('By Lot'!L1347:L1352,'By Lot'!L1364:L1369,'By Lot'!L1381:L1386,'By Lot'!L1398:L1403,'By Lot'!L1432:L1437,'By Lot'!L1449:L1454,'By Lot'!L1636:L1641,'By Lot'!L1654:L1660,'By Lot'!L1672:L1677,'By Lot'!L1689:L1694,'By Lot'!L1706:L1711,'By Lot'!L1723:L1728,'By Lot'!L1825:L1830)</f>
        <v>53</v>
      </c>
      <c r="K163" s="504">
        <f>SUM('By Lot'!M1347:M1352,'By Lot'!M1364:M1369,'By Lot'!M1381:M1386,'By Lot'!M1398:M1403,'By Lot'!M1432:M1437,'By Lot'!M1449:M1454,'By Lot'!M1636:M1641,'By Lot'!M1654:M1660,'By Lot'!M1672:M1677,'By Lot'!M1689:M1694,'By Lot'!M1706:M1711,'By Lot'!M1723:M1728,'By Lot'!M1825:M1830)</f>
        <v>51</v>
      </c>
      <c r="L163" s="504">
        <f>SUM('By Lot'!N1347:N1352,'By Lot'!N1364:N1369,'By Lot'!N1381:N1386,'By Lot'!N1398:N1403,'By Lot'!N1432:N1437,'By Lot'!N1449:N1454,'By Lot'!N1636:N1641,'By Lot'!N1654:N1660,'By Lot'!N1672:N1677,'By Lot'!N1689:N1694,'By Lot'!N1706:N1711,'By Lot'!N1723:N1728,'By Lot'!N1825:N1830)</f>
        <v>49</v>
      </c>
      <c r="M163" s="110">
        <f>SUM('By Lot'!O1347:O1352,'By Lot'!O1364:O1369,'By Lot'!O1381:O1386,'By Lot'!O1398:O1403,'By Lot'!O1432:O1437,'By Lot'!O1449:O1454,'By Lot'!O1636:O1641,'By Lot'!O1654:O1660,'By Lot'!O1672:O1677,'By Lot'!O1689:O1694,'By Lot'!O1706:O1711,'By Lot'!O1723:O1728,'By Lot'!O1825:O1830)</f>
        <v>56</v>
      </c>
      <c r="N163" s="504">
        <f t="shared" si="32"/>
        <v>44</v>
      </c>
      <c r="O163" s="504">
        <f t="shared" si="33"/>
        <v>45</v>
      </c>
      <c r="P163" s="107">
        <f t="shared" si="34"/>
        <v>0.5056179775280899</v>
      </c>
      <c r="Q163" s="504"/>
      <c r="R163" s="504"/>
      <c r="S163" s="504"/>
      <c r="T163" s="504"/>
      <c r="U163" s="504"/>
      <c r="V163" s="504"/>
      <c r="W163" s="504"/>
      <c r="X163" s="504"/>
      <c r="Y163" s="504"/>
      <c r="Z163" s="504"/>
    </row>
    <row r="164" spans="1:26" ht="11.25" customHeight="1">
      <c r="A164" s="109"/>
      <c r="B164" s="13" t="s">
        <v>34</v>
      </c>
      <c r="C164" s="13">
        <f>SUM('By Lot'!E1353,'By Lot'!E1370,'By Lot'!E1387,'By Lot'!E1404,'By Lot'!E1438,'By Lot'!E1455,'By Lot'!E1642,'By Lot'!E1661,'By Lot'!E1678,'By Lot'!E1695,'By Lot'!E1712,'By Lot'!E1729,'By Lot'!E1831)</f>
        <v>37</v>
      </c>
      <c r="D164" s="109">
        <f>SUM('By Lot'!F1353,'By Lot'!F1370,'By Lot'!F1387,'By Lot'!F1404,'By Lot'!F1438,'By Lot'!F1455,'By Lot'!F1642,'By Lot'!F1661,'By Lot'!F1678,'By Lot'!F1695,'By Lot'!F1712,'By Lot'!F1729,'By Lot'!F1831)</f>
        <v>22</v>
      </c>
      <c r="E164" s="504">
        <f>SUM('By Lot'!G1353,'By Lot'!G1370,'By Lot'!G1387,'By Lot'!G1404,'By Lot'!G1438,'By Lot'!G1455,'By Lot'!G1642,'By Lot'!G1661,'By Lot'!G1678,'By Lot'!G1695,'By Lot'!G1712,'By Lot'!G1729,'By Lot'!G1831)</f>
        <v>18</v>
      </c>
      <c r="F164" s="504">
        <f>SUM('By Lot'!H1353,'By Lot'!H1370,'By Lot'!H1387,'By Lot'!H1404,'By Lot'!H1438,'By Lot'!H1455,'By Lot'!H1642,'By Lot'!H1661,'By Lot'!H1678,'By Lot'!H1695,'By Lot'!H1712,'By Lot'!H1729,'By Lot'!H1831)</f>
        <v>17</v>
      </c>
      <c r="G164" s="504">
        <f>SUM('By Lot'!I1353,'By Lot'!I1370,'By Lot'!I1387,'By Lot'!I1404,'By Lot'!I1438,'By Lot'!I1455,'By Lot'!I1642,'By Lot'!I1661,'By Lot'!I1678,'By Lot'!I1695,'By Lot'!I1712,'By Lot'!I1729,'By Lot'!I1831)</f>
        <v>22</v>
      </c>
      <c r="H164" s="504">
        <f>SUM('By Lot'!J1353,'By Lot'!J1370,'By Lot'!J1387,'By Lot'!J1404,'By Lot'!J1438,'By Lot'!J1455,'By Lot'!J1642,'By Lot'!J1661,'By Lot'!J1678,'By Lot'!J1695,'By Lot'!J1712,'By Lot'!J1729,'By Lot'!J1831)</f>
        <v>23</v>
      </c>
      <c r="I164" s="504">
        <f>SUM('By Lot'!K1353,'By Lot'!K1370,'By Lot'!K1387,'By Lot'!K1404,'By Lot'!K1438,'By Lot'!K1455,'By Lot'!K1642,'By Lot'!K1661,'By Lot'!K1678,'By Lot'!K1695,'By Lot'!K1712,'By Lot'!K1729,'By Lot'!K1831)</f>
        <v>24</v>
      </c>
      <c r="J164" s="504">
        <f>SUM('By Lot'!L1353,'By Lot'!L1370,'By Lot'!L1387,'By Lot'!L1404,'By Lot'!L1438,'By Lot'!L1455,'By Lot'!L1642,'By Lot'!L1661,'By Lot'!L1678,'By Lot'!L1695,'By Lot'!L1712,'By Lot'!L1729,'By Lot'!L1831)</f>
        <v>24</v>
      </c>
      <c r="K164" s="504">
        <f>SUM('By Lot'!M1353,'By Lot'!M1370,'By Lot'!M1387,'By Lot'!M1404,'By Lot'!M1438,'By Lot'!M1455,'By Lot'!M1642,'By Lot'!M1661,'By Lot'!M1678,'By Lot'!M1695,'By Lot'!M1712,'By Lot'!M1729,'By Lot'!M1831)</f>
        <v>22</v>
      </c>
      <c r="L164" s="504">
        <f>SUM('By Lot'!N1353,'By Lot'!N1370,'By Lot'!N1387,'By Lot'!N1404,'By Lot'!N1438,'By Lot'!N1455,'By Lot'!N1642,'By Lot'!N1661,'By Lot'!N1678,'By Lot'!N1695,'By Lot'!N1712,'By Lot'!N1729,'By Lot'!N1831)</f>
        <v>24</v>
      </c>
      <c r="M164" s="110">
        <f>SUM('By Lot'!O1353,'By Lot'!O1370,'By Lot'!O1387,'By Lot'!O1404,'By Lot'!O1438,'By Lot'!O1455,'By Lot'!O1642,'By Lot'!O1661,'By Lot'!O1678,'By Lot'!O1695,'By Lot'!O1712,'By Lot'!O1729,'By Lot'!O1831)</f>
        <v>26</v>
      </c>
      <c r="N164" s="109">
        <f t="shared" si="32"/>
        <v>17</v>
      </c>
      <c r="O164" s="504">
        <f t="shared" si="33"/>
        <v>20</v>
      </c>
      <c r="P164" s="107">
        <f t="shared" si="34"/>
        <v>0.54054054054054057</v>
      </c>
      <c r="Q164" s="504"/>
      <c r="R164" s="504"/>
      <c r="S164" s="504"/>
      <c r="T164" s="504"/>
      <c r="U164" s="504"/>
      <c r="V164" s="504"/>
      <c r="W164" s="504"/>
      <c r="X164" s="504"/>
      <c r="Y164" s="504"/>
      <c r="Z164" s="504"/>
    </row>
    <row r="165" spans="1:26" ht="11.25" customHeight="1">
      <c r="A165" s="109"/>
      <c r="B165" s="13" t="s">
        <v>35</v>
      </c>
      <c r="C165" s="13">
        <f>SUM('By Lot'!E1354,'By Lot'!E1371,'By Lot'!E1388,'By Lot'!E1405,'By Lot'!E1439,'By Lot'!E1456,'By Lot'!E1643,'By Lot'!E1662,'By Lot'!E1679,'By Lot'!E1696,'By Lot'!E1713,'By Lot'!E1730,'By Lot'!E1832)</f>
        <v>18</v>
      </c>
      <c r="D165" s="109">
        <f>SUM('By Lot'!F1354,'By Lot'!F1371,'By Lot'!F1388,'By Lot'!F1405,'By Lot'!F1439,'By Lot'!F1456,'By Lot'!F1643,'By Lot'!F1662,'By Lot'!F1679,'By Lot'!F1696,'By Lot'!F1713,'By Lot'!F1730,'By Lot'!F1832)</f>
        <v>9</v>
      </c>
      <c r="E165" s="504">
        <f>SUM('By Lot'!G1354,'By Lot'!G1371,'By Lot'!G1388,'By Lot'!G1405,'By Lot'!G1439,'By Lot'!G1456,'By Lot'!G1643,'By Lot'!G1662,'By Lot'!G1679,'By Lot'!G1696,'By Lot'!G1713,'By Lot'!G1730,'By Lot'!G1832)</f>
        <v>10</v>
      </c>
      <c r="F165" s="504">
        <f>SUM('By Lot'!H1354,'By Lot'!H1371,'By Lot'!H1388,'By Lot'!H1405,'By Lot'!H1439,'By Lot'!H1456,'By Lot'!H1643,'By Lot'!H1662,'By Lot'!H1679,'By Lot'!H1696,'By Lot'!H1713,'By Lot'!H1730,'By Lot'!H1832)</f>
        <v>10</v>
      </c>
      <c r="G165" s="504">
        <f>SUM('By Lot'!I1354,'By Lot'!I1371,'By Lot'!I1388,'By Lot'!I1405,'By Lot'!I1439,'By Lot'!I1456,'By Lot'!I1643,'By Lot'!I1662,'By Lot'!I1679,'By Lot'!I1696,'By Lot'!I1713,'By Lot'!I1730,'By Lot'!I1832)</f>
        <v>9</v>
      </c>
      <c r="H165" s="504">
        <f>SUM('By Lot'!J1354,'By Lot'!J1371,'By Lot'!J1388,'By Lot'!J1405,'By Lot'!J1439,'By Lot'!J1456,'By Lot'!J1643,'By Lot'!J1662,'By Lot'!J1679,'By Lot'!J1696,'By Lot'!J1713,'By Lot'!J1730,'By Lot'!J1832)</f>
        <v>9</v>
      </c>
      <c r="I165" s="504">
        <f>SUM('By Lot'!K1354,'By Lot'!K1371,'By Lot'!K1388,'By Lot'!K1405,'By Lot'!K1439,'By Lot'!K1456,'By Lot'!K1643,'By Lot'!K1662,'By Lot'!K1679,'By Lot'!K1696,'By Lot'!K1713,'By Lot'!K1730,'By Lot'!K1832)</f>
        <v>7</v>
      </c>
      <c r="J165" s="504">
        <f>SUM('By Lot'!L1354,'By Lot'!L1371,'By Lot'!L1388,'By Lot'!L1405,'By Lot'!L1439,'By Lot'!L1456,'By Lot'!L1643,'By Lot'!L1662,'By Lot'!L1679,'By Lot'!L1696,'By Lot'!L1713,'By Lot'!L1730,'By Lot'!L1832)</f>
        <v>9</v>
      </c>
      <c r="K165" s="504">
        <f>SUM('By Lot'!M1354,'By Lot'!M1371,'By Lot'!M1388,'By Lot'!M1405,'By Lot'!M1439,'By Lot'!M1456,'By Lot'!M1643,'By Lot'!M1662,'By Lot'!M1679,'By Lot'!M1696,'By Lot'!M1713,'By Lot'!M1730,'By Lot'!M1832)</f>
        <v>9</v>
      </c>
      <c r="L165" s="504">
        <f>SUM('By Lot'!N1354,'By Lot'!N1371,'By Lot'!N1388,'By Lot'!N1405,'By Lot'!N1439,'By Lot'!N1456,'By Lot'!N1643,'By Lot'!N1662,'By Lot'!N1679,'By Lot'!N1696,'By Lot'!N1713,'By Lot'!N1730,'By Lot'!N1832)</f>
        <v>9</v>
      </c>
      <c r="M165" s="110">
        <f>SUM('By Lot'!O1354,'By Lot'!O1371,'By Lot'!O1388,'By Lot'!O1405,'By Lot'!O1439,'By Lot'!O1456,'By Lot'!O1643,'By Lot'!O1662,'By Lot'!O1679,'By Lot'!O1696,'By Lot'!O1713,'By Lot'!O1730,'By Lot'!O1832)</f>
        <v>9</v>
      </c>
      <c r="N165" s="109">
        <f t="shared" si="32"/>
        <v>7</v>
      </c>
      <c r="O165" s="504">
        <f t="shared" si="33"/>
        <v>11</v>
      </c>
      <c r="P165" s="107">
        <f t="shared" si="34"/>
        <v>0.61111111111111116</v>
      </c>
      <c r="Q165" s="504"/>
      <c r="R165" s="504"/>
      <c r="S165" s="504"/>
      <c r="T165" s="504"/>
      <c r="U165" s="504"/>
      <c r="V165" s="504"/>
      <c r="W165" s="504"/>
      <c r="X165" s="504"/>
      <c r="Y165" s="504"/>
      <c r="Z165" s="504"/>
    </row>
    <row r="166" spans="1:26" ht="11.25" customHeight="1">
      <c r="A166" s="109"/>
      <c r="B166" s="13" t="s">
        <v>36</v>
      </c>
      <c r="C166" s="13">
        <f>SUM('By Lot'!E1355,'By Lot'!E1372,'By Lot'!E1389,'By Lot'!E1406,'By Lot'!E1440,'By Lot'!E1457,'By Lot'!E1644,'By Lot'!E1663,'By Lot'!E1680,'By Lot'!E1697,'By Lot'!E1714,'By Lot'!E1731,'By Lot'!E1833)</f>
        <v>3</v>
      </c>
      <c r="D166" s="109">
        <f>SUM('By Lot'!F1355,'By Lot'!F1372,'By Lot'!F1389,'By Lot'!F1406,'By Lot'!F1440,'By Lot'!F1457,'By Lot'!F1644,'By Lot'!F1663,'By Lot'!F1680,'By Lot'!F1697,'By Lot'!F1714,'By Lot'!F1731,'By Lot'!F1833)</f>
        <v>4</v>
      </c>
      <c r="E166" s="504">
        <f>SUM('By Lot'!G1355,'By Lot'!G1372,'By Lot'!G1389,'By Lot'!G1406,'By Lot'!G1440,'By Lot'!G1457,'By Lot'!G1644,'By Lot'!G1663,'By Lot'!G1680,'By Lot'!G1697,'By Lot'!G1714,'By Lot'!G1731,'By Lot'!G1833)</f>
        <v>3</v>
      </c>
      <c r="F166" s="504">
        <f>SUM('By Lot'!H1355,'By Lot'!H1372,'By Lot'!H1389,'By Lot'!H1406,'By Lot'!H1440,'By Lot'!H1457,'By Lot'!H1644,'By Lot'!H1663,'By Lot'!H1680,'By Lot'!H1697,'By Lot'!H1714,'By Lot'!H1731,'By Lot'!H1833)</f>
        <v>2</v>
      </c>
      <c r="G166" s="504">
        <f>SUM('By Lot'!I1355,'By Lot'!I1372,'By Lot'!I1389,'By Lot'!I1406,'By Lot'!I1440,'By Lot'!I1457,'By Lot'!I1644,'By Lot'!I1663,'By Lot'!I1680,'By Lot'!I1697,'By Lot'!I1714,'By Lot'!I1731,'By Lot'!I1833)</f>
        <v>2</v>
      </c>
      <c r="H166" s="504">
        <f>SUM('By Lot'!J1355,'By Lot'!J1372,'By Lot'!J1389,'By Lot'!J1406,'By Lot'!J1440,'By Lot'!J1457,'By Lot'!J1644,'By Lot'!J1663,'By Lot'!J1680,'By Lot'!J1697,'By Lot'!J1714,'By Lot'!J1731,'By Lot'!J1833)</f>
        <v>2</v>
      </c>
      <c r="I166" s="504">
        <f>SUM('By Lot'!K1355,'By Lot'!K1372,'By Lot'!K1389,'By Lot'!K1406,'By Lot'!K1440,'By Lot'!K1457,'By Lot'!K1644,'By Lot'!K1663,'By Lot'!K1680,'By Lot'!K1697,'By Lot'!K1714,'By Lot'!K1731,'By Lot'!K1833)</f>
        <v>2</v>
      </c>
      <c r="J166" s="504">
        <f>SUM('By Lot'!L1355,'By Lot'!L1372,'By Lot'!L1389,'By Lot'!L1406,'By Lot'!L1440,'By Lot'!L1457,'By Lot'!L1644,'By Lot'!L1663,'By Lot'!L1680,'By Lot'!L1697,'By Lot'!L1714,'By Lot'!L1731,'By Lot'!L1833)</f>
        <v>3</v>
      </c>
      <c r="K166" s="504">
        <f>SUM('By Lot'!M1355,'By Lot'!M1372,'By Lot'!M1389,'By Lot'!M1406,'By Lot'!M1440,'By Lot'!M1457,'By Lot'!M1644,'By Lot'!M1663,'By Lot'!M1680,'By Lot'!M1697,'By Lot'!M1714,'By Lot'!M1731,'By Lot'!M1833)</f>
        <v>2</v>
      </c>
      <c r="L166" s="504">
        <f>SUM('By Lot'!N1355,'By Lot'!N1372,'By Lot'!N1389,'By Lot'!N1406,'By Lot'!N1440,'By Lot'!N1457,'By Lot'!N1644,'By Lot'!N1663,'By Lot'!N1680,'By Lot'!N1697,'By Lot'!N1714,'By Lot'!N1731,'By Lot'!N1833)</f>
        <v>2</v>
      </c>
      <c r="M166" s="110">
        <f>SUM('By Lot'!O1355,'By Lot'!O1372,'By Lot'!O1389,'By Lot'!O1406,'By Lot'!O1440,'By Lot'!O1457,'By Lot'!O1644,'By Lot'!O1663,'By Lot'!O1680,'By Lot'!O1697,'By Lot'!O1714,'By Lot'!O1731,'By Lot'!O1833)</f>
        <v>1</v>
      </c>
      <c r="N166" s="109">
        <f t="shared" si="32"/>
        <v>1</v>
      </c>
      <c r="O166" s="504">
        <f t="shared" si="33"/>
        <v>2</v>
      </c>
      <c r="P166" s="107">
        <f t="shared" si="34"/>
        <v>0.66666666666666663</v>
      </c>
      <c r="Q166" s="504"/>
      <c r="R166" s="504"/>
      <c r="S166" s="504"/>
      <c r="T166" s="504"/>
      <c r="U166" s="504"/>
      <c r="V166" s="504"/>
      <c r="W166" s="504"/>
      <c r="X166" s="504"/>
      <c r="Y166" s="504"/>
      <c r="Z166" s="504"/>
    </row>
    <row r="167" spans="1:26" ht="11.25" customHeight="1">
      <c r="A167" s="109"/>
      <c r="B167" s="13" t="s">
        <v>37</v>
      </c>
      <c r="C167" s="13">
        <f>SUM('By Lot'!E1356,'By Lot'!E1373,'By Lot'!E1390,'By Lot'!E1407,'By Lot'!E1441,'By Lot'!E1458,'By Lot'!E1645,'By Lot'!E1664,'By Lot'!E1681,'By Lot'!E1698,'By Lot'!E1715,'By Lot'!E1732,'By Lot'!E1834)</f>
        <v>12</v>
      </c>
      <c r="D167" s="109">
        <f>SUM('By Lot'!F1356,'By Lot'!F1373,'By Lot'!F1390,'By Lot'!F1407,'By Lot'!F1441,'By Lot'!F1458,'By Lot'!F1645,'By Lot'!F1664,'By Lot'!F1681,'By Lot'!F1698,'By Lot'!F1715,'By Lot'!F1732,'By Lot'!F1834)</f>
        <v>8</v>
      </c>
      <c r="E167" s="504">
        <f>SUM('By Lot'!G1356,'By Lot'!G1373,'By Lot'!G1390,'By Lot'!G1407,'By Lot'!G1441,'By Lot'!G1458,'By Lot'!G1645,'By Lot'!G1664,'By Lot'!G1681,'By Lot'!G1698,'By Lot'!G1715,'By Lot'!G1732,'By Lot'!G1834)</f>
        <v>7</v>
      </c>
      <c r="F167" s="504">
        <f>SUM('By Lot'!H1356,'By Lot'!H1373,'By Lot'!H1390,'By Lot'!H1407,'By Lot'!H1441,'By Lot'!H1458,'By Lot'!H1645,'By Lot'!H1664,'By Lot'!H1681,'By Lot'!H1698,'By Lot'!H1715,'By Lot'!H1732,'By Lot'!H1834)</f>
        <v>5</v>
      </c>
      <c r="G167" s="504">
        <f>SUM('By Lot'!I1356,'By Lot'!I1373,'By Lot'!I1390,'By Lot'!I1407,'By Lot'!I1441,'By Lot'!I1458,'By Lot'!I1645,'By Lot'!I1664,'By Lot'!I1681,'By Lot'!I1698,'By Lot'!I1715,'By Lot'!I1732,'By Lot'!I1834)</f>
        <v>6</v>
      </c>
      <c r="H167" s="504">
        <f>SUM('By Lot'!J1356,'By Lot'!J1373,'By Lot'!J1390,'By Lot'!J1407,'By Lot'!J1441,'By Lot'!J1458,'By Lot'!J1645,'By Lot'!J1664,'By Lot'!J1681,'By Lot'!J1698,'By Lot'!J1715,'By Lot'!J1732,'By Lot'!J1834)</f>
        <v>4</v>
      </c>
      <c r="I167" s="504">
        <f>SUM('By Lot'!K1356,'By Lot'!K1373,'By Lot'!K1390,'By Lot'!K1407,'By Lot'!K1441,'By Lot'!K1458,'By Lot'!K1645,'By Lot'!K1664,'By Lot'!K1681,'By Lot'!K1698,'By Lot'!K1715,'By Lot'!K1732,'By Lot'!K1834)</f>
        <v>5</v>
      </c>
      <c r="J167" s="504">
        <f>SUM('By Lot'!L1356,'By Lot'!L1373,'By Lot'!L1390,'By Lot'!L1407,'By Lot'!L1441,'By Lot'!L1458,'By Lot'!L1645,'By Lot'!L1664,'By Lot'!L1681,'By Lot'!L1698,'By Lot'!L1715,'By Lot'!L1732,'By Lot'!L1834)</f>
        <v>4</v>
      </c>
      <c r="K167" s="504">
        <f>SUM('By Lot'!M1356,'By Lot'!M1373,'By Lot'!M1390,'By Lot'!M1407,'By Lot'!M1441,'By Lot'!M1458,'By Lot'!M1645,'By Lot'!M1664,'By Lot'!M1681,'By Lot'!M1698,'By Lot'!M1715,'By Lot'!M1732,'By Lot'!M1834)</f>
        <v>7</v>
      </c>
      <c r="L167" s="504">
        <f>SUM('By Lot'!N1356,'By Lot'!N1373,'By Lot'!N1390,'By Lot'!N1407,'By Lot'!N1441,'By Lot'!N1458,'By Lot'!N1645,'By Lot'!N1664,'By Lot'!N1681,'By Lot'!N1698,'By Lot'!N1715,'By Lot'!N1732,'By Lot'!N1834)</f>
        <v>6</v>
      </c>
      <c r="M167" s="110">
        <f>SUM('By Lot'!O1356,'By Lot'!O1373,'By Lot'!O1390,'By Lot'!O1407,'By Lot'!O1441,'By Lot'!O1458,'By Lot'!O1645,'By Lot'!O1664,'By Lot'!O1681,'By Lot'!O1698,'By Lot'!O1715,'By Lot'!O1732,'By Lot'!O1834)</f>
        <v>10</v>
      </c>
      <c r="N167" s="109">
        <f t="shared" si="32"/>
        <v>4</v>
      </c>
      <c r="O167" s="504">
        <f t="shared" si="33"/>
        <v>8</v>
      </c>
      <c r="P167" s="107">
        <f t="shared" si="34"/>
        <v>0.66666666666666663</v>
      </c>
      <c r="Q167" s="504"/>
      <c r="R167" s="504"/>
      <c r="S167" s="504"/>
      <c r="T167" s="504"/>
      <c r="U167" s="504"/>
      <c r="V167" s="504"/>
      <c r="W167" s="504"/>
      <c r="X167" s="504"/>
      <c r="Y167" s="504"/>
      <c r="Z167" s="504"/>
    </row>
    <row r="168" spans="1:26" ht="11.25" customHeight="1">
      <c r="A168" s="117"/>
      <c r="B168" s="3" t="s">
        <v>38</v>
      </c>
      <c r="C168" s="8">
        <f t="shared" ref="C168:M168" si="36">SUM(C157:C167)</f>
        <v>1115</v>
      </c>
      <c r="D168" s="18">
        <f t="shared" si="36"/>
        <v>612</v>
      </c>
      <c r="E168" s="19">
        <f t="shared" si="36"/>
        <v>501</v>
      </c>
      <c r="F168" s="19">
        <f t="shared" si="36"/>
        <v>433</v>
      </c>
      <c r="G168" s="19">
        <f t="shared" si="36"/>
        <v>407</v>
      </c>
      <c r="H168" s="19">
        <f t="shared" si="36"/>
        <v>406</v>
      </c>
      <c r="I168" s="19">
        <f t="shared" si="36"/>
        <v>403</v>
      </c>
      <c r="J168" s="19">
        <f t="shared" si="36"/>
        <v>426</v>
      </c>
      <c r="K168" s="19">
        <f t="shared" si="36"/>
        <v>476</v>
      </c>
      <c r="L168" s="19">
        <f t="shared" si="36"/>
        <v>523</v>
      </c>
      <c r="M168" s="20">
        <f t="shared" si="36"/>
        <v>556</v>
      </c>
      <c r="N168" s="21">
        <f t="shared" si="32"/>
        <v>403</v>
      </c>
      <c r="O168" s="71">
        <f t="shared" si="33"/>
        <v>712</v>
      </c>
      <c r="P168" s="7">
        <f t="shared" si="34"/>
        <v>0.63856502242152469</v>
      </c>
      <c r="Q168" s="504"/>
      <c r="R168" s="534"/>
      <c r="S168" s="504"/>
      <c r="T168" s="504"/>
      <c r="U168" s="504"/>
      <c r="V168" s="504"/>
      <c r="W168" s="504"/>
      <c r="X168" s="504"/>
      <c r="Y168" s="504"/>
      <c r="Z168" s="504"/>
    </row>
    <row r="169" spans="1:26" ht="11.25" customHeight="1">
      <c r="A169" s="397" t="s">
        <v>100</v>
      </c>
      <c r="B169" s="109" t="s">
        <v>23</v>
      </c>
      <c r="C169" s="43">
        <f>SUM('By Lot'!E1918,'By Lot'!E1938,'By Lot'!E1957,'By Lot'!E1976,'By Lot'!E1993,
'By Lot'!E2010,'By Lot'!E2027,'By Lot'!E2044,'By Lot'!E2061,'By Structure'!C73)</f>
        <v>356</v>
      </c>
      <c r="D169" s="128">
        <f>SUM('By Lot'!F1918,'By Lot'!F1938,'By Lot'!F1957,'By Lot'!F1976,'By Lot'!F1993,
'By Lot'!F2010,'By Lot'!F2027,'By Lot'!F2044,'By Lot'!F2061,'By Structure'!D73)</f>
        <v>261</v>
      </c>
      <c r="E169" s="128">
        <f>SUM('By Lot'!G1918,'By Lot'!G1938,'By Lot'!G1957,'By Lot'!G1976,'By Lot'!G1993,
'By Lot'!G2010,'By Lot'!G2027,'By Lot'!G2044,'By Lot'!G2061,'By Structure'!E73)</f>
        <v>171</v>
      </c>
      <c r="F169" s="128">
        <f>SUM('By Lot'!H1918,'By Lot'!H1938,'By Lot'!H1957,'By Lot'!H1976,'By Lot'!H1993,
'By Lot'!H2010,'By Lot'!H2027,'By Lot'!H2044,'By Lot'!H2061,'By Structure'!F73)</f>
        <v>66</v>
      </c>
      <c r="G169" s="128">
        <f>SUM('By Lot'!I1918,'By Lot'!I1938,'By Lot'!I1957,'By Lot'!I1976,'By Lot'!I1993,
'By Lot'!I2010,'By Lot'!I2027,'By Lot'!I2044,'By Lot'!I2061,'By Structure'!G73)</f>
        <v>58</v>
      </c>
      <c r="H169" s="128">
        <f>SUM('By Lot'!J1918,'By Lot'!J1938,'By Lot'!J1957,'By Lot'!J1976,'By Lot'!J1993,
'By Lot'!J2010,'By Lot'!J2027,'By Lot'!J2044,'By Lot'!J2061,'By Structure'!H73)</f>
        <v>61</v>
      </c>
      <c r="I169" s="128">
        <f>SUM('By Lot'!K1918,'By Lot'!K1938,'By Lot'!K1957,'By Lot'!K1976,'By Lot'!K1993,
'By Lot'!K2010,'By Lot'!K2027,'By Lot'!K2044,'By Lot'!K2061,'By Structure'!I73)</f>
        <v>68</v>
      </c>
      <c r="J169" s="128">
        <f>SUM('By Lot'!L1918,'By Lot'!L1938,'By Lot'!L1957,'By Lot'!L1976,'By Lot'!L1993,
'By Lot'!L2010,'By Lot'!L2027,'By Lot'!L2044,'By Lot'!L2061,'By Structure'!J73)</f>
        <v>71</v>
      </c>
      <c r="K169" s="128">
        <f>SUM('By Lot'!M1918,'By Lot'!M1938,'By Lot'!M1957,'By Lot'!M1976,'By Lot'!M1993,
'By Lot'!M2010,'By Lot'!M2027,'By Lot'!M2044,'By Lot'!M2061,'By Structure'!K73)</f>
        <v>91</v>
      </c>
      <c r="L169" s="128">
        <f>SUM('By Lot'!N1918,'By Lot'!N1938,'By Lot'!N1957,'By Lot'!N1976,'By Lot'!N1993,
'By Lot'!N2010,'By Lot'!N2027,'By Lot'!N2044,'By Lot'!N2061,'By Structure'!L73)</f>
        <v>114</v>
      </c>
      <c r="M169" s="129">
        <f>SUM('By Lot'!O1918,'By Lot'!O1938,'By Lot'!O1957,'By Lot'!O1976,'By Lot'!O1993,
'By Lot'!O2010,'By Lot'!O2027,'By Lot'!O2044,'By Lot'!O2061,'By Structure'!M73)</f>
        <v>166</v>
      </c>
      <c r="N169" s="504">
        <f t="shared" si="32"/>
        <v>58</v>
      </c>
      <c r="O169" s="504">
        <f t="shared" si="33"/>
        <v>298</v>
      </c>
      <c r="P169" s="107">
        <f t="shared" si="34"/>
        <v>0.8370786516853933</v>
      </c>
      <c r="Q169" s="504"/>
      <c r="R169" s="504"/>
      <c r="S169" s="504"/>
      <c r="T169" s="504"/>
      <c r="U169" s="504"/>
      <c r="V169" s="504"/>
      <c r="W169" s="504"/>
      <c r="X169" s="504"/>
      <c r="Y169" s="504"/>
      <c r="Z169" s="504"/>
    </row>
    <row r="170" spans="1:26" ht="11.25" customHeight="1">
      <c r="A170" s="13" t="s">
        <v>24</v>
      </c>
      <c r="B170" s="109" t="s">
        <v>53</v>
      </c>
      <c r="C170" s="13">
        <f>'By Lot'!E1939</f>
        <v>60</v>
      </c>
      <c r="D170" s="504">
        <f>'By Lot'!F1939</f>
        <v>51</v>
      </c>
      <c r="E170" s="504">
        <f>'By Lot'!G1939</f>
        <v>50</v>
      </c>
      <c r="F170" s="504">
        <f>'By Lot'!H1939</f>
        <v>39</v>
      </c>
      <c r="G170" s="504">
        <f>'By Lot'!I1939</f>
        <v>25</v>
      </c>
      <c r="H170" s="504">
        <f>'By Lot'!J1939</f>
        <v>21</v>
      </c>
      <c r="I170" s="504">
        <f>'By Lot'!K1939</f>
        <v>19</v>
      </c>
      <c r="J170" s="504">
        <f>'By Lot'!L1939</f>
        <v>22</v>
      </c>
      <c r="K170" s="504">
        <f>'By Lot'!M1939</f>
        <v>25</v>
      </c>
      <c r="L170" s="504">
        <f>'By Lot'!N1939</f>
        <v>39</v>
      </c>
      <c r="M170" s="110">
        <f>'By Lot'!O1939</f>
        <v>50</v>
      </c>
      <c r="N170" s="504">
        <f t="shared" si="32"/>
        <v>19</v>
      </c>
      <c r="O170" s="504">
        <f t="shared" si="33"/>
        <v>41</v>
      </c>
      <c r="P170" s="107">
        <f t="shared" si="34"/>
        <v>0.68333333333333335</v>
      </c>
      <c r="Q170" s="504"/>
      <c r="R170" s="504"/>
      <c r="S170" s="504"/>
      <c r="T170" s="504"/>
      <c r="U170" s="504"/>
      <c r="V170" s="504"/>
      <c r="W170" s="504"/>
      <c r="X170" s="504"/>
      <c r="Y170" s="504"/>
      <c r="Z170" s="504"/>
    </row>
    <row r="171" spans="1:26" ht="11.25" customHeight="1">
      <c r="A171" s="13" t="s">
        <v>101</v>
      </c>
      <c r="B171" s="109" t="s">
        <v>25</v>
      </c>
      <c r="C171" s="13">
        <f>SUM('By Lot'!E1919,'By Lot'!E1940,'By Lot'!E1958,'By Lot'!E1977,'By Lot'!E1994,
'By Lot'!E2011,'By Lot'!E2028,'By Lot'!E2045,'By Lot'!E2062,'By Structure'!C74)</f>
        <v>554</v>
      </c>
      <c r="D171" s="504">
        <f>SUM('By Lot'!F1919,'By Lot'!F1940,'By Lot'!F1958,'By Lot'!F1977,'By Lot'!F1994,
'By Lot'!F2011,'By Lot'!F2028,'By Lot'!F2045,'By Lot'!F2062,'By Structure'!D74)</f>
        <v>240</v>
      </c>
      <c r="E171" s="504">
        <f>SUM('By Lot'!G1919,'By Lot'!G1940,'By Lot'!G1958,'By Lot'!G1977,'By Lot'!G1994,
'By Lot'!G2011,'By Lot'!G2028,'By Lot'!G2045,'By Lot'!G2062,'By Structure'!E74)</f>
        <v>178</v>
      </c>
      <c r="F171" s="504">
        <f>SUM('By Lot'!H1919,'By Lot'!H1940,'By Lot'!H1958,'By Lot'!H1977,'By Lot'!H1994,
'By Lot'!H2011,'By Lot'!H2028,'By Lot'!H2045,'By Lot'!H2062,'By Structure'!F74)</f>
        <v>86</v>
      </c>
      <c r="G171" s="504">
        <f>SUM('By Lot'!I1919,'By Lot'!I1940,'By Lot'!I1958,'By Lot'!I1977,'By Lot'!I1994,
'By Lot'!I2011,'By Lot'!I2028,'By Lot'!I2045,'By Lot'!I2062,'By Structure'!G74)</f>
        <v>53</v>
      </c>
      <c r="H171" s="504">
        <f>SUM('By Lot'!J1919,'By Lot'!J1940,'By Lot'!J1958,'By Lot'!J1977,'By Lot'!J1994,
'By Lot'!J2011,'By Lot'!J2028,'By Lot'!J2045,'By Lot'!J2062,'By Structure'!H74)</f>
        <v>59</v>
      </c>
      <c r="I171" s="504">
        <f>SUM('By Lot'!K1919,'By Lot'!K1940,'By Lot'!K1958,'By Lot'!K1977,'By Lot'!K1994,
'By Lot'!K2011,'By Lot'!K2028,'By Lot'!K2045,'By Lot'!K2062,'By Structure'!I74)</f>
        <v>69</v>
      </c>
      <c r="J171" s="504">
        <f>SUM('By Lot'!L1919,'By Lot'!L1940,'By Lot'!L1958,'By Lot'!L1977,'By Lot'!L1994,
'By Lot'!L2011,'By Lot'!L2028,'By Lot'!L2045,'By Lot'!L2062,'By Structure'!J74)</f>
        <v>71</v>
      </c>
      <c r="K171" s="504">
        <f>SUM('By Lot'!M1919,'By Lot'!M1940,'By Lot'!M1958,'By Lot'!M1977,'By Lot'!M1994,
'By Lot'!M2011,'By Lot'!M2028,'By Lot'!M2045,'By Lot'!M2062,'By Structure'!K74)</f>
        <v>116</v>
      </c>
      <c r="L171" s="504">
        <f>SUM('By Lot'!N1919,'By Lot'!N1940,'By Lot'!N1958,'By Lot'!N1977,'By Lot'!N1994,
'By Lot'!N2011,'By Lot'!N2028,'By Lot'!N2045,'By Lot'!N2062,'By Structure'!L74)</f>
        <v>155</v>
      </c>
      <c r="M171" s="110">
        <f>SUM('By Lot'!O1919,'By Lot'!O1940,'By Lot'!O1958,'By Lot'!O1977,'By Lot'!O1994,
'By Lot'!O2011,'By Lot'!O2028,'By Lot'!O2045,'By Lot'!O2062,'By Structure'!M74)</f>
        <v>211</v>
      </c>
      <c r="N171" s="504">
        <f t="shared" si="32"/>
        <v>53</v>
      </c>
      <c r="O171" s="504">
        <f t="shared" si="33"/>
        <v>501</v>
      </c>
      <c r="P171" s="107">
        <f t="shared" si="34"/>
        <v>0.90433212996389889</v>
      </c>
      <c r="Q171" s="504"/>
      <c r="R171" s="504"/>
      <c r="S171" s="504"/>
      <c r="T171" s="504"/>
      <c r="U171" s="504"/>
      <c r="V171" s="504"/>
      <c r="W171" s="504"/>
      <c r="X171" s="504"/>
      <c r="Y171" s="504"/>
      <c r="Z171" s="504"/>
    </row>
    <row r="172" spans="1:26" ht="11.25" customHeight="1">
      <c r="A172" s="13"/>
      <c r="B172" s="109" t="s">
        <v>27</v>
      </c>
      <c r="C172" s="13">
        <f>SUM('By Lot'!E1920,'By Lot'!E1941,'By Lot'!E1959,'By Lot'!E1978,'By Lot'!E1995,
'By Lot'!E2012,'By Lot'!E2029,'By Lot'!E2046,'By Lot'!E2063,'By Structure'!C75)</f>
        <v>428</v>
      </c>
      <c r="D172" s="504">
        <f>SUM('By Lot'!F1920,'By Lot'!F1941,'By Lot'!F1959,'By Lot'!F1978,'By Lot'!F1995,
'By Lot'!F2012,'By Lot'!F2029,'By Lot'!F2046,'By Lot'!F2063,'By Structure'!D75)</f>
        <v>323</v>
      </c>
      <c r="E172" s="504">
        <f>SUM('By Lot'!G1920,'By Lot'!G1941,'By Lot'!G1959,'By Lot'!G1978,'By Lot'!G1995,
'By Lot'!G2012,'By Lot'!G2029,'By Lot'!G2046,'By Lot'!G2063,'By Structure'!E75)</f>
        <v>305</v>
      </c>
      <c r="F172" s="504">
        <f>SUM('By Lot'!H1920,'By Lot'!H1941,'By Lot'!H1959,'By Lot'!H1978,'By Lot'!H1995,
'By Lot'!H2012,'By Lot'!H2029,'By Lot'!H2046,'By Lot'!H2063,'By Structure'!F75)</f>
        <v>251</v>
      </c>
      <c r="G172" s="504">
        <f>SUM('By Lot'!I1920,'By Lot'!I1941,'By Lot'!I1959,'By Lot'!I1978,'By Lot'!I1995,
'By Lot'!I2012,'By Lot'!I2029,'By Lot'!I2046,'By Lot'!I2063,'By Structure'!G75)</f>
        <v>226</v>
      </c>
      <c r="H172" s="504">
        <f>SUM('By Lot'!J1920,'By Lot'!J1941,'By Lot'!J1959,'By Lot'!J1978,'By Lot'!J1995,
'By Lot'!J2012,'By Lot'!J2029,'By Lot'!J2046,'By Lot'!J2063,'By Structure'!H75)</f>
        <v>232</v>
      </c>
      <c r="I172" s="504">
        <f>SUM('By Lot'!K1920,'By Lot'!K1941,'By Lot'!K1959,'By Lot'!K1978,'By Lot'!K1995,
'By Lot'!K2012,'By Lot'!K2029,'By Lot'!K2046,'By Lot'!K2063,'By Structure'!I75)</f>
        <v>246</v>
      </c>
      <c r="J172" s="504">
        <f>SUM('By Lot'!L1920,'By Lot'!L1941,'By Lot'!L1959,'By Lot'!L1978,'By Lot'!L1995,
'By Lot'!L2012,'By Lot'!L2029,'By Lot'!L2046,'By Lot'!L2063,'By Structure'!J75)</f>
        <v>251</v>
      </c>
      <c r="K172" s="504">
        <f>SUM('By Lot'!M1920,'By Lot'!M1941,'By Lot'!M1959,'By Lot'!M1978,'By Lot'!M1995,
'By Lot'!M2012,'By Lot'!M2029,'By Lot'!M2046,'By Lot'!M2063,'By Structure'!K75)</f>
        <v>274</v>
      </c>
      <c r="L172" s="504">
        <f>SUM('By Lot'!N1920,'By Lot'!N1941,'By Lot'!N1959,'By Lot'!N1978,'By Lot'!N1995,
'By Lot'!N2012,'By Lot'!N2029,'By Lot'!N2046,'By Lot'!N2063,'By Structure'!L75)</f>
        <v>291</v>
      </c>
      <c r="M172" s="110">
        <f>SUM('By Lot'!O1920,'By Lot'!O1941,'By Lot'!O1959,'By Lot'!O1978,'By Lot'!O1995,
'By Lot'!O2012,'By Lot'!O2029,'By Lot'!O2046,'By Lot'!O2063,'By Structure'!M75)</f>
        <v>307</v>
      </c>
      <c r="N172" s="504">
        <f t="shared" si="32"/>
        <v>226</v>
      </c>
      <c r="O172" s="504">
        <f t="shared" si="33"/>
        <v>202</v>
      </c>
      <c r="P172" s="107">
        <f t="shared" si="34"/>
        <v>0.4719626168224299</v>
      </c>
      <c r="Q172" s="504"/>
      <c r="R172" s="504"/>
      <c r="S172" s="504"/>
      <c r="T172" s="504"/>
      <c r="U172" s="504"/>
      <c r="V172" s="504"/>
      <c r="W172" s="504"/>
      <c r="X172" s="504"/>
      <c r="Y172" s="504"/>
      <c r="Z172" s="504"/>
    </row>
    <row r="173" spans="1:26" ht="11.25" customHeight="1">
      <c r="A173" s="13"/>
      <c r="B173" s="109" t="s">
        <v>31</v>
      </c>
      <c r="C173" s="13">
        <f>SUM('By Lot'!E1921,'By Lot'!E1942,'By Lot'!E1960,'By Lot'!E1979,'By Lot'!E1996,
'By Lot'!E2013,'By Lot'!E2030,'By Lot'!E2047,'By Lot'!E2064,'By Structure'!C76)</f>
        <v>91</v>
      </c>
      <c r="D173" s="504">
        <f>SUM('By Lot'!F1921,'By Lot'!F1942,'By Lot'!F1960,'By Lot'!F1979,'By Lot'!F1996,
'By Lot'!F2013,'By Lot'!F2030,'By Lot'!F2047,'By Lot'!F2064,'By Structure'!D76)</f>
        <v>47</v>
      </c>
      <c r="E173" s="504">
        <f>SUM('By Lot'!G1921,'By Lot'!G1942,'By Lot'!G1960,'By Lot'!G1979,'By Lot'!G1996,
'By Lot'!G2013,'By Lot'!G2030,'By Lot'!G2047,'By Lot'!G2064,'By Structure'!E76)</f>
        <v>24</v>
      </c>
      <c r="F173" s="504">
        <f>SUM('By Lot'!H1921,'By Lot'!H1942,'By Lot'!H1960,'By Lot'!H1979,'By Lot'!H1996,
'By Lot'!H2013,'By Lot'!H2030,'By Lot'!H2047,'By Lot'!H2064,'By Structure'!F76)</f>
        <v>15</v>
      </c>
      <c r="G173" s="504">
        <f>SUM('By Lot'!I1921,'By Lot'!I1942,'By Lot'!I1960,'By Lot'!I1979,'By Lot'!I1996,
'By Lot'!I2013,'By Lot'!I2030,'By Lot'!I2047,'By Lot'!I2064,'By Structure'!G76)</f>
        <v>11</v>
      </c>
      <c r="H173" s="504">
        <f>SUM('By Lot'!J1921,'By Lot'!J1942,'By Lot'!J1960,'By Lot'!J1979,'By Lot'!J1996,
'By Lot'!J2013,'By Lot'!J2030,'By Lot'!J2047,'By Lot'!J2064,'By Structure'!H76)</f>
        <v>14</v>
      </c>
      <c r="I173" s="504">
        <f>SUM('By Lot'!K1921,'By Lot'!K1942,'By Lot'!K1960,'By Lot'!K1979,'By Lot'!K1996,
'By Lot'!K2013,'By Lot'!K2030,'By Lot'!K2047,'By Lot'!K2064,'By Structure'!I76)</f>
        <v>7</v>
      </c>
      <c r="J173" s="504">
        <f>SUM('By Lot'!L1921,'By Lot'!L1942,'By Lot'!L1960,'By Lot'!L1979,'By Lot'!L1996,
'By Lot'!L2013,'By Lot'!L2030,'By Lot'!L2047,'By Lot'!L2064,'By Structure'!J76)</f>
        <v>11</v>
      </c>
      <c r="K173" s="504">
        <f>SUM('By Lot'!M1921,'By Lot'!M1942,'By Lot'!M1960,'By Lot'!M1979,'By Lot'!M1996,
'By Lot'!M2013,'By Lot'!M2030,'By Lot'!M2047,'By Lot'!M2064,'By Structure'!K76)</f>
        <v>13</v>
      </c>
      <c r="L173" s="504">
        <f>SUM('By Lot'!N1921,'By Lot'!N1942,'By Lot'!N1960,'By Lot'!N1979,'By Lot'!N1996,
'By Lot'!N2013,'By Lot'!N2030,'By Lot'!N2047,'By Lot'!N2064,'By Structure'!L76)</f>
        <v>28</v>
      </c>
      <c r="M173" s="110">
        <f>SUM('By Lot'!O1921,'By Lot'!O1942,'By Lot'!O1960,'By Lot'!O1979,'By Lot'!O1996,
'By Lot'!O2013,'By Lot'!O2030,'By Lot'!O2047,'By Lot'!O2064,'By Structure'!M76)</f>
        <v>31</v>
      </c>
      <c r="N173" s="504">
        <f t="shared" si="32"/>
        <v>7</v>
      </c>
      <c r="O173" s="504">
        <f t="shared" si="33"/>
        <v>84</v>
      </c>
      <c r="P173" s="107">
        <f t="shared" si="34"/>
        <v>0.92307692307692313</v>
      </c>
      <c r="Q173" s="504"/>
      <c r="R173" s="504"/>
      <c r="S173" s="504"/>
      <c r="T173" s="504"/>
      <c r="U173" s="504"/>
      <c r="V173" s="504"/>
      <c r="W173" s="504"/>
      <c r="X173" s="504"/>
      <c r="Y173" s="504"/>
      <c r="Z173" s="504"/>
    </row>
    <row r="174" spans="1:26" ht="11.25" customHeight="1">
      <c r="A174" s="13"/>
      <c r="B174" s="109" t="s">
        <v>32</v>
      </c>
      <c r="C174" s="13">
        <f>SUM('By Lot'!E1926,'By Lot'!E1944:E1946,'By Lot'!E1962:E1964,'By Lot'!E1981,
'By Lot'!E1998,'By Lot'!E2015,'By Lot'!E2032,'By Lot'!E2049,'By Lot'!E2066,'By Structure'!C77)</f>
        <v>159</v>
      </c>
      <c r="D174" s="504">
        <f>SUM('By Lot'!F1926,'By Lot'!F1944:F1946,'By Lot'!F1962:F1964,'By Lot'!F1981,
'By Lot'!F1998,'By Lot'!F2015,'By Lot'!F2032,'By Lot'!F2049,'By Lot'!F2066,'By Structure'!D77)</f>
        <v>109</v>
      </c>
      <c r="E174" s="504">
        <f>SUM('By Lot'!G1926,'By Lot'!G1944:G1946,'By Lot'!G1962:G1964,'By Lot'!G1981,
'By Lot'!G1998,'By Lot'!G2015,'By Lot'!G2032,'By Lot'!G2049,'By Lot'!G2066,'By Structure'!E77)</f>
        <v>109</v>
      </c>
      <c r="F174" s="504">
        <f>SUM('By Lot'!H1926,'By Lot'!H1944:H1946,'By Lot'!H1962:H1964,'By Lot'!H1981,
'By Lot'!H1998,'By Lot'!H2015,'By Lot'!H2032,'By Lot'!H2049,'By Lot'!H2066,'By Structure'!F77)</f>
        <v>109</v>
      </c>
      <c r="G174" s="504">
        <f>SUM('By Lot'!I1926,'By Lot'!I1944:I1946,'By Lot'!I1962:I1964,'By Lot'!I1981,
'By Lot'!I1998,'By Lot'!I2015,'By Lot'!I2032,'By Lot'!I2049,'By Lot'!I2066,'By Structure'!G77)</f>
        <v>108</v>
      </c>
      <c r="H174" s="504">
        <f>SUM('By Lot'!J1926,'By Lot'!J1944:J1946,'By Lot'!J1962:J1964,'By Lot'!J1981,
'By Lot'!J1998,'By Lot'!J2015,'By Lot'!J2032,'By Lot'!J2049,'By Lot'!J2066,'By Structure'!H77)</f>
        <v>109</v>
      </c>
      <c r="I174" s="504">
        <f>SUM('By Lot'!K1926,'By Lot'!K1944:K1946,'By Lot'!K1962:K1964,'By Lot'!K1981,
'By Lot'!K1998,'By Lot'!K2015,'By Lot'!K2032,'By Lot'!K2049,'By Lot'!K2066,'By Structure'!I77)</f>
        <v>102</v>
      </c>
      <c r="J174" s="504">
        <f>SUM('By Lot'!L1926,'By Lot'!L1944:L1946,'By Lot'!L1962:L1964,'By Lot'!L1981,
'By Lot'!L1998,'By Lot'!L2015,'By Lot'!L2032,'By Lot'!L2049,'By Lot'!L2066,'By Structure'!J77)</f>
        <v>99</v>
      </c>
      <c r="K174" s="504">
        <f>SUM('By Lot'!M1926,'By Lot'!M1944:M1946,'By Lot'!M1962:M1964,'By Lot'!M1981,
'By Lot'!M1998,'By Lot'!M2015,'By Lot'!M2032,'By Lot'!M2049,'By Lot'!M2066,'By Structure'!K77)</f>
        <v>94</v>
      </c>
      <c r="L174" s="504">
        <f>SUM('By Lot'!N1926,'By Lot'!N1944:N1946,'By Lot'!N1962:N1964,'By Lot'!N1981,
'By Lot'!N1998,'By Lot'!N2015,'By Lot'!N2032,'By Lot'!N2049,'By Lot'!N2066,'By Structure'!L77)</f>
        <v>101</v>
      </c>
      <c r="M174" s="110">
        <f>SUM('By Lot'!O1926,'By Lot'!O1944:O1946,'By Lot'!O1962:O1964,'By Lot'!O1981,
'By Lot'!O1998,'By Lot'!O2015,'By Lot'!O2032,'By Lot'!O2049,'By Lot'!O2066,'By Structure'!M77)</f>
        <v>100</v>
      </c>
      <c r="N174" s="504">
        <f t="shared" si="32"/>
        <v>94</v>
      </c>
      <c r="O174" s="504">
        <f t="shared" si="33"/>
        <v>65</v>
      </c>
      <c r="P174" s="107">
        <f t="shared" si="34"/>
        <v>0.4088050314465409</v>
      </c>
      <c r="Q174" s="504"/>
      <c r="R174" s="504"/>
      <c r="S174" s="504"/>
      <c r="T174" s="504"/>
      <c r="U174" s="504"/>
      <c r="V174" s="504"/>
      <c r="W174" s="504"/>
      <c r="X174" s="504"/>
      <c r="Y174" s="504"/>
      <c r="Z174" s="504"/>
    </row>
    <row r="175" spans="1:26" ht="11.25" customHeight="1">
      <c r="A175" s="13"/>
      <c r="B175" s="109" t="s">
        <v>33</v>
      </c>
      <c r="C175" s="13">
        <f>SUM('By Lot'!E1927:E1932,'By Lot'!E1947:E1951,'By Lot'!E1965:E1970,'By Lot'!E1982:E1987,
'By Lot'!E1999:E2004,'By Lot'!E2016:E2021,'By Lot'!E2033:E2038,'By Lot'!E2050:E2055,'By Lot'!E2067:E2072, 'By Structure'!C78)</f>
        <v>130</v>
      </c>
      <c r="D175" s="504">
        <f>SUM('By Lot'!F1927:F1932,'By Lot'!F1947:F1951,'By Lot'!F1965:F1970,'By Lot'!F1982:F1987,
'By Lot'!F1999:F2004,'By Lot'!F2016:F2021,'By Lot'!F2033:F2038,'By Lot'!F2050:F2055,'By Lot'!F2067:F2072, 'By Structure'!D78)</f>
        <v>122</v>
      </c>
      <c r="E175" s="504">
        <f>SUM('By Lot'!G1927:G1932,'By Lot'!G1947:G1951,'By Lot'!G1965:G1970,'By Lot'!G1982:G1987,
'By Lot'!G1999:G2004,'By Lot'!G2016:G2021,'By Lot'!G2033:G2038,'By Lot'!G2050:G2055,'By Lot'!G2067:G2072, 'By Structure'!E78)</f>
        <v>114</v>
      </c>
      <c r="F175" s="504">
        <f>SUM('By Lot'!H1927:H1932,'By Lot'!H1947:H1951,'By Lot'!H1965:H1970,'By Lot'!H1982:H1987,
'By Lot'!H1999:H2004,'By Lot'!H2016:H2021,'By Lot'!H2033:H2038,'By Lot'!H2050:H2055,'By Lot'!H2067:H2072, 'By Structure'!F78)</f>
        <v>103</v>
      </c>
      <c r="G175" s="504">
        <f>SUM('By Lot'!I1927:I1932,'By Lot'!I1947:I1951,'By Lot'!I1965:I1970,'By Lot'!I1982:I1987,
'By Lot'!I1999:I2004,'By Lot'!I2016:I2021,'By Lot'!I2033:I2038,'By Lot'!I2050:I2055,'By Lot'!I2067:I2072, 'By Structure'!G78)</f>
        <v>95</v>
      </c>
      <c r="H175" s="504">
        <f>SUM('By Lot'!J1927:J1932,'By Lot'!J1947:J1951,'By Lot'!J1965:J1970,'By Lot'!J1982:J1987,
'By Lot'!J1999:J2004,'By Lot'!J2016:J2021,'By Lot'!J2033:J2038,'By Lot'!J2050:J2055,'By Lot'!J2067:J2072, 'By Structure'!H78)</f>
        <v>95</v>
      </c>
      <c r="I175" s="504">
        <f>SUM('By Lot'!K1927:K1932,'By Lot'!K1947:K1951,'By Lot'!K1965:K1970,'By Lot'!K1982:K1987,
'By Lot'!K1999:K2004,'By Lot'!K2016:K2021,'By Lot'!K2033:K2038,'By Lot'!K2050:K2055,'By Lot'!K2067:K2072, 'By Structure'!I78)</f>
        <v>96</v>
      </c>
      <c r="J175" s="504">
        <f>SUM('By Lot'!L1927:L1932,'By Lot'!L1947:L1951,'By Lot'!L1965:L1970,'By Lot'!L1982:L1987,
'By Lot'!L1999:L2004,'By Lot'!L2016:L2021,'By Lot'!L2033:L2038,'By Lot'!L2050:L2055,'By Lot'!L2067:L2072, 'By Structure'!J78)</f>
        <v>93</v>
      </c>
      <c r="K175" s="504">
        <f>SUM('By Lot'!M1927:M1932,'By Lot'!M1947:M1951,'By Lot'!M1965:M1970,'By Lot'!M1982:M1987,
'By Lot'!M1999:M2004,'By Lot'!M2016:M2021,'By Lot'!M2033:M2038,'By Lot'!M2050:M2055,'By Lot'!M2067:M2072, 'By Structure'!K78)</f>
        <v>96</v>
      </c>
      <c r="L175" s="504">
        <f>SUM('By Lot'!N1927:N1932,'By Lot'!N1947:N1951,'By Lot'!N1965:N1970,'By Lot'!N1982:N1987,
'By Lot'!N1999:N2004,'By Lot'!N2016:N2021,'By Lot'!N2033:N2038,'By Lot'!N2050:N2055,'By Lot'!N2067:N2072, 'By Structure'!L78)</f>
        <v>102</v>
      </c>
      <c r="M175" s="110">
        <f>SUM('By Lot'!O1927:O1932,'By Lot'!O1947:O1951,'By Lot'!O1965:O1970,'By Lot'!O1982:O1987,
'By Lot'!O1999:O2004,'By Lot'!O2016:O2021,'By Lot'!O2033:O2038,'By Lot'!O2050:O2055,'By Lot'!O2067:O2072, 'By Structure'!M78)</f>
        <v>104</v>
      </c>
      <c r="N175" s="504">
        <f t="shared" si="32"/>
        <v>93</v>
      </c>
      <c r="O175" s="504">
        <f t="shared" si="33"/>
        <v>37</v>
      </c>
      <c r="P175" s="107">
        <f t="shared" si="34"/>
        <v>0.2846153846153846</v>
      </c>
      <c r="Q175" s="504"/>
      <c r="R175" s="504"/>
      <c r="S175" s="504"/>
      <c r="T175" s="504"/>
      <c r="U175" s="504"/>
      <c r="V175" s="504"/>
      <c r="W175" s="504"/>
      <c r="X175" s="504"/>
      <c r="Y175" s="504"/>
      <c r="Z175" s="504"/>
    </row>
    <row r="176" spans="1:26" ht="11.25" customHeight="1">
      <c r="A176" s="13"/>
      <c r="B176" s="109" t="s">
        <v>34</v>
      </c>
      <c r="C176" s="13">
        <f>SUM('By Lot'!E1933,'By Lot'!E1952,'By Lot'!E1971,'By Lot'!E1988,
'By Lot'!E2005,'By Lot'!E2022,'By Lot'!E2039,'By Lot'!E2056,'By Lot'!E2073,'By Structure'!C79)</f>
        <v>70</v>
      </c>
      <c r="D176" s="504">
        <f>SUM('By Lot'!F1933,'By Lot'!F1952,'By Lot'!F1971,'By Lot'!F1988,
'By Lot'!F2005,'By Lot'!F2022,'By Lot'!F2039,'By Lot'!F2056,'By Lot'!F2073,'By Structure'!D79)</f>
        <v>48</v>
      </c>
      <c r="E176" s="504">
        <f>SUM('By Lot'!G1933,'By Lot'!G1952,'By Lot'!G1971,'By Lot'!G1988,
'By Lot'!G2005,'By Lot'!G2022,'By Lot'!G2039,'By Lot'!G2056,'By Lot'!G2073,'By Structure'!E79)</f>
        <v>45</v>
      </c>
      <c r="F176" s="504">
        <f>SUM('By Lot'!H1933,'By Lot'!H1952,'By Lot'!H1971,'By Lot'!H1988,
'By Lot'!H2005,'By Lot'!H2022,'By Lot'!H2039,'By Lot'!H2056,'By Lot'!H2073,'By Structure'!F79)</f>
        <v>40</v>
      </c>
      <c r="G176" s="504">
        <f>SUM('By Lot'!I1933,'By Lot'!I1952,'By Lot'!I1971,'By Lot'!I1988,
'By Lot'!I2005,'By Lot'!I2022,'By Lot'!I2039,'By Lot'!I2056,'By Lot'!I2073,'By Structure'!G79)</f>
        <v>33</v>
      </c>
      <c r="H176" s="504">
        <f>SUM('By Lot'!J1933,'By Lot'!J1952,'By Lot'!J1971,'By Lot'!J1988,
'By Lot'!J2005,'By Lot'!J2022,'By Lot'!J2039,'By Lot'!J2056,'By Lot'!J2073,'By Structure'!H79)</f>
        <v>33</v>
      </c>
      <c r="I176" s="504">
        <f>SUM('By Lot'!K1933,'By Lot'!K1952,'By Lot'!K1971,'By Lot'!K1988,
'By Lot'!K2005,'By Lot'!K2022,'By Lot'!K2039,'By Lot'!K2056,'By Lot'!K2073,'By Structure'!I79)</f>
        <v>36</v>
      </c>
      <c r="J176" s="504">
        <f>SUM('By Lot'!L1933,'By Lot'!L1952,'By Lot'!L1971,'By Lot'!L1988,
'By Lot'!L2005,'By Lot'!L2022,'By Lot'!L2039,'By Lot'!L2056,'By Lot'!L2073,'By Structure'!J79)</f>
        <v>36</v>
      </c>
      <c r="K176" s="504">
        <f>SUM('By Lot'!M1933,'By Lot'!M1952,'By Lot'!M1971,'By Lot'!M1988,
'By Lot'!M2005,'By Lot'!M2022,'By Lot'!M2039,'By Lot'!M2056,'By Lot'!M2073,'By Structure'!K79)</f>
        <v>42</v>
      </c>
      <c r="L176" s="504">
        <f>SUM('By Lot'!N1933,'By Lot'!N1952,'By Lot'!N1971,'By Lot'!N1988,
'By Lot'!N2005,'By Lot'!N2022,'By Lot'!N2039,'By Lot'!N2056,'By Lot'!N2073,'By Structure'!L79)</f>
        <v>45</v>
      </c>
      <c r="M176" s="110">
        <f>SUM('By Lot'!O1933,'By Lot'!O1952,'By Lot'!O1971,'By Lot'!O1988,
'By Lot'!O2005,'By Lot'!O2022,'By Lot'!O2039,'By Lot'!O2056,'By Lot'!O2073,'By Structure'!M79)</f>
        <v>47</v>
      </c>
      <c r="N176" s="504">
        <f t="shared" si="32"/>
        <v>33</v>
      </c>
      <c r="O176" s="504">
        <f t="shared" si="33"/>
        <v>37</v>
      </c>
      <c r="P176" s="107">
        <f t="shared" si="34"/>
        <v>0.52857142857142858</v>
      </c>
      <c r="Q176" s="504"/>
      <c r="R176" s="504"/>
      <c r="S176" s="504"/>
      <c r="T176" s="504"/>
      <c r="U176" s="504"/>
      <c r="V176" s="504"/>
      <c r="W176" s="504"/>
      <c r="X176" s="504"/>
      <c r="Y176" s="504"/>
      <c r="Z176" s="504"/>
    </row>
    <row r="177" spans="1:26" ht="11.25" customHeight="1">
      <c r="A177" s="13"/>
      <c r="B177" s="109" t="s">
        <v>35</v>
      </c>
      <c r="C177" s="13">
        <f>SUM('By Lot'!E1934,'By Lot'!E1953,'By Lot'!E1972,'By Lot'!E1989,
'By Lot'!E2006,'By Lot'!E2023,'By Lot'!E2040,'By Lot'!E2057,'By Lot'!E2074,'By Structure'!C80)</f>
        <v>23</v>
      </c>
      <c r="D177" s="504">
        <f>SUM('By Lot'!F1934,'By Lot'!F1953,'By Lot'!F1972,'By Lot'!F1989,
'By Lot'!F2006,'By Lot'!F2023,'By Lot'!F2040,'By Lot'!F2057,'By Lot'!F2074,'By Structure'!D80)</f>
        <v>11</v>
      </c>
      <c r="E177" s="504">
        <f>SUM('By Lot'!G1934,'By Lot'!G1953,'By Lot'!G1972,'By Lot'!G1989,
'By Lot'!G2006,'By Lot'!G2023,'By Lot'!G2040,'By Lot'!G2057,'By Lot'!G2074,'By Structure'!E80)</f>
        <v>9</v>
      </c>
      <c r="F177" s="504">
        <f>SUM('By Lot'!H1934,'By Lot'!H1953,'By Lot'!H1972,'By Lot'!H1989,
'By Lot'!H2006,'By Lot'!H2023,'By Lot'!H2040,'By Lot'!H2057,'By Lot'!H2074,'By Structure'!F80)</f>
        <v>11</v>
      </c>
      <c r="G177" s="504">
        <f>SUM('By Lot'!I1934,'By Lot'!I1953,'By Lot'!I1972,'By Lot'!I1989,
'By Lot'!I2006,'By Lot'!I2023,'By Lot'!I2040,'By Lot'!I2057,'By Lot'!I2074,'By Structure'!G80)</f>
        <v>11</v>
      </c>
      <c r="H177" s="504">
        <f>SUM('By Lot'!J1934,'By Lot'!J1953,'By Lot'!J1972,'By Lot'!J1989,
'By Lot'!J2006,'By Lot'!J2023,'By Lot'!J2040,'By Lot'!J2057,'By Lot'!J2074,'By Structure'!H80)</f>
        <v>11</v>
      </c>
      <c r="I177" s="504">
        <f>SUM('By Lot'!K1934,'By Lot'!K1953,'By Lot'!K1972,'By Lot'!K1989,
'By Lot'!K2006,'By Lot'!K2023,'By Lot'!K2040,'By Lot'!K2057,'By Lot'!K2074,'By Structure'!I80)</f>
        <v>11</v>
      </c>
      <c r="J177" s="504">
        <f>SUM('By Lot'!L1934,'By Lot'!L1953,'By Lot'!L1972,'By Lot'!L1989,
'By Lot'!L2006,'By Lot'!L2023,'By Lot'!L2040,'By Lot'!L2057,'By Lot'!L2074,'By Structure'!J80)</f>
        <v>10</v>
      </c>
      <c r="K177" s="504">
        <f>SUM('By Lot'!M1934,'By Lot'!M1953,'By Lot'!M1972,'By Lot'!M1989,
'By Lot'!M2006,'By Lot'!M2023,'By Lot'!M2040,'By Lot'!M2057,'By Lot'!M2074,'By Structure'!K80)</f>
        <v>11</v>
      </c>
      <c r="L177" s="504">
        <f>SUM('By Lot'!N1934,'By Lot'!N1953,'By Lot'!N1972,'By Lot'!N1989,
'By Lot'!N2006,'By Lot'!N2023,'By Lot'!N2040,'By Lot'!N2057,'By Lot'!N2074,'By Structure'!L80)</f>
        <v>12</v>
      </c>
      <c r="M177" s="110">
        <f>SUM('By Lot'!O1934,'By Lot'!O1953,'By Lot'!O1972,'By Lot'!O1989,
'By Lot'!O2006,'By Lot'!O2023,'By Lot'!O2040,'By Lot'!O2057,'By Lot'!O2074,'By Structure'!M80)</f>
        <v>11</v>
      </c>
      <c r="N177" s="504">
        <f t="shared" si="32"/>
        <v>9</v>
      </c>
      <c r="O177" s="504">
        <f t="shared" si="33"/>
        <v>14</v>
      </c>
      <c r="P177" s="107">
        <f t="shared" si="34"/>
        <v>0.60869565217391308</v>
      </c>
      <c r="Q177" s="504"/>
      <c r="R177" s="504"/>
      <c r="S177" s="504"/>
      <c r="T177" s="504"/>
      <c r="U177" s="504"/>
      <c r="V177" s="504"/>
      <c r="W177" s="504"/>
      <c r="X177" s="504"/>
      <c r="Y177" s="504"/>
      <c r="Z177" s="504"/>
    </row>
    <row r="178" spans="1:26" ht="11.25" customHeight="1">
      <c r="A178" s="13"/>
      <c r="B178" s="109" t="s">
        <v>36</v>
      </c>
      <c r="C178" s="13">
        <f>SUM('By Lot'!E1935,'By Lot'!E1954,'By Lot'!E1973,'By Lot'!E1990,
'By Lot'!E2007,'By Lot'!E2024,'By Lot'!E2041,'By Lot'!E2058,'By Lot'!E2075,'By Structure'!C81)</f>
        <v>5</v>
      </c>
      <c r="D178" s="504">
        <f>SUM('By Lot'!F1935,'By Lot'!F1954,'By Lot'!F1973,'By Lot'!F1990,
'By Lot'!F2007,'By Lot'!F2024,'By Lot'!F2041,'By Lot'!F2058,'By Lot'!F2075,'By Structure'!D81)</f>
        <v>1</v>
      </c>
      <c r="E178" s="504">
        <f>SUM('By Lot'!G1935,'By Lot'!G1954,'By Lot'!G1973,'By Lot'!G1990,
'By Lot'!G2007,'By Lot'!G2024,'By Lot'!G2041,'By Lot'!G2058,'By Lot'!G2075,'By Structure'!E81)</f>
        <v>1</v>
      </c>
      <c r="F178" s="504">
        <f>SUM('By Lot'!H1935,'By Lot'!H1954,'By Lot'!H1973,'By Lot'!H1990,
'By Lot'!H2007,'By Lot'!H2024,'By Lot'!H2041,'By Lot'!H2058,'By Lot'!H2075,'By Structure'!F81)</f>
        <v>1</v>
      </c>
      <c r="G178" s="504">
        <f>SUM('By Lot'!I1935,'By Lot'!I1954,'By Lot'!I1973,'By Lot'!I1990,
'By Lot'!I2007,'By Lot'!I2024,'By Lot'!I2041,'By Lot'!I2058,'By Lot'!I2075,'By Structure'!G81)</f>
        <v>1</v>
      </c>
      <c r="H178" s="504">
        <f>SUM('By Lot'!J1935,'By Lot'!J1954,'By Lot'!J1973,'By Lot'!J1990,
'By Lot'!J2007,'By Lot'!J2024,'By Lot'!J2041,'By Lot'!J2058,'By Lot'!J2075,'By Structure'!H81)</f>
        <v>1</v>
      </c>
      <c r="I178" s="504">
        <f>SUM('By Lot'!K1935,'By Lot'!K1954,'By Lot'!K1973,'By Lot'!K1990,
'By Lot'!K2007,'By Lot'!K2024,'By Lot'!K2041,'By Lot'!K2058,'By Lot'!K2075,'By Structure'!I81)</f>
        <v>1</v>
      </c>
      <c r="J178" s="504">
        <f>SUM('By Lot'!L1935,'By Lot'!L1954,'By Lot'!L1973,'By Lot'!L1990,
'By Lot'!L2007,'By Lot'!L2024,'By Lot'!L2041,'By Lot'!L2058,'By Lot'!L2075,'By Structure'!J81)</f>
        <v>1</v>
      </c>
      <c r="K178" s="504">
        <f>SUM('By Lot'!M1935,'By Lot'!M1954,'By Lot'!M1973,'By Lot'!M1990,
'By Lot'!M2007,'By Lot'!M2024,'By Lot'!M2041,'By Lot'!M2058,'By Lot'!M2075,'By Structure'!K81)</f>
        <v>0</v>
      </c>
      <c r="L178" s="504">
        <f>SUM('By Lot'!N1935,'By Lot'!N1954,'By Lot'!N1973,'By Lot'!N1990,
'By Lot'!N2007,'By Lot'!N2024,'By Lot'!N2041,'By Lot'!N2058,'By Lot'!N2075,'By Structure'!L81)</f>
        <v>0</v>
      </c>
      <c r="M178" s="110">
        <f>SUM('By Lot'!O1935,'By Lot'!O1954,'By Lot'!O1973,'By Lot'!O1990,
'By Lot'!O2007,'By Lot'!O2024,'By Lot'!O2041,'By Lot'!O2058,'By Lot'!O2075,'By Structure'!M81)</f>
        <v>0</v>
      </c>
      <c r="N178" s="504">
        <f t="shared" si="32"/>
        <v>0</v>
      </c>
      <c r="O178" s="504">
        <f t="shared" si="33"/>
        <v>5</v>
      </c>
      <c r="P178" s="107">
        <f t="shared" si="34"/>
        <v>1</v>
      </c>
      <c r="Q178" s="504"/>
      <c r="R178" s="504"/>
      <c r="S178" s="504"/>
      <c r="T178" s="504"/>
      <c r="U178" s="504"/>
      <c r="V178" s="504"/>
      <c r="W178" s="504"/>
      <c r="X178" s="504"/>
      <c r="Y178" s="504"/>
      <c r="Z178" s="504"/>
    </row>
    <row r="179" spans="1:26" ht="11.25" customHeight="1">
      <c r="A179" s="13"/>
      <c r="B179" s="109" t="s">
        <v>37</v>
      </c>
      <c r="C179" s="13">
        <f>SUM('By Lot'!E1936,'By Lot'!E1955,'By Lot'!E1974,'By Lot'!E1991,
'By Lot'!E2008,'By Lot'!E2025,'By Lot'!E2042,'By Lot'!E2059,'By Lot'!E2076,'By Structure'!C82)</f>
        <v>12</v>
      </c>
      <c r="D179" s="505">
        <f>SUM('By Lot'!F1936,'By Lot'!F1955,'By Lot'!F1974,'By Lot'!F1991,
'By Lot'!F2008,'By Lot'!F2025,'By Lot'!F2042,'By Lot'!F2059,'By Lot'!F2076,'By Structure'!D82)</f>
        <v>7</v>
      </c>
      <c r="E179" s="505">
        <f>SUM('By Lot'!G1936,'By Lot'!G1955,'By Lot'!G1974,'By Lot'!G1991,
'By Lot'!G2008,'By Lot'!G2025,'By Lot'!G2042,'By Lot'!G2059,'By Lot'!G2076,'By Structure'!E82)</f>
        <v>6</v>
      </c>
      <c r="F179" s="505">
        <f>SUM('By Lot'!H1936,'By Lot'!H1955,'By Lot'!H1974,'By Lot'!H1991,
'By Lot'!H2008,'By Lot'!H2025,'By Lot'!H2042,'By Lot'!H2059,'By Lot'!H2076,'By Structure'!F82)</f>
        <v>6</v>
      </c>
      <c r="G179" s="505">
        <f>SUM('By Lot'!I1936,'By Lot'!I1955,'By Lot'!I1974,'By Lot'!I1991,
'By Lot'!I2008,'By Lot'!I2025,'By Lot'!I2042,'By Lot'!I2059,'By Lot'!I2076,'By Structure'!G82)</f>
        <v>6</v>
      </c>
      <c r="H179" s="505">
        <f>SUM('By Lot'!J1936,'By Lot'!J1955,'By Lot'!J1974,'By Lot'!J1991,
'By Lot'!J2008,'By Lot'!J2025,'By Lot'!J2042,'By Lot'!J2059,'By Lot'!J2076,'By Structure'!H82)</f>
        <v>7</v>
      </c>
      <c r="I179" s="505">
        <f>SUM('By Lot'!K1936,'By Lot'!K1955,'By Lot'!K1974,'By Lot'!K1991,
'By Lot'!K2008,'By Lot'!K2025,'By Lot'!K2042,'By Lot'!K2059,'By Lot'!K2076,'By Structure'!I82)</f>
        <v>6</v>
      </c>
      <c r="J179" s="505">
        <f>SUM('By Lot'!L1936,'By Lot'!L1955,'By Lot'!L1974,'By Lot'!L1991,
'By Lot'!L2008,'By Lot'!L2025,'By Lot'!L2042,'By Lot'!L2059,'By Lot'!L2076,'By Structure'!J82)</f>
        <v>4</v>
      </c>
      <c r="K179" s="505">
        <f>SUM('By Lot'!M1936,'By Lot'!M1955,'By Lot'!M1974,'By Lot'!M1991,
'By Lot'!M2008,'By Lot'!M2025,'By Lot'!M2042,'By Lot'!M2059,'By Lot'!M2076,'By Structure'!K82)</f>
        <v>3</v>
      </c>
      <c r="L179" s="505">
        <f>SUM('By Lot'!N1936,'By Lot'!N1955,'By Lot'!N1974,'By Lot'!N1991,
'By Lot'!N2008,'By Lot'!N2025,'By Lot'!N2042,'By Lot'!N2059,'By Lot'!N2076,'By Structure'!L82)</f>
        <v>3</v>
      </c>
      <c r="M179" s="133">
        <f>SUM('By Lot'!O1936,'By Lot'!O1955,'By Lot'!O1974,'By Lot'!O1991,
'By Lot'!O2008,'By Lot'!O2025,'By Lot'!O2042,'By Lot'!O2059,'By Lot'!O2076,'By Structure'!M82)</f>
        <v>6</v>
      </c>
      <c r="N179" s="504">
        <f t="shared" si="32"/>
        <v>3</v>
      </c>
      <c r="O179" s="504">
        <f t="shared" si="33"/>
        <v>9</v>
      </c>
      <c r="P179" s="107">
        <f t="shared" si="34"/>
        <v>0.75</v>
      </c>
      <c r="Q179" s="504"/>
      <c r="R179" s="504"/>
      <c r="S179" s="504"/>
      <c r="T179" s="504"/>
      <c r="U179" s="504"/>
      <c r="V179" s="504"/>
      <c r="W179" s="504"/>
      <c r="X179" s="504"/>
      <c r="Y179" s="504"/>
      <c r="Z179" s="504"/>
    </row>
    <row r="180" spans="1:26" ht="11.25" customHeight="1">
      <c r="A180" s="2"/>
      <c r="B180" s="3" t="s">
        <v>38</v>
      </c>
      <c r="C180" s="3">
        <f t="shared" ref="C180:M180" si="37">SUM(C169:C179)</f>
        <v>1888</v>
      </c>
      <c r="D180" s="73">
        <f t="shared" si="37"/>
        <v>1220</v>
      </c>
      <c r="E180" s="506">
        <f t="shared" si="37"/>
        <v>1012</v>
      </c>
      <c r="F180" s="506">
        <f t="shared" si="37"/>
        <v>727</v>
      </c>
      <c r="G180" s="506">
        <f t="shared" si="37"/>
        <v>627</v>
      </c>
      <c r="H180" s="506">
        <f t="shared" si="37"/>
        <v>643</v>
      </c>
      <c r="I180" s="506">
        <f t="shared" si="37"/>
        <v>661</v>
      </c>
      <c r="J180" s="506">
        <f t="shared" si="37"/>
        <v>669</v>
      </c>
      <c r="K180" s="506">
        <f t="shared" si="37"/>
        <v>765</v>
      </c>
      <c r="L180" s="506">
        <f t="shared" si="37"/>
        <v>890</v>
      </c>
      <c r="M180" s="134">
        <f t="shared" si="37"/>
        <v>1033</v>
      </c>
      <c r="N180" s="21">
        <f t="shared" si="32"/>
        <v>627</v>
      </c>
      <c r="O180" s="71">
        <f t="shared" si="33"/>
        <v>1261</v>
      </c>
      <c r="P180" s="7">
        <f t="shared" si="34"/>
        <v>0.66790254237288138</v>
      </c>
      <c r="Q180" s="504"/>
      <c r="R180" s="504"/>
      <c r="S180" s="504"/>
      <c r="T180" s="504"/>
      <c r="U180" s="504"/>
      <c r="V180" s="504"/>
      <c r="W180" s="504"/>
      <c r="X180" s="504"/>
      <c r="Y180" s="504"/>
      <c r="Z180" s="504"/>
    </row>
    <row r="181" spans="1:26" ht="11.25" customHeight="1">
      <c r="A181" s="397" t="s">
        <v>22</v>
      </c>
      <c r="B181" s="13" t="s">
        <v>23</v>
      </c>
      <c r="C181" s="13">
        <f>SUM('By Lot'!E1409,'By Lot'!E1460,'By Lot'!E1477,
'By Lot'!E1494,'By Lot'!E1511,'By Lot'!E1528,
'By Lot'!E1545,'By Lot'!E1579,'By Lot'!E1596,
'By Lot'!E1734)</f>
        <v>62</v>
      </c>
      <c r="D181" s="109">
        <f>SUM('By Lot'!F1409,'By Lot'!F1460,'By Lot'!F1477,'By Lot'!F1494,'By Lot'!F1511,'By Lot'!F1528,'By Lot'!F1545,'By Lot'!F1579,'By Lot'!F1596,'By Lot'!F1734)</f>
        <v>4</v>
      </c>
      <c r="E181" s="504">
        <f>SUM('By Lot'!G1409,'By Lot'!G1460,'By Lot'!G1477,'By Lot'!G1494,'By Lot'!G1511,'By Lot'!G1528,'By Lot'!G1545,'By Lot'!G1579,'By Lot'!G1596,'By Lot'!G1734)</f>
        <v>3</v>
      </c>
      <c r="F181" s="504">
        <f>SUM('By Lot'!H1409,'By Lot'!H1460,'By Lot'!H1477,'By Lot'!H1494,'By Lot'!H1511,'By Lot'!H1528,'By Lot'!H1545,'By Lot'!H1579,'By Lot'!H1596,'By Lot'!H1734)</f>
        <v>3</v>
      </c>
      <c r="G181" s="504">
        <f>SUM('By Lot'!I1409,'By Lot'!I1460,'By Lot'!I1477,'By Lot'!I1494,'By Lot'!I1511,'By Lot'!I1528,'By Lot'!I1545,'By Lot'!I1579,'By Lot'!I1596,'By Lot'!I1734)</f>
        <v>0</v>
      </c>
      <c r="H181" s="504">
        <f>SUM('By Lot'!J1409,'By Lot'!J1460,'By Lot'!J1477,'By Lot'!J1494,'By Lot'!J1511,'By Lot'!J1528,'By Lot'!J1545,'By Lot'!J1579,'By Lot'!J1596,'By Lot'!J1734)</f>
        <v>0</v>
      </c>
      <c r="I181" s="504">
        <f>SUM('By Lot'!K1409,'By Lot'!K1460,'By Lot'!K1477,'By Lot'!K1494,'By Lot'!K1511,'By Lot'!K1528,'By Lot'!K1545,'By Lot'!K1579,'By Lot'!K1596,'By Lot'!K1734)</f>
        <v>0</v>
      </c>
      <c r="J181" s="504">
        <f>SUM('By Lot'!L1409,'By Lot'!L1460,'By Lot'!L1477,'By Lot'!L1494,'By Lot'!L1511,'By Lot'!L1528,'By Lot'!L1545,'By Lot'!L1579,'By Lot'!L1596,'By Lot'!L1734)</f>
        <v>1</v>
      </c>
      <c r="K181" s="504">
        <f>SUM('By Lot'!M1409,'By Lot'!M1460,'By Lot'!M1477,'By Lot'!M1494,'By Lot'!M1511,'By Lot'!M1528,'By Lot'!M1545,'By Lot'!M1579,'By Lot'!M1596,'By Lot'!M1734)</f>
        <v>1</v>
      </c>
      <c r="L181" s="504">
        <f>SUM('By Lot'!N1409,'By Lot'!N1460,'By Lot'!N1477,'By Lot'!N1494,'By Lot'!N1511,'By Lot'!N1528,'By Lot'!N1545,'By Lot'!N1579,'By Lot'!N1596,'By Lot'!N1734)</f>
        <v>1</v>
      </c>
      <c r="M181" s="110">
        <f>SUM('By Lot'!O1409,'By Lot'!O1460,'By Lot'!O1477,'By Lot'!O1494,'By Lot'!O1511,'By Lot'!O1528,'By Lot'!O1545,'By Lot'!O1579,'By Lot'!O1596,'By Lot'!O1734)</f>
        <v>1</v>
      </c>
      <c r="N181" s="109">
        <f t="shared" si="32"/>
        <v>0</v>
      </c>
      <c r="O181" s="504">
        <f t="shared" si="33"/>
        <v>62</v>
      </c>
      <c r="P181" s="107">
        <f t="shared" si="34"/>
        <v>1</v>
      </c>
      <c r="Q181" s="504"/>
      <c r="R181" s="504"/>
      <c r="S181" s="504"/>
      <c r="T181" s="504"/>
      <c r="U181" s="504"/>
      <c r="V181" s="504"/>
      <c r="W181" s="504"/>
      <c r="X181" s="504"/>
      <c r="Y181" s="504"/>
      <c r="Z181" s="504"/>
    </row>
    <row r="182" spans="1:26" ht="11.25" customHeight="1">
      <c r="A182" s="13" t="s">
        <v>45</v>
      </c>
      <c r="B182" s="13" t="s">
        <v>25</v>
      </c>
      <c r="C182" s="13">
        <f>SUM('By Lot'!E1410,'By Lot'!E1461,'By Lot'!E1478,
'By Lot'!E1495,'By Lot'!E1512,'By Lot'!E1529,
'By Lot'!E1546,'By Lot'!E1580,'By Lot'!E1597,
'By Lot'!E1735)</f>
        <v>16</v>
      </c>
      <c r="D182" s="109">
        <f>SUM('By Lot'!F1410,'By Lot'!F1461,'By Lot'!F1478,'By Lot'!F1495,'By Lot'!F1512,'By Lot'!F1529,'By Lot'!F1546,'By Lot'!F1580,'By Lot'!F1597,'By Lot'!F1735)</f>
        <v>0</v>
      </c>
      <c r="E182" s="504">
        <f>SUM('By Lot'!G1410,'By Lot'!G1461,'By Lot'!G1478,'By Lot'!G1495,'By Lot'!G1512,'By Lot'!G1529,'By Lot'!G1546,'By Lot'!G1580,'By Lot'!G1597,'By Lot'!G1735)</f>
        <v>0</v>
      </c>
      <c r="F182" s="504">
        <f>SUM('By Lot'!H1410,'By Lot'!H1461,'By Lot'!H1478,'By Lot'!H1495,'By Lot'!H1512,'By Lot'!H1529,'By Lot'!H1546,'By Lot'!H1580,'By Lot'!H1597,'By Lot'!H1735)</f>
        <v>0</v>
      </c>
      <c r="G182" s="504">
        <f>SUM('By Lot'!I1410,'By Lot'!I1461,'By Lot'!I1478,'By Lot'!I1495,'By Lot'!I1512,'By Lot'!I1529,'By Lot'!I1546,'By Lot'!I1580,'By Lot'!I1597,'By Lot'!I1735)</f>
        <v>0</v>
      </c>
      <c r="H182" s="504">
        <f>SUM('By Lot'!J1410,'By Lot'!J1461,'By Lot'!J1478,'By Lot'!J1495,'By Lot'!J1512,'By Lot'!J1529,'By Lot'!J1546,'By Lot'!J1580,'By Lot'!J1597,'By Lot'!J1735)</f>
        <v>0</v>
      </c>
      <c r="I182" s="504">
        <f>SUM('By Lot'!K1410,'By Lot'!K1461,'By Lot'!K1478,'By Lot'!K1495,'By Lot'!K1512,'By Lot'!K1529,'By Lot'!K1546,'By Lot'!K1580,'By Lot'!K1597,'By Lot'!K1735)</f>
        <v>0</v>
      </c>
      <c r="J182" s="504">
        <f>SUM('By Lot'!L1410,'By Lot'!L1461,'By Lot'!L1478,'By Lot'!L1495,'By Lot'!L1512,'By Lot'!L1529,'By Lot'!L1546,'By Lot'!L1580,'By Lot'!L1597,'By Lot'!L1735)</f>
        <v>0</v>
      </c>
      <c r="K182" s="504">
        <f>SUM('By Lot'!M1410,'By Lot'!M1461,'By Lot'!M1478,'By Lot'!M1495,'By Lot'!M1512,'By Lot'!M1529,'By Lot'!M1546,'By Lot'!M1580,'By Lot'!M1597,'By Lot'!M1735)</f>
        <v>0</v>
      </c>
      <c r="L182" s="504">
        <f>SUM('By Lot'!N1410,'By Lot'!N1461,'By Lot'!N1478,'By Lot'!N1495,'By Lot'!N1512,'By Lot'!N1529,'By Lot'!N1546,'By Lot'!N1580,'By Lot'!N1597,'By Lot'!N1735)</f>
        <v>0</v>
      </c>
      <c r="M182" s="110">
        <f>SUM('By Lot'!O1410,'By Lot'!O1461,'By Lot'!O1478,'By Lot'!O1495,'By Lot'!O1512,'By Lot'!O1529,'By Lot'!O1546,'By Lot'!O1580,'By Lot'!O1597,'By Lot'!O1735)</f>
        <v>0</v>
      </c>
      <c r="N182" s="109">
        <f t="shared" si="32"/>
        <v>0</v>
      </c>
      <c r="O182" s="504">
        <f t="shared" si="33"/>
        <v>16</v>
      </c>
      <c r="P182" s="107">
        <f t="shared" si="34"/>
        <v>1</v>
      </c>
      <c r="Q182" s="504"/>
      <c r="R182" s="504"/>
      <c r="S182" s="504"/>
      <c r="T182" s="504"/>
      <c r="U182" s="504"/>
      <c r="V182" s="504"/>
      <c r="W182" s="504"/>
      <c r="X182" s="504"/>
      <c r="Y182" s="504"/>
      <c r="Z182" s="504"/>
    </row>
    <row r="183" spans="1:26" ht="11.25" customHeight="1">
      <c r="A183" s="13"/>
      <c r="B183" s="13" t="s">
        <v>27</v>
      </c>
      <c r="C183" s="13"/>
      <c r="D183" s="109"/>
      <c r="E183" s="504"/>
      <c r="F183" s="504"/>
      <c r="G183" s="504"/>
      <c r="H183" s="504"/>
      <c r="I183" s="504"/>
      <c r="J183" s="504"/>
      <c r="K183" s="504"/>
      <c r="L183" s="504"/>
      <c r="M183" s="110"/>
      <c r="N183" s="109"/>
      <c r="O183" s="504"/>
      <c r="P183" s="107"/>
      <c r="Q183" s="504"/>
      <c r="R183" s="504"/>
      <c r="S183" s="504"/>
      <c r="T183" s="504"/>
      <c r="U183" s="504"/>
      <c r="V183" s="504"/>
      <c r="W183" s="504"/>
      <c r="X183" s="504"/>
      <c r="Y183" s="504"/>
      <c r="Z183" s="504"/>
    </row>
    <row r="184" spans="1:26" ht="11.25" customHeight="1">
      <c r="A184" s="13"/>
      <c r="B184" s="13" t="s">
        <v>31</v>
      </c>
      <c r="C184" s="13">
        <f>SUM('By Lot'!E1412:E1413,'By Lot'!E1463:E1464,'By Lot'!E1480:E1481,
'By Lot'!E1497:E1498,'By Lot'!E1514:E1515,'By Lot'!E1531:E1532,
'By Lot'!E1548:E1549,'By Lot'!E1582:E1583,'By Lot'!E1599:E1600,
'By Lot'!E1737:E1738)</f>
        <v>12</v>
      </c>
      <c r="D184" s="109">
        <f>SUM('By Lot'!F1412:F1413,'By Lot'!F1463:F1464,'By Lot'!F1480:F1481,'By Lot'!F1497:F1498,'By Lot'!F1514:F1515,'By Lot'!F1531:F1532,'By Lot'!F1548:F1549,'By Lot'!F1582:F1583,'By Lot'!F1599:F1600,'By Lot'!F1737:F1738)</f>
        <v>0</v>
      </c>
      <c r="E184" s="504">
        <f>SUM('By Lot'!G1412:G1413,'By Lot'!G1463:G1464,'By Lot'!G1480:G1481,'By Lot'!G1497:G1498,'By Lot'!G1514:G1515,'By Lot'!G1531:G1532,'By Lot'!G1548:G1549,'By Lot'!G1582:G1583,'By Lot'!G1599:G1600,'By Lot'!G1737:G1738)</f>
        <v>0</v>
      </c>
      <c r="F184" s="504">
        <f>SUM('By Lot'!H1412:H1413,'By Lot'!H1463:H1464,'By Lot'!H1480:H1481,'By Lot'!H1497:H1498,'By Lot'!H1514:H1515,'By Lot'!H1531:H1532,'By Lot'!H1548:H1549,'By Lot'!H1582:H1583,'By Lot'!H1599:H1600,'By Lot'!H1737:H1738)</f>
        <v>0</v>
      </c>
      <c r="G184" s="504">
        <f>SUM('By Lot'!I1412:I1413,'By Lot'!I1463:I1464,'By Lot'!I1480:I1481,'By Lot'!I1497:I1498,'By Lot'!I1514:I1515,'By Lot'!I1531:I1532,'By Lot'!I1548:I1549,'By Lot'!I1582:I1583,'By Lot'!I1599:I1600,'By Lot'!I1737:I1738)</f>
        <v>1</v>
      </c>
      <c r="H184" s="504">
        <f>SUM('By Lot'!J1412:J1413,'By Lot'!J1463:J1464,'By Lot'!J1480:J1481,'By Lot'!J1497:J1498,'By Lot'!J1514:J1515,'By Lot'!J1531:J1532,'By Lot'!J1548:J1549,'By Lot'!J1582:J1583,'By Lot'!J1599:J1600,'By Lot'!J1737:J1738)</f>
        <v>2</v>
      </c>
      <c r="I184" s="504">
        <f>SUM('By Lot'!K1412:K1413,'By Lot'!K1463:K1464,'By Lot'!K1480:K1481,'By Lot'!K1497:K1498,'By Lot'!K1514:K1515,'By Lot'!K1531:K1532,'By Lot'!K1548:K1549,'By Lot'!K1582:K1583,'By Lot'!K1599:K1600,'By Lot'!K1737:K1738)</f>
        <v>4</v>
      </c>
      <c r="J184" s="504">
        <f>SUM('By Lot'!L1412:L1413,'By Lot'!L1463:L1464,'By Lot'!L1480:L1481,'By Lot'!L1497:L1498,'By Lot'!L1514:L1515,'By Lot'!L1531:L1532,'By Lot'!L1548:L1549,'By Lot'!L1582:L1583,'By Lot'!L1599:L1600,'By Lot'!L1737:L1738)</f>
        <v>1</v>
      </c>
      <c r="K184" s="504">
        <f>SUM('By Lot'!M1412:M1413,'By Lot'!M1463:M1464,'By Lot'!M1480:M1481,'By Lot'!M1497:M1498,'By Lot'!M1514:M1515,'By Lot'!M1531:M1532,'By Lot'!M1548:M1549,'By Lot'!M1582:M1583,'By Lot'!M1599:M1600,'By Lot'!M1737:M1738)</f>
        <v>5</v>
      </c>
      <c r="L184" s="504">
        <f>SUM('By Lot'!N1412:N1413,'By Lot'!N1463:N1464,'By Lot'!N1480:N1481,'By Lot'!N1497:N1498,'By Lot'!N1514:N1515,'By Lot'!N1531:N1532,'By Lot'!N1548:N1549,'By Lot'!N1582:N1583,'By Lot'!N1599:N1600,'By Lot'!N1737:N1738)</f>
        <v>1</v>
      </c>
      <c r="M184" s="110">
        <f>SUM('By Lot'!O1412:O1413,'By Lot'!O1463:O1464,'By Lot'!O1480:O1481,'By Lot'!O1497:O1498,'By Lot'!O1514:O1515,'By Lot'!O1531:O1532,'By Lot'!O1548:O1549,'By Lot'!O1582:O1583,'By Lot'!O1599:O1600,'By Lot'!O1737:O1738)</f>
        <v>1</v>
      </c>
      <c r="N184" s="109">
        <f t="shared" ref="N184:N204" si="38">MIN(D184:M184)</f>
        <v>0</v>
      </c>
      <c r="O184" s="504">
        <f t="shared" ref="O184:O191" si="39">C184-N184</f>
        <v>12</v>
      </c>
      <c r="P184" s="107">
        <f t="shared" ref="P184:P191" si="40">O184/C184</f>
        <v>1</v>
      </c>
      <c r="Q184" s="504"/>
      <c r="R184" s="504"/>
      <c r="S184" s="504"/>
      <c r="T184" s="504"/>
      <c r="U184" s="504"/>
      <c r="V184" s="504"/>
      <c r="W184" s="504"/>
      <c r="X184" s="504"/>
      <c r="Y184" s="504"/>
      <c r="Z184" s="504"/>
    </row>
    <row r="185" spans="1:26" ht="11.25" customHeight="1">
      <c r="A185" s="13"/>
      <c r="B185" s="13" t="s">
        <v>32</v>
      </c>
      <c r="C185" s="13">
        <f>SUM('By Lot'!E1414,'By Lot'!E1465,'By Lot'!E1482,
'By Lot'!E1499,'By Lot'!E1516,'By Lot'!E1533,
'By Lot'!E1550,'By Lot'!E1584,'By Lot'!E1601,
'By Lot'!E1739)</f>
        <v>78</v>
      </c>
      <c r="D185" s="109">
        <f>SUM('By Lot'!F1414,'By Lot'!F1465,'By Lot'!F1482,'By Lot'!F1499,'By Lot'!F1516,'By Lot'!F1533,'By Lot'!F1550,'By Lot'!F1584,'By Lot'!F1601,'By Lot'!F1739)</f>
        <v>45</v>
      </c>
      <c r="E185" s="504">
        <f>SUM('By Lot'!G1414,'By Lot'!G1465,'By Lot'!G1482,'By Lot'!G1499,'By Lot'!G1516,'By Lot'!G1533,'By Lot'!G1550,'By Lot'!G1584,'By Lot'!G1601,'By Lot'!G1739)</f>
        <v>41</v>
      </c>
      <c r="F185" s="504">
        <f>SUM('By Lot'!H1414,'By Lot'!H1465,'By Lot'!H1482,'By Lot'!H1499,'By Lot'!H1516,'By Lot'!H1533,'By Lot'!H1550,'By Lot'!H1584,'By Lot'!H1601,'By Lot'!H1739)</f>
        <v>42</v>
      </c>
      <c r="G185" s="504">
        <f>SUM('By Lot'!I1414,'By Lot'!I1465,'By Lot'!I1482,'By Lot'!I1499,'By Lot'!I1516,'By Lot'!I1533,'By Lot'!I1550,'By Lot'!I1584,'By Lot'!I1601,'By Lot'!I1739)</f>
        <v>38</v>
      </c>
      <c r="H185" s="504">
        <f>SUM('By Lot'!J1414,'By Lot'!J1465,'By Lot'!J1482,'By Lot'!J1499,'By Lot'!J1516,'By Lot'!J1533,'By Lot'!J1550,'By Lot'!J1584,'By Lot'!J1601,'By Lot'!J1739)</f>
        <v>36</v>
      </c>
      <c r="I185" s="504">
        <f>SUM('By Lot'!K1414,'By Lot'!K1465,'By Lot'!K1482,'By Lot'!K1499,'By Lot'!K1516,'By Lot'!K1533,'By Lot'!K1550,'By Lot'!K1584,'By Lot'!K1601,'By Lot'!K1739)</f>
        <v>37</v>
      </c>
      <c r="J185" s="504">
        <f>SUM('By Lot'!L1414,'By Lot'!L1465,'By Lot'!L1482,'By Lot'!L1499,'By Lot'!L1516,'By Lot'!L1533,'By Lot'!L1550,'By Lot'!L1584,'By Lot'!L1601,'By Lot'!L1739)</f>
        <v>37</v>
      </c>
      <c r="K185" s="504">
        <f>SUM('By Lot'!M1414,'By Lot'!M1465,'By Lot'!M1482,'By Lot'!M1499,'By Lot'!M1516,'By Lot'!M1533,'By Lot'!M1550,'By Lot'!M1584,'By Lot'!M1601,'By Lot'!M1739)</f>
        <v>46</v>
      </c>
      <c r="L185" s="504">
        <f>SUM('By Lot'!N1414,'By Lot'!N1465,'By Lot'!N1482,'By Lot'!N1499,'By Lot'!N1516,'By Lot'!N1533,'By Lot'!N1550,'By Lot'!N1584,'By Lot'!N1601,'By Lot'!N1739)</f>
        <v>47</v>
      </c>
      <c r="M185" s="110">
        <f>SUM('By Lot'!O1414,'By Lot'!O1465,'By Lot'!O1482,'By Lot'!O1499,'By Lot'!O1516,'By Lot'!O1533,'By Lot'!O1550,'By Lot'!O1584,'By Lot'!O1601,'By Lot'!O1739)</f>
        <v>49</v>
      </c>
      <c r="N185" s="109">
        <f t="shared" si="38"/>
        <v>36</v>
      </c>
      <c r="O185" s="504">
        <f t="shared" si="39"/>
        <v>42</v>
      </c>
      <c r="P185" s="107">
        <f t="shared" si="40"/>
        <v>0.53846153846153844</v>
      </c>
      <c r="Q185" s="504"/>
      <c r="R185" s="504"/>
      <c r="S185" s="504"/>
      <c r="T185" s="504"/>
      <c r="U185" s="504"/>
      <c r="V185" s="504"/>
      <c r="W185" s="504"/>
      <c r="X185" s="504"/>
      <c r="Y185" s="504"/>
      <c r="Z185" s="504"/>
    </row>
    <row r="186" spans="1:26" ht="11.25" customHeight="1">
      <c r="A186" s="13"/>
      <c r="B186" s="13" t="s">
        <v>33</v>
      </c>
      <c r="C186" s="13">
        <f>SUM('By Lot'!E1415:E1420,'By Lot'!E1466:E1471,'By Lot'!E1483:E1488,
'By Lot'!E1500:E1505,'By Lot'!E1517:E1522,'By Lot'!E1534:E1539,
'By Lot'!E1551:E1556,'By Lot'!E1585:E1590,'By Lot'!E1602:E1607,
'By Lot'!E1740:E1745)</f>
        <v>33</v>
      </c>
      <c r="D186" s="109">
        <f>SUM('By Lot'!F1415:F1420,'By Lot'!F1466:F1471,'By Lot'!F1483:F1488,'By Lot'!F1500:F1505,'By Lot'!F1517:F1522,'By Lot'!F1534:F1539,'By Lot'!F1551:F1556,'By Lot'!F1585:F1590,'By Lot'!F1602:F1607,'By Lot'!F1740:F1745)</f>
        <v>19</v>
      </c>
      <c r="E186" s="504">
        <f>SUM('By Lot'!G1415:G1420,'By Lot'!G1466:G1471,'By Lot'!G1483:G1488,'By Lot'!G1500:G1505,'By Lot'!G1517:G1522,'By Lot'!G1534:G1539,'By Lot'!G1551:G1556,'By Lot'!G1585:G1590,'By Lot'!G1602:G1607,'By Lot'!G1740:G1745)</f>
        <v>15</v>
      </c>
      <c r="F186" s="504">
        <f>SUM('By Lot'!H1415:H1420,'By Lot'!H1466:H1471,'By Lot'!H1483:H1488,'By Lot'!H1500:H1505,'By Lot'!H1517:H1522,'By Lot'!H1534:H1539,'By Lot'!H1551:H1556,'By Lot'!H1585:H1590,'By Lot'!H1602:H1607,'By Lot'!H1740:H1745)</f>
        <v>14</v>
      </c>
      <c r="G186" s="504">
        <f>SUM('By Lot'!I1415:I1420,'By Lot'!I1466:I1471,'By Lot'!I1483:I1488,'By Lot'!I1500:I1505,'By Lot'!I1517:I1522,'By Lot'!I1534:I1539,'By Lot'!I1551:I1556,'By Lot'!I1585:I1590,'By Lot'!I1602:I1607,'By Lot'!I1740:I1745)</f>
        <v>13</v>
      </c>
      <c r="H186" s="504">
        <f>SUM('By Lot'!J1415:J1420,'By Lot'!J1466:J1471,'By Lot'!J1483:J1488,'By Lot'!J1500:J1505,'By Lot'!J1517:J1522,'By Lot'!J1534:J1539,'By Lot'!J1551:J1556,'By Lot'!J1585:J1590,'By Lot'!J1602:J1607,'By Lot'!J1740:J1745)</f>
        <v>13</v>
      </c>
      <c r="I186" s="504">
        <f>SUM('By Lot'!K1415:K1420,'By Lot'!K1466:K1471,'By Lot'!K1483:K1488,'By Lot'!K1500:K1505,'By Lot'!K1517:K1522,'By Lot'!K1534:K1539,'By Lot'!K1551:K1556,'By Lot'!K1585:K1590,'By Lot'!K1602:K1607,'By Lot'!K1740:K1745)</f>
        <v>12</v>
      </c>
      <c r="J186" s="504">
        <f>SUM('By Lot'!L1415:L1420,'By Lot'!L1466:L1471,'By Lot'!L1483:L1488,'By Lot'!L1500:L1505,'By Lot'!L1517:L1522,'By Lot'!L1534:L1539,'By Lot'!L1551:L1556,'By Lot'!L1585:L1590,'By Lot'!L1602:L1607,'By Lot'!L1740:L1745)</f>
        <v>15</v>
      </c>
      <c r="K186" s="504">
        <f>SUM('By Lot'!M1415:M1420,'By Lot'!M1466:M1471,'By Lot'!M1483:M1488,'By Lot'!M1500:M1505,'By Lot'!M1517:M1522,'By Lot'!M1534:M1539,'By Lot'!M1551:M1556,'By Lot'!M1585:M1590,'By Lot'!M1602:M1607,'By Lot'!M1740:M1745)</f>
        <v>19</v>
      </c>
      <c r="L186" s="504">
        <f>SUM('By Lot'!N1415:N1420,'By Lot'!N1466:N1471,'By Lot'!N1483:N1488,'By Lot'!N1500:N1505,'By Lot'!N1517:N1522,'By Lot'!N1534:N1539,'By Lot'!N1551:N1556,'By Lot'!N1585:N1590,'By Lot'!N1602:N1607,'By Lot'!N1740:N1745)</f>
        <v>21</v>
      </c>
      <c r="M186" s="110">
        <f>SUM('By Lot'!O1415:O1420,'By Lot'!O1466:O1471,'By Lot'!O1483:O1488,'By Lot'!O1500:O1505,'By Lot'!O1517:O1522,'By Lot'!O1534:O1539,'By Lot'!O1551:O1556,'By Lot'!O1585:O1590,'By Lot'!O1602:O1607,'By Lot'!O1740:O1745)</f>
        <v>22</v>
      </c>
      <c r="N186" s="109">
        <f t="shared" si="38"/>
        <v>12</v>
      </c>
      <c r="O186" s="504">
        <f t="shared" si="39"/>
        <v>21</v>
      </c>
      <c r="P186" s="107">
        <f t="shared" si="40"/>
        <v>0.63636363636363635</v>
      </c>
      <c r="Q186" s="504"/>
      <c r="R186" s="504"/>
      <c r="S186" s="504"/>
      <c r="T186" s="504"/>
      <c r="U186" s="504"/>
      <c r="V186" s="504"/>
      <c r="W186" s="504"/>
      <c r="X186" s="504"/>
      <c r="Y186" s="504"/>
      <c r="Z186" s="504"/>
    </row>
    <row r="187" spans="1:26" ht="11.25" customHeight="1">
      <c r="A187" s="13"/>
      <c r="B187" s="13" t="s">
        <v>34</v>
      </c>
      <c r="C187" s="13">
        <f>SUM('By Lot'!E1421,'By Lot'!E1472,'By Lot'!E1489,
'By Lot'!E1506,'By Lot'!E1523,'By Lot'!E1540,
'By Lot'!E1557,'By Lot'!E1591,'By Lot'!E1608,
'By Lot'!E1746)</f>
        <v>37</v>
      </c>
      <c r="D187" s="109">
        <f>SUM('By Lot'!F1421,'By Lot'!F1472,'By Lot'!F1489,'By Lot'!F1506,'By Lot'!F1523,'By Lot'!F1540,'By Lot'!F1557,'By Lot'!F1591,'By Lot'!F1608,'By Lot'!F1746)</f>
        <v>28</v>
      </c>
      <c r="E187" s="504">
        <f>SUM('By Lot'!G1421,'By Lot'!G1472,'By Lot'!G1489,'By Lot'!G1506,'By Lot'!G1523,'By Lot'!G1540,'By Lot'!G1557,'By Lot'!G1591,'By Lot'!G1608,'By Lot'!G1746)</f>
        <v>24</v>
      </c>
      <c r="F187" s="504">
        <f>SUM('By Lot'!H1421,'By Lot'!H1472,'By Lot'!H1489,'By Lot'!H1506,'By Lot'!H1523,'By Lot'!H1540,'By Lot'!H1557,'By Lot'!H1591,'By Lot'!H1608,'By Lot'!H1746)</f>
        <v>23</v>
      </c>
      <c r="G187" s="504">
        <f>SUM('By Lot'!I1421,'By Lot'!I1472,'By Lot'!I1489,'By Lot'!I1506,'By Lot'!I1523,'By Lot'!I1540,'By Lot'!I1557,'By Lot'!I1591,'By Lot'!I1608,'By Lot'!I1746)</f>
        <v>22</v>
      </c>
      <c r="H187" s="504">
        <f>SUM('By Lot'!J1421,'By Lot'!J1472,'By Lot'!J1489,'By Lot'!J1506,'By Lot'!J1523,'By Lot'!J1540,'By Lot'!J1557,'By Lot'!J1591,'By Lot'!J1608,'By Lot'!J1746)</f>
        <v>23</v>
      </c>
      <c r="I187" s="504">
        <f>SUM('By Lot'!K1421,'By Lot'!K1472,'By Lot'!K1489,'By Lot'!K1506,'By Lot'!K1523,'By Lot'!K1540,'By Lot'!K1557,'By Lot'!K1591,'By Lot'!K1608,'By Lot'!K1746)</f>
        <v>23</v>
      </c>
      <c r="J187" s="504">
        <f>SUM('By Lot'!L1421,'By Lot'!L1472,'By Lot'!L1489,'By Lot'!L1506,'By Lot'!L1523,'By Lot'!L1540,'By Lot'!L1557,'By Lot'!L1591,'By Lot'!L1608,'By Lot'!L1746)</f>
        <v>21</v>
      </c>
      <c r="K187" s="504">
        <f>SUM('By Lot'!M1421,'By Lot'!M1472,'By Lot'!M1489,'By Lot'!M1506,'By Lot'!M1523,'By Lot'!M1540,'By Lot'!M1557,'By Lot'!M1591,'By Lot'!M1608,'By Lot'!M1746)</f>
        <v>20</v>
      </c>
      <c r="L187" s="504">
        <f>SUM('By Lot'!N1421,'By Lot'!N1472,'By Lot'!N1489,'By Lot'!N1506,'By Lot'!N1523,'By Lot'!N1540,'By Lot'!N1557,'By Lot'!N1591,'By Lot'!N1608,'By Lot'!N1746)</f>
        <v>27</v>
      </c>
      <c r="M187" s="110">
        <f>SUM('By Lot'!O1421,'By Lot'!O1472,'By Lot'!O1489,'By Lot'!O1506,'By Lot'!O1523,'By Lot'!O1540,'By Lot'!O1557,'By Lot'!O1591,'By Lot'!O1608,'By Lot'!O1746)</f>
        <v>27</v>
      </c>
      <c r="N187" s="109">
        <f t="shared" si="38"/>
        <v>20</v>
      </c>
      <c r="O187" s="504">
        <f t="shared" si="39"/>
        <v>17</v>
      </c>
      <c r="P187" s="107">
        <f t="shared" si="40"/>
        <v>0.45945945945945948</v>
      </c>
      <c r="Q187" s="504"/>
      <c r="R187" s="504"/>
      <c r="S187" s="504"/>
      <c r="T187" s="504"/>
      <c r="U187" s="504"/>
      <c r="V187" s="504"/>
      <c r="W187" s="504"/>
      <c r="X187" s="504"/>
      <c r="Y187" s="504"/>
      <c r="Z187" s="504"/>
    </row>
    <row r="188" spans="1:26" ht="11.25" customHeight="1">
      <c r="A188" s="13"/>
      <c r="B188" s="13" t="s">
        <v>35</v>
      </c>
      <c r="C188" s="13">
        <f>SUM('By Lot'!E1422,'By Lot'!E1473,'By Lot'!E1490,
'By Lot'!E1507,'By Lot'!E1524,'By Lot'!E1541,
'By Lot'!E1558,'By Lot'!E1592,'By Lot'!E1609,
'By Lot'!E1747)</f>
        <v>3</v>
      </c>
      <c r="D188" s="109">
        <f>SUM('By Lot'!F1422,'By Lot'!F1473,'By Lot'!F1490,'By Lot'!F1507,'By Lot'!F1524,'By Lot'!F1541,'By Lot'!F1558,'By Lot'!F1592,'By Lot'!F1609,'By Lot'!F1747)</f>
        <v>3</v>
      </c>
      <c r="E188" s="504">
        <f>SUM('By Lot'!G1422,'By Lot'!G1473,'By Lot'!G1490,'By Lot'!G1507,'By Lot'!G1524,'By Lot'!G1541,'By Lot'!G1558,'By Lot'!G1592,'By Lot'!G1609,'By Lot'!G1747)</f>
        <v>3</v>
      </c>
      <c r="F188" s="504">
        <f>SUM('By Lot'!H1422,'By Lot'!H1473,'By Lot'!H1490,'By Lot'!H1507,'By Lot'!H1524,'By Lot'!H1541,'By Lot'!H1558,'By Lot'!H1592,'By Lot'!H1609,'By Lot'!H1747)</f>
        <v>2</v>
      </c>
      <c r="G188" s="504">
        <f>SUM('By Lot'!I1422,'By Lot'!I1473,'By Lot'!I1490,'By Lot'!I1507,'By Lot'!I1524,'By Lot'!I1541,'By Lot'!I1558,'By Lot'!I1592,'By Lot'!I1609,'By Lot'!I1747)</f>
        <v>2</v>
      </c>
      <c r="H188" s="504">
        <f>SUM('By Lot'!J1422,'By Lot'!J1473,'By Lot'!J1490,'By Lot'!J1507,'By Lot'!J1524,'By Lot'!J1541,'By Lot'!J1558,'By Lot'!J1592,'By Lot'!J1609,'By Lot'!J1747)</f>
        <v>2</v>
      </c>
      <c r="I188" s="504">
        <f>SUM('By Lot'!K1422,'By Lot'!K1473,'By Lot'!K1490,'By Lot'!K1507,'By Lot'!K1524,'By Lot'!K1541,'By Lot'!K1558,'By Lot'!K1592,'By Lot'!K1609,'By Lot'!K1747)</f>
        <v>2</v>
      </c>
      <c r="J188" s="504">
        <f>SUM('By Lot'!L1422,'By Lot'!L1473,'By Lot'!L1490,'By Lot'!L1507,'By Lot'!L1524,'By Lot'!L1541,'By Lot'!L1558,'By Lot'!L1592,'By Lot'!L1609,'By Lot'!L1747)</f>
        <v>1</v>
      </c>
      <c r="K188" s="504">
        <f>SUM('By Lot'!M1422,'By Lot'!M1473,'By Lot'!M1490,'By Lot'!M1507,'By Lot'!M1524,'By Lot'!M1541,'By Lot'!M1558,'By Lot'!M1592,'By Lot'!M1609,'By Lot'!M1747)</f>
        <v>1</v>
      </c>
      <c r="L188" s="504">
        <f>SUM('By Lot'!N1422,'By Lot'!N1473,'By Lot'!N1490,'By Lot'!N1507,'By Lot'!N1524,'By Lot'!N1541,'By Lot'!N1558,'By Lot'!N1592,'By Lot'!N1609,'By Lot'!N1747)</f>
        <v>2</v>
      </c>
      <c r="M188" s="110">
        <f>SUM('By Lot'!O1422,'By Lot'!O1473,'By Lot'!O1490,'By Lot'!O1507,'By Lot'!O1524,'By Lot'!O1541,'By Lot'!O1558,'By Lot'!O1592,'By Lot'!O1609,'By Lot'!O1747)</f>
        <v>1</v>
      </c>
      <c r="N188" s="109">
        <f t="shared" si="38"/>
        <v>1</v>
      </c>
      <c r="O188" s="504">
        <f t="shared" si="39"/>
        <v>2</v>
      </c>
      <c r="P188" s="107">
        <f t="shared" si="40"/>
        <v>0.66666666666666663</v>
      </c>
      <c r="Q188" s="504"/>
      <c r="R188" s="504"/>
      <c r="S188" s="504"/>
      <c r="T188" s="504"/>
      <c r="U188" s="504"/>
      <c r="V188" s="504"/>
      <c r="W188" s="504"/>
      <c r="X188" s="504"/>
      <c r="Y188" s="504"/>
      <c r="Z188" s="504"/>
    </row>
    <row r="189" spans="1:26" ht="11.25" customHeight="1">
      <c r="A189" s="13"/>
      <c r="B189" s="13" t="s">
        <v>36</v>
      </c>
      <c r="C189" s="13">
        <f>SUM('By Lot'!E1423,'By Lot'!E1474,'By Lot'!E1491,
'By Lot'!E1508,'By Lot'!E1525,'By Lot'!E1542,
'By Lot'!E1559,'By Lot'!E1593,'By Lot'!E1610,
'By Lot'!E1748)</f>
        <v>12</v>
      </c>
      <c r="D189" s="109">
        <f>SUM('By Lot'!F1423,'By Lot'!F1474,'By Lot'!F1491,'By Lot'!F1508,'By Lot'!F1525,'By Lot'!F1542,'By Lot'!F1559,'By Lot'!F1593,'By Lot'!F1610,'By Lot'!F1748)</f>
        <v>7</v>
      </c>
      <c r="E189" s="504">
        <f>SUM('By Lot'!G1423,'By Lot'!G1474,'By Lot'!G1491,'By Lot'!G1508,'By Lot'!G1525,'By Lot'!G1542,'By Lot'!G1559,'By Lot'!G1593,'By Lot'!G1610,'By Lot'!G1748)</f>
        <v>7</v>
      </c>
      <c r="F189" s="504">
        <f>SUM('By Lot'!H1423,'By Lot'!H1474,'By Lot'!H1491,'By Lot'!H1508,'By Lot'!H1525,'By Lot'!H1542,'By Lot'!H1559,'By Lot'!H1593,'By Lot'!H1610,'By Lot'!H1748)</f>
        <v>7</v>
      </c>
      <c r="G189" s="504">
        <f>SUM('By Lot'!I1423,'By Lot'!I1474,'By Lot'!I1491,'By Lot'!I1508,'By Lot'!I1525,'By Lot'!I1542,'By Lot'!I1559,'By Lot'!I1593,'By Lot'!I1610,'By Lot'!I1748)</f>
        <v>4</v>
      </c>
      <c r="H189" s="504">
        <f>SUM('By Lot'!J1423,'By Lot'!J1474,'By Lot'!J1491,'By Lot'!J1508,'By Lot'!J1525,'By Lot'!J1542,'By Lot'!J1559,'By Lot'!J1593,'By Lot'!J1610,'By Lot'!J1748)</f>
        <v>5</v>
      </c>
      <c r="I189" s="504">
        <f>SUM('By Lot'!K1423,'By Lot'!K1474,'By Lot'!K1491,'By Lot'!K1508,'By Lot'!K1525,'By Lot'!K1542,'By Lot'!K1559,'By Lot'!K1593,'By Lot'!K1610,'By Lot'!K1748)</f>
        <v>4</v>
      </c>
      <c r="J189" s="504">
        <f>SUM('By Lot'!L1423,'By Lot'!L1474,'By Lot'!L1491,'By Lot'!L1508,'By Lot'!L1525,'By Lot'!L1542,'By Lot'!L1559,'By Lot'!L1593,'By Lot'!L1610,'By Lot'!L1748)</f>
        <v>4</v>
      </c>
      <c r="K189" s="504">
        <f>SUM('By Lot'!M1423,'By Lot'!M1474,'By Lot'!M1491,'By Lot'!M1508,'By Lot'!M1525,'By Lot'!M1542,'By Lot'!M1559,'By Lot'!M1593,'By Lot'!M1610,'By Lot'!M1748)</f>
        <v>4</v>
      </c>
      <c r="L189" s="504">
        <f>SUM('By Lot'!N1423,'By Lot'!N1474,'By Lot'!N1491,'By Lot'!N1508,'By Lot'!N1525,'By Lot'!N1542,'By Lot'!N1559,'By Lot'!N1593,'By Lot'!N1610,'By Lot'!N1748)</f>
        <v>5</v>
      </c>
      <c r="M189" s="110">
        <f>SUM('By Lot'!O1423,'By Lot'!O1474,'By Lot'!O1491,'By Lot'!O1508,'By Lot'!O1525,'By Lot'!O1542,'By Lot'!O1559,'By Lot'!O1593,'By Lot'!O1610,'By Lot'!O1748)</f>
        <v>5</v>
      </c>
      <c r="N189" s="109">
        <f t="shared" si="38"/>
        <v>4</v>
      </c>
      <c r="O189" s="504">
        <f t="shared" si="39"/>
        <v>8</v>
      </c>
      <c r="P189" s="107">
        <f t="shared" si="40"/>
        <v>0.66666666666666663</v>
      </c>
      <c r="Q189" s="504"/>
      <c r="R189" s="504"/>
      <c r="S189" s="504"/>
      <c r="T189" s="504"/>
      <c r="U189" s="504"/>
      <c r="V189" s="504"/>
      <c r="W189" s="504"/>
      <c r="X189" s="504"/>
      <c r="Y189" s="504"/>
      <c r="Z189" s="504"/>
    </row>
    <row r="190" spans="1:26" ht="11.25" customHeight="1">
      <c r="A190" s="13"/>
      <c r="B190" s="13" t="s">
        <v>37</v>
      </c>
      <c r="C190" s="13">
        <f>SUM('By Lot'!E1424,'By Lot'!E1475,'By Lot'!E1492,
'By Lot'!E1509,'By Lot'!E1526,'By Lot'!E1543,
'By Lot'!E1560,'By Lot'!E1594,'By Lot'!E1611,
'By Lot'!E1749)</f>
        <v>3</v>
      </c>
      <c r="D190" s="109">
        <f>SUM('By Lot'!F1424,'By Lot'!F1475,'By Lot'!F1492,'By Lot'!F1509,'By Lot'!F1526,'By Lot'!F1543,'By Lot'!F1560,'By Lot'!F1594,'By Lot'!F1611,'By Lot'!F1749)</f>
        <v>3</v>
      </c>
      <c r="E190" s="504">
        <f>SUM('By Lot'!G1424,'By Lot'!G1475,'By Lot'!G1492,'By Lot'!G1509,'By Lot'!G1526,'By Lot'!G1543,'By Lot'!G1560,'By Lot'!G1594,'By Lot'!G1611,'By Lot'!G1749)</f>
        <v>3</v>
      </c>
      <c r="F190" s="504">
        <f>SUM('By Lot'!H1424,'By Lot'!H1475,'By Lot'!H1492,'By Lot'!H1509,'By Lot'!H1526,'By Lot'!H1543,'By Lot'!H1560,'By Lot'!H1594,'By Lot'!H1611,'By Lot'!H1749)</f>
        <v>3</v>
      </c>
      <c r="G190" s="504">
        <f>SUM('By Lot'!I1424,'By Lot'!I1475,'By Lot'!I1492,'By Lot'!I1509,'By Lot'!I1526,'By Lot'!I1543,'By Lot'!I1560,'By Lot'!I1594,'By Lot'!I1611,'By Lot'!I1749)</f>
        <v>2</v>
      </c>
      <c r="H190" s="504">
        <f>SUM('By Lot'!J1424,'By Lot'!J1475,'By Lot'!J1492,'By Lot'!J1509,'By Lot'!J1526,'By Lot'!J1543,'By Lot'!J1560,'By Lot'!J1594,'By Lot'!J1611,'By Lot'!J1749)</f>
        <v>1</v>
      </c>
      <c r="I190" s="504">
        <f>SUM('By Lot'!K1424,'By Lot'!K1475,'By Lot'!K1492,'By Lot'!K1509,'By Lot'!K1526,'By Lot'!K1543,'By Lot'!K1560,'By Lot'!K1594,'By Lot'!K1611,'By Lot'!K1749)</f>
        <v>1</v>
      </c>
      <c r="J190" s="504">
        <f>SUM('By Lot'!L1424,'By Lot'!L1475,'By Lot'!L1492,'By Lot'!L1509,'By Lot'!L1526,'By Lot'!L1543,'By Lot'!L1560,'By Lot'!L1594,'By Lot'!L1611,'By Lot'!L1749)</f>
        <v>1</v>
      </c>
      <c r="K190" s="504">
        <f>SUM('By Lot'!M1424,'By Lot'!M1475,'By Lot'!M1492,'By Lot'!M1509,'By Lot'!M1526,'By Lot'!M1543,'By Lot'!M1560,'By Lot'!M1594,'By Lot'!M1611,'By Lot'!M1749)</f>
        <v>1</v>
      </c>
      <c r="L190" s="504">
        <f>SUM('By Lot'!N1424,'By Lot'!N1475,'By Lot'!N1492,'By Lot'!N1509,'By Lot'!N1526,'By Lot'!N1543,'By Lot'!N1560,'By Lot'!N1594,'By Lot'!N1611,'By Lot'!N1749)</f>
        <v>3</v>
      </c>
      <c r="M190" s="110">
        <f>SUM('By Lot'!O1424,'By Lot'!O1475,'By Lot'!O1492,'By Lot'!O1509,'By Lot'!O1526,'By Lot'!O1543,'By Lot'!O1560,'By Lot'!O1594,'By Lot'!O1611,'By Lot'!O1749)</f>
        <v>2</v>
      </c>
      <c r="N190" s="109">
        <f t="shared" si="38"/>
        <v>1</v>
      </c>
      <c r="O190" s="504">
        <f t="shared" si="39"/>
        <v>2</v>
      </c>
      <c r="P190" s="107">
        <f t="shared" si="40"/>
        <v>0.66666666666666663</v>
      </c>
      <c r="Q190" s="504"/>
      <c r="R190" s="504"/>
      <c r="S190" s="504"/>
      <c r="T190" s="504"/>
      <c r="U190" s="504"/>
      <c r="V190" s="504"/>
      <c r="W190" s="504"/>
      <c r="X190" s="504"/>
      <c r="Y190" s="504"/>
      <c r="Z190" s="504"/>
    </row>
    <row r="191" spans="1:26" ht="11.25" customHeight="1">
      <c r="A191" s="2"/>
      <c r="B191" s="3" t="s">
        <v>38</v>
      </c>
      <c r="C191" s="3">
        <f t="shared" ref="C191:M191" si="41">SUM(C181:C190)</f>
        <v>256</v>
      </c>
      <c r="D191" s="21">
        <f t="shared" si="41"/>
        <v>109</v>
      </c>
      <c r="E191" s="71">
        <f t="shared" si="41"/>
        <v>96</v>
      </c>
      <c r="F191" s="71">
        <f t="shared" si="41"/>
        <v>94</v>
      </c>
      <c r="G191" s="71">
        <f t="shared" si="41"/>
        <v>82</v>
      </c>
      <c r="H191" s="71">
        <f t="shared" si="41"/>
        <v>82</v>
      </c>
      <c r="I191" s="71">
        <f t="shared" si="41"/>
        <v>83</v>
      </c>
      <c r="J191" s="71">
        <f t="shared" si="41"/>
        <v>81</v>
      </c>
      <c r="K191" s="71">
        <f t="shared" si="41"/>
        <v>97</v>
      </c>
      <c r="L191" s="71">
        <f t="shared" si="41"/>
        <v>107</v>
      </c>
      <c r="M191" s="26">
        <f t="shared" si="41"/>
        <v>108</v>
      </c>
      <c r="N191" s="21">
        <f t="shared" si="38"/>
        <v>81</v>
      </c>
      <c r="O191" s="71">
        <f t="shared" si="39"/>
        <v>175</v>
      </c>
      <c r="P191" s="7">
        <f t="shared" si="40"/>
        <v>0.68359375</v>
      </c>
      <c r="Q191" s="504"/>
      <c r="R191" s="534"/>
      <c r="S191" s="504"/>
      <c r="T191" s="504"/>
      <c r="U191" s="504"/>
      <c r="V191" s="504"/>
      <c r="W191" s="504"/>
      <c r="X191" s="504"/>
      <c r="Y191" s="504"/>
      <c r="Z191" s="504"/>
    </row>
    <row r="192" spans="1:26" ht="11.25" customHeight="1">
      <c r="A192" s="397" t="s">
        <v>57</v>
      </c>
      <c r="B192" s="13" t="s">
        <v>23</v>
      </c>
      <c r="C192" s="13"/>
      <c r="D192" s="109"/>
      <c r="E192" s="504"/>
      <c r="F192" s="504"/>
      <c r="G192" s="504"/>
      <c r="H192" s="504"/>
      <c r="I192" s="504"/>
      <c r="J192" s="504"/>
      <c r="K192" s="504"/>
      <c r="L192" s="504"/>
      <c r="M192" s="110"/>
      <c r="N192" s="109"/>
      <c r="O192" s="504"/>
      <c r="P192" s="107"/>
      <c r="Q192" s="504"/>
      <c r="R192" s="504"/>
      <c r="S192" s="504"/>
      <c r="T192" s="504"/>
      <c r="U192" s="504"/>
      <c r="V192" s="504"/>
      <c r="W192" s="504"/>
      <c r="X192" s="504"/>
      <c r="Y192" s="504"/>
      <c r="Z192" s="504"/>
    </row>
    <row r="193" spans="1:26" ht="11.25" customHeight="1">
      <c r="A193" s="13" t="s">
        <v>42</v>
      </c>
      <c r="B193" s="13" t="s">
        <v>25</v>
      </c>
      <c r="C193" s="13">
        <f>SUM('By Lot'!E2164,'By Lot'!E2181,'By Lot'!E2199,'By Lot'!E2216,'By Lot'!E2233)</f>
        <v>63</v>
      </c>
      <c r="D193" s="109">
        <f>SUM('By Lot'!F2164,'By Lot'!F2181,'By Lot'!F2199,'By Lot'!F2216,'By Lot'!F2233)</f>
        <v>0</v>
      </c>
      <c r="E193" s="504">
        <f>SUM('By Lot'!G2164,'By Lot'!G2181,'By Lot'!G2199,'By Lot'!G2216,'By Lot'!G2233)</f>
        <v>0</v>
      </c>
      <c r="F193" s="504">
        <f>SUM('By Lot'!H2164,'By Lot'!H2181,'By Lot'!H2199,'By Lot'!H2216,'By Lot'!H2233)</f>
        <v>0</v>
      </c>
      <c r="G193" s="504">
        <f>SUM('By Lot'!I2164,'By Lot'!I2181,'By Lot'!I2199,'By Lot'!I2216,'By Lot'!I2233)</f>
        <v>0</v>
      </c>
      <c r="H193" s="504">
        <f>SUM('By Lot'!J2164,'By Lot'!J2181,'By Lot'!J2199,'By Lot'!J2216,'By Lot'!J2233)</f>
        <v>0</v>
      </c>
      <c r="I193" s="504">
        <f>SUM('By Lot'!K2164,'By Lot'!K2181,'By Lot'!K2199,'By Lot'!K2216,'By Lot'!K2233)</f>
        <v>0</v>
      </c>
      <c r="J193" s="504">
        <f>SUM('By Lot'!L2164,'By Lot'!L2181,'By Lot'!L2199,'By Lot'!L2216,'By Lot'!L2233)</f>
        <v>0</v>
      </c>
      <c r="K193" s="504">
        <f>SUM('By Lot'!M2164,'By Lot'!M2181,'By Lot'!M2199,'By Lot'!M2216,'By Lot'!M2233)</f>
        <v>0</v>
      </c>
      <c r="L193" s="504">
        <f>SUM('By Lot'!N2164,'By Lot'!N2181,'By Lot'!N2199,'By Lot'!N2216,'By Lot'!N2233)</f>
        <v>0</v>
      </c>
      <c r="M193" s="110">
        <f>SUM('By Lot'!O2164,'By Lot'!O2181,'By Lot'!O2199,'By Lot'!O2216,'By Lot'!O2233)</f>
        <v>0</v>
      </c>
      <c r="N193" s="109">
        <f t="shared" si="38"/>
        <v>0</v>
      </c>
      <c r="O193" s="504">
        <f t="shared" ref="O193:O204" si="42">C193-N193</f>
        <v>63</v>
      </c>
      <c r="P193" s="107">
        <f t="shared" ref="P193:P199" si="43">O193/C193</f>
        <v>1</v>
      </c>
      <c r="Q193" s="504"/>
      <c r="R193" s="504"/>
      <c r="S193" s="504"/>
      <c r="T193" s="504"/>
      <c r="U193" s="504"/>
      <c r="V193" s="504"/>
      <c r="W193" s="504"/>
      <c r="X193" s="504"/>
      <c r="Y193" s="504"/>
      <c r="Z193" s="504"/>
    </row>
    <row r="194" spans="1:26" ht="11.25" customHeight="1">
      <c r="A194" s="13" t="s">
        <v>102</v>
      </c>
      <c r="B194" s="13" t="s">
        <v>30</v>
      </c>
      <c r="C194" s="13">
        <f>SUM('By Lot'!E2182,'By Lot'!E2200,'By Lot'!E2217)</f>
        <v>776</v>
      </c>
      <c r="D194" s="109">
        <f>SUM('By Lot'!F2182,'By Lot'!F2200,'By Lot'!F2217)</f>
        <v>463</v>
      </c>
      <c r="E194" s="504">
        <f>SUM('By Lot'!G2182,'By Lot'!G2200,'By Lot'!G2217)</f>
        <v>406</v>
      </c>
      <c r="F194" s="504">
        <f>SUM('By Lot'!H2182,'By Lot'!H2200,'By Lot'!H2217)</f>
        <v>384</v>
      </c>
      <c r="G194" s="504">
        <f>SUM('By Lot'!I2182,'By Lot'!I2200,'By Lot'!I2217)</f>
        <v>383</v>
      </c>
      <c r="H194" s="504">
        <f>SUM('By Lot'!J2182,'By Lot'!J2200,'By Lot'!J2217)</f>
        <v>386</v>
      </c>
      <c r="I194" s="91">
        <f>SUM('By Lot'!K2182,'By Lot'!K2200,'By Lot'!K2217)</f>
        <v>387</v>
      </c>
      <c r="J194" s="91">
        <f>SUM('By Lot'!L2182,'By Lot'!L2200,'By Lot'!L2217)</f>
        <v>390</v>
      </c>
      <c r="K194" s="91">
        <f>SUM('By Lot'!M2182,'By Lot'!M2200,'By Lot'!M2217)</f>
        <v>433</v>
      </c>
      <c r="L194" s="91">
        <f>SUM('By Lot'!N2182,'By Lot'!N2200,'By Lot'!N2217)</f>
        <v>457</v>
      </c>
      <c r="M194" s="108">
        <f>SUM('By Lot'!O2182,'By Lot'!O2200,'By Lot'!O2217)</f>
        <v>515</v>
      </c>
      <c r="N194" s="109">
        <f t="shared" si="38"/>
        <v>383</v>
      </c>
      <c r="O194" s="504">
        <f t="shared" si="42"/>
        <v>393</v>
      </c>
      <c r="P194" s="107">
        <f t="shared" si="43"/>
        <v>0.50644329896907214</v>
      </c>
      <c r="Q194" s="504"/>
      <c r="R194" s="504"/>
      <c r="S194" s="504"/>
      <c r="T194" s="504"/>
      <c r="U194" s="504"/>
      <c r="V194" s="504"/>
      <c r="W194" s="504"/>
      <c r="X194" s="504"/>
      <c r="Y194" s="504"/>
      <c r="Z194" s="504"/>
    </row>
    <row r="195" spans="1:26" ht="11.25" customHeight="1">
      <c r="A195" s="13"/>
      <c r="B195" s="13" t="s">
        <v>27</v>
      </c>
      <c r="C195" s="13">
        <f>SUM('By Lot'!E2165,'By Lot'!E2183,'By Lot'!E2234)</f>
        <v>257</v>
      </c>
      <c r="D195" s="109">
        <f>SUM('By Lot'!F2165,'By Lot'!F2183,'By Lot'!F2234)</f>
        <v>0</v>
      </c>
      <c r="E195" s="504">
        <f>SUM('By Lot'!G2165,'By Lot'!G2183,'By Lot'!G2234)</f>
        <v>0</v>
      </c>
      <c r="F195" s="504">
        <f>SUM('By Lot'!H2165,'By Lot'!H2183,'By Lot'!H2234)</f>
        <v>0</v>
      </c>
      <c r="G195" s="504">
        <f>SUM('By Lot'!I2165,'By Lot'!I2183,'By Lot'!I2234)</f>
        <v>0</v>
      </c>
      <c r="H195" s="504">
        <f>SUM('By Lot'!J2165,'By Lot'!J2182,'By Lot'!J2234)</f>
        <v>132</v>
      </c>
      <c r="I195" s="504">
        <f>SUM('By Lot'!K2165,'By Lot'!K2183,'By Lot'!K2234)</f>
        <v>0</v>
      </c>
      <c r="J195" s="504">
        <f>SUM('By Lot'!L2165,'By Lot'!L2183,'By Lot'!L2234)</f>
        <v>0</v>
      </c>
      <c r="K195" s="504">
        <f>SUM('By Lot'!M2165,'By Lot'!M2183,'By Lot'!M2234)</f>
        <v>0</v>
      </c>
      <c r="L195" s="504">
        <f>SUM('By Lot'!N2165,'By Lot'!N2183,'By Lot'!N2234)</f>
        <v>0</v>
      </c>
      <c r="M195" s="110">
        <f>SUM('By Lot'!O2165,'By Lot'!O2183,'By Lot'!O2234)</f>
        <v>0</v>
      </c>
      <c r="N195" s="109">
        <f t="shared" si="38"/>
        <v>0</v>
      </c>
      <c r="O195" s="504">
        <f t="shared" si="42"/>
        <v>257</v>
      </c>
      <c r="P195" s="107">
        <f t="shared" si="43"/>
        <v>1</v>
      </c>
      <c r="Q195" s="504"/>
      <c r="R195" s="504"/>
      <c r="S195" s="504"/>
      <c r="T195" s="504"/>
      <c r="U195" s="504"/>
      <c r="V195" s="504"/>
      <c r="W195" s="504"/>
      <c r="X195" s="504"/>
      <c r="Y195" s="504"/>
      <c r="Z195" s="504"/>
    </row>
    <row r="196" spans="1:26" ht="11.25" customHeight="1">
      <c r="A196" s="13"/>
      <c r="B196" s="13" t="s">
        <v>32</v>
      </c>
      <c r="C196" s="13">
        <f>SUM('By Lot'!E2168,'By Lot'!E2186,'By Lot'!E2203,'By Lot'!E2220,'By Lot'!E2237)</f>
        <v>8</v>
      </c>
      <c r="D196" s="109">
        <f>SUM('By Lot'!F2168,'By Lot'!F2186,'By Lot'!F2203,'By Lot'!F2220,'By Lot'!F2237)</f>
        <v>6</v>
      </c>
      <c r="E196" s="504">
        <f>SUM('By Lot'!G2168,'By Lot'!G2186,'By Lot'!G2203,'By Lot'!G2220,'By Lot'!G2237)</f>
        <v>6</v>
      </c>
      <c r="F196" s="504">
        <f>SUM('By Lot'!H2168,'By Lot'!H2186,'By Lot'!H2203,'By Lot'!H2220,'By Lot'!H2237)</f>
        <v>5</v>
      </c>
      <c r="G196" s="504">
        <f>SUM('By Lot'!I2168,'By Lot'!I2186,'By Lot'!I2203,'By Lot'!I2220,'By Lot'!I2237)</f>
        <v>5</v>
      </c>
      <c r="H196" s="504">
        <f>SUM('By Lot'!J2168,'By Lot'!J2186,'By Lot'!J2203,'By Lot'!J2220,'By Lot'!J2237)</f>
        <v>5</v>
      </c>
      <c r="I196" s="504">
        <f>SUM('By Lot'!K2168,'By Lot'!K2186,'By Lot'!K2203,'By Lot'!K2220,'By Lot'!K2237)</f>
        <v>5</v>
      </c>
      <c r="J196" s="504">
        <f>SUM('By Lot'!L2168,'By Lot'!L2186,'By Lot'!L2203,'By Lot'!L2220,'By Lot'!L2237)</f>
        <v>5</v>
      </c>
      <c r="K196" s="504">
        <f>SUM('By Lot'!M2168,'By Lot'!M2186,'By Lot'!M2203,'By Lot'!M2220,'By Lot'!M2237)</f>
        <v>5</v>
      </c>
      <c r="L196" s="504">
        <f>SUM('By Lot'!N2168,'By Lot'!N2186,'By Lot'!N2203,'By Lot'!N2220,'By Lot'!N2237)</f>
        <v>5</v>
      </c>
      <c r="M196" s="110">
        <f>SUM('By Lot'!O2168,'By Lot'!O2186,'By Lot'!O2203,'By Lot'!O2220,'By Lot'!O2237)</f>
        <v>5</v>
      </c>
      <c r="N196" s="109">
        <f t="shared" si="38"/>
        <v>5</v>
      </c>
      <c r="O196" s="504">
        <f t="shared" si="42"/>
        <v>3</v>
      </c>
      <c r="P196" s="107">
        <f t="shared" si="43"/>
        <v>0.375</v>
      </c>
      <c r="Q196" s="504"/>
      <c r="R196" s="504"/>
      <c r="S196" s="504"/>
      <c r="T196" s="504"/>
      <c r="U196" s="504"/>
      <c r="V196" s="504"/>
      <c r="W196" s="504"/>
      <c r="X196" s="504"/>
      <c r="Y196" s="504"/>
      <c r="Z196" s="504"/>
    </row>
    <row r="197" spans="1:26" ht="11.25" customHeight="1">
      <c r="A197" s="13"/>
      <c r="B197" s="13" t="s">
        <v>33</v>
      </c>
      <c r="C197" s="13">
        <f>SUM('By Lot'!E2169:E2174,'By Lot'!E2187:E2192,'By Lot'!E2204:E2209,'By Lot'!E2221:E2226,'By Lot'!E2238:E2243)</f>
        <v>27</v>
      </c>
      <c r="D197" s="109">
        <f>SUM('By Lot'!F2169:F2174,'By Lot'!F2187:F2192,'By Lot'!F2204:F2209,'By Lot'!F2221:F2226,'By Lot'!F2238:F2243)</f>
        <v>22</v>
      </c>
      <c r="E197" s="504">
        <f>SUM('By Lot'!G2169:G2174,'By Lot'!G2187:G2192,'By Lot'!G2204:G2209,'By Lot'!G2221:G2226,'By Lot'!G2238:G2243)</f>
        <v>20</v>
      </c>
      <c r="F197" s="504">
        <f>SUM('By Lot'!H2169:H2174,'By Lot'!H2187:H2192,'By Lot'!H2204:H2209,'By Lot'!H2221:H2226,'By Lot'!H2238:H2243)</f>
        <v>18</v>
      </c>
      <c r="G197" s="504">
        <f>SUM('By Lot'!I2169:I2174,'By Lot'!I2187:I2192,'By Lot'!I2204:I2209,'By Lot'!I2221:I2226,'By Lot'!I2238:I2243)</f>
        <v>20</v>
      </c>
      <c r="H197" s="504">
        <f>SUM('By Lot'!J2169:J2174,'By Lot'!J2187:J2192,'By Lot'!J2204:J2209,'By Lot'!J2221:J2226,'By Lot'!J2238:J2243)</f>
        <v>18</v>
      </c>
      <c r="I197" s="504">
        <f>SUM('By Lot'!K2169:K2174,'By Lot'!K2187:K2192,'By Lot'!K2204:K2209,'By Lot'!K2221:K2226,'By Lot'!K2238:K2243)</f>
        <v>22</v>
      </c>
      <c r="J197" s="504">
        <f>SUM('By Lot'!L2169:L2174,'By Lot'!L2187:L2192,'By Lot'!L2204:L2209,'By Lot'!L2221:L2226,'By Lot'!L2238:L2243)</f>
        <v>18</v>
      </c>
      <c r="K197" s="504">
        <f>SUM('By Lot'!M2169:M2174,'By Lot'!M2187:M2192,'By Lot'!M2204:M2209,'By Lot'!M2221:M2226,'By Lot'!M2238:M2243)</f>
        <v>21</v>
      </c>
      <c r="L197" s="504">
        <f>SUM('By Lot'!N2169:N2174,'By Lot'!N2187:N2192,'By Lot'!N2204:N2209,'By Lot'!N2221:N2226,'By Lot'!N2238:N2243)</f>
        <v>22</v>
      </c>
      <c r="M197" s="110">
        <f>SUM('By Lot'!O2169:O2174,'By Lot'!O2187:O2192,'By Lot'!O2204:O2209,'By Lot'!O2221:O2226,'By Lot'!O2238:O2243)</f>
        <v>20</v>
      </c>
      <c r="N197" s="109">
        <f t="shared" si="38"/>
        <v>18</v>
      </c>
      <c r="O197" s="504">
        <f t="shared" si="42"/>
        <v>9</v>
      </c>
      <c r="P197" s="107">
        <f t="shared" si="43"/>
        <v>0.33333333333333331</v>
      </c>
      <c r="Q197" s="504"/>
      <c r="R197" s="504"/>
      <c r="S197" s="504"/>
      <c r="T197" s="504"/>
      <c r="U197" s="504"/>
      <c r="V197" s="504"/>
      <c r="W197" s="504"/>
      <c r="X197" s="504"/>
      <c r="Y197" s="504"/>
      <c r="Z197" s="504"/>
    </row>
    <row r="198" spans="1:26" ht="11.25" customHeight="1">
      <c r="A198" s="13"/>
      <c r="B198" s="13" t="s">
        <v>34</v>
      </c>
      <c r="C198" s="13">
        <f>SUM('By Lot'!E2175,'By Lot'!E2193,'By Lot'!E2210,'By Lot'!E2227,'By Lot'!E2244)</f>
        <v>11</v>
      </c>
      <c r="D198" s="109">
        <f>SUM('By Lot'!F2175,'By Lot'!F2193,'By Lot'!F2210,'By Lot'!F2227,'By Lot'!F2244)</f>
        <v>11</v>
      </c>
      <c r="E198" s="504">
        <f>SUM('By Lot'!G2175,'By Lot'!G2193,'By Lot'!G2210,'By Lot'!G2227,'By Lot'!G2244)</f>
        <v>6</v>
      </c>
      <c r="F198" s="504">
        <f>SUM('By Lot'!H2175,'By Lot'!H2193,'By Lot'!H2210,'By Lot'!H2227,'By Lot'!H2244)</f>
        <v>7</v>
      </c>
      <c r="G198" s="504">
        <f>SUM('By Lot'!I2175,'By Lot'!I2193,'By Lot'!I2210,'By Lot'!I2227,'By Lot'!I2244)</f>
        <v>9</v>
      </c>
      <c r="H198" s="504">
        <f>SUM('By Lot'!J2175,'By Lot'!J2193,'By Lot'!J2210,'By Lot'!J2227,'By Lot'!J2244)</f>
        <v>8</v>
      </c>
      <c r="I198" s="504">
        <f>SUM('By Lot'!K2175,'By Lot'!K2193,'By Lot'!K2210,'By Lot'!K2227,'By Lot'!K2244)</f>
        <v>8</v>
      </c>
      <c r="J198" s="504">
        <f>SUM('By Lot'!L2175,'By Lot'!L2193,'By Lot'!L2210,'By Lot'!L2227,'By Lot'!L2244)</f>
        <v>8</v>
      </c>
      <c r="K198" s="504">
        <f>SUM('By Lot'!M2175,'By Lot'!M2193,'By Lot'!M2210,'By Lot'!M2227,'By Lot'!M2244)</f>
        <v>7</v>
      </c>
      <c r="L198" s="504">
        <f>SUM('By Lot'!N2175,'By Lot'!N2193,'By Lot'!N2210,'By Lot'!N2227,'By Lot'!N2244)</f>
        <v>8</v>
      </c>
      <c r="M198" s="110">
        <f>SUM('By Lot'!O2175,'By Lot'!O2193,'By Lot'!O2210,'By Lot'!O2227,'By Lot'!O2244)</f>
        <v>11</v>
      </c>
      <c r="N198" s="109">
        <f t="shared" si="38"/>
        <v>6</v>
      </c>
      <c r="O198" s="504">
        <f t="shared" si="42"/>
        <v>5</v>
      </c>
      <c r="P198" s="107">
        <f t="shared" si="43"/>
        <v>0.45454545454545453</v>
      </c>
      <c r="Q198" s="504"/>
      <c r="R198" s="504"/>
      <c r="S198" s="504"/>
      <c r="T198" s="504"/>
      <c r="U198" s="504"/>
      <c r="V198" s="504"/>
      <c r="W198" s="504"/>
      <c r="X198" s="504"/>
      <c r="Y198" s="504"/>
      <c r="Z198" s="504"/>
    </row>
    <row r="199" spans="1:26" ht="11.25" customHeight="1">
      <c r="A199" s="13"/>
      <c r="B199" s="13" t="s">
        <v>35</v>
      </c>
      <c r="C199" s="13">
        <f>SUM('By Lot'!E2176,'By Lot'!E2194,'By Lot'!E2211,'By Lot'!E2228,'By Lot'!E2245)</f>
        <v>9</v>
      </c>
      <c r="D199" s="109">
        <f>SUM('By Lot'!F2176,'By Lot'!F2194,'By Lot'!F2211,'By Lot'!F2228,'By Lot'!F2245)</f>
        <v>8</v>
      </c>
      <c r="E199" s="504">
        <f>SUM('By Lot'!G2176,'By Lot'!G2194,'By Lot'!G2211,'By Lot'!G2228,'By Lot'!G2245)</f>
        <v>8</v>
      </c>
      <c r="F199" s="504">
        <f>SUM('By Lot'!H2176,'By Lot'!H2194,'By Lot'!H2211,'By Lot'!H2228,'By Lot'!H2245)</f>
        <v>8</v>
      </c>
      <c r="G199" s="504">
        <f>SUM('By Lot'!I2176,'By Lot'!I2194,'By Lot'!I2211,'By Lot'!I2228,'By Lot'!I2245)</f>
        <v>7</v>
      </c>
      <c r="H199" s="504">
        <f>SUM('By Lot'!J2176,'By Lot'!J2194,'By Lot'!J2211,'By Lot'!J2228,'By Lot'!J2245)</f>
        <v>7</v>
      </c>
      <c r="I199" s="504">
        <f>SUM('By Lot'!K2176,'By Lot'!K2194,'By Lot'!K2211,'By Lot'!K2228,'By Lot'!K2245)</f>
        <v>7</v>
      </c>
      <c r="J199" s="504">
        <f>SUM('By Lot'!L2176,'By Lot'!L2194,'By Lot'!L2211,'By Lot'!L2228,'By Lot'!L2245)</f>
        <v>7</v>
      </c>
      <c r="K199" s="504">
        <f>SUM('By Lot'!M2176,'By Lot'!M2194,'By Lot'!M2211,'By Lot'!M2228,'By Lot'!M2245)</f>
        <v>7</v>
      </c>
      <c r="L199" s="504">
        <f>SUM('By Lot'!N2176,'By Lot'!N2194,'By Lot'!N2211,'By Lot'!N2228,'By Lot'!N2245)</f>
        <v>7</v>
      </c>
      <c r="M199" s="110">
        <f>SUM('By Lot'!O2176,'By Lot'!O2194,'By Lot'!O2211,'By Lot'!O2228,'By Lot'!O2245)</f>
        <v>7</v>
      </c>
      <c r="N199" s="109">
        <f t="shared" si="38"/>
        <v>7</v>
      </c>
      <c r="O199" s="504">
        <f t="shared" si="42"/>
        <v>2</v>
      </c>
      <c r="P199" s="107">
        <f t="shared" si="43"/>
        <v>0.22222222222222221</v>
      </c>
      <c r="Q199" s="504"/>
      <c r="R199" s="504"/>
      <c r="S199" s="504"/>
      <c r="T199" s="504"/>
      <c r="U199" s="504"/>
      <c r="V199" s="504"/>
      <c r="W199" s="504"/>
      <c r="X199" s="504"/>
      <c r="Y199" s="504"/>
      <c r="Z199" s="504"/>
    </row>
    <row r="200" spans="1:26" ht="11.25" customHeight="1">
      <c r="A200" s="13"/>
      <c r="B200" s="13" t="s">
        <v>36</v>
      </c>
      <c r="C200" s="13">
        <f>SUM('By Lot'!E2177,'By Lot'!E2195,'By Lot'!E2212,'By Lot'!E2229,'By Lot'!E2246)</f>
        <v>0</v>
      </c>
      <c r="D200" s="109">
        <f>SUM('By Lot'!F2177,'By Lot'!F2195,'By Lot'!F2212,'By Lot'!F2229,'By Lot'!F2246)</f>
        <v>0</v>
      </c>
      <c r="E200" s="504">
        <f>SUM('By Lot'!G2177,'By Lot'!G2195,'By Lot'!G2212,'By Lot'!G2229,'By Lot'!G2246)</f>
        <v>0</v>
      </c>
      <c r="F200" s="504">
        <f>SUM('By Lot'!H2177,'By Lot'!H2195,'By Lot'!H2212,'By Lot'!H2229,'By Lot'!H2246)</f>
        <v>0</v>
      </c>
      <c r="G200" s="504">
        <f>SUM('By Lot'!I2177,'By Lot'!I2195,'By Lot'!I2212,'By Lot'!I2229,'By Lot'!I2246)</f>
        <v>0</v>
      </c>
      <c r="H200" s="504">
        <f>SUM('By Lot'!J2177,'By Lot'!J2195,'By Lot'!J2212,'By Lot'!J2229,'By Lot'!J2246)</f>
        <v>0</v>
      </c>
      <c r="I200" s="504">
        <f>SUM('By Lot'!K2177,'By Lot'!K2195,'By Lot'!K2212,'By Lot'!K2229,'By Lot'!K2246)</f>
        <v>0</v>
      </c>
      <c r="J200" s="504">
        <f>SUM('By Lot'!L2177,'By Lot'!L2195,'By Lot'!L2212,'By Lot'!L2229,'By Lot'!L2246)</f>
        <v>0</v>
      </c>
      <c r="K200" s="504">
        <f>SUM('By Lot'!M2177,'By Lot'!M2195,'By Lot'!M2212,'By Lot'!M2229,'By Lot'!M2246)</f>
        <v>0</v>
      </c>
      <c r="L200" s="504">
        <f>SUM('By Lot'!N2177,'By Lot'!N2195,'By Lot'!N2212,'By Lot'!N2229,'By Lot'!N2246)</f>
        <v>0</v>
      </c>
      <c r="M200" s="110">
        <f>SUM('By Lot'!O2177,'By Lot'!O2195,'By Lot'!O2212,'By Lot'!O2229,'By Lot'!O2246)</f>
        <v>0</v>
      </c>
      <c r="N200" s="109">
        <f t="shared" si="38"/>
        <v>0</v>
      </c>
      <c r="O200" s="504">
        <f t="shared" si="42"/>
        <v>0</v>
      </c>
      <c r="P200" s="107">
        <v>0</v>
      </c>
      <c r="Q200" s="504"/>
      <c r="R200" s="504"/>
      <c r="S200" s="504"/>
      <c r="T200" s="504"/>
      <c r="U200" s="504"/>
      <c r="V200" s="504"/>
      <c r="W200" s="504"/>
      <c r="X200" s="504"/>
      <c r="Y200" s="504"/>
      <c r="Z200" s="504"/>
    </row>
    <row r="201" spans="1:26" ht="11.25" customHeight="1">
      <c r="A201" s="13"/>
      <c r="B201" s="13" t="s">
        <v>37</v>
      </c>
      <c r="C201" s="13">
        <f>SUM('By Lot'!E2178,'By Lot'!E2196,'By Lot'!E2213,'By Lot'!E2230,'By Lot'!E2247)</f>
        <v>2</v>
      </c>
      <c r="D201" s="109">
        <f>SUM('By Lot'!F2178,'By Lot'!F2196,'By Lot'!F2213,'By Lot'!F2230,'By Lot'!F2247)</f>
        <v>1</v>
      </c>
      <c r="E201" s="504">
        <f>SUM('By Lot'!G2178,'By Lot'!G2196,'By Lot'!G2213,'By Lot'!G2230,'By Lot'!G2247)</f>
        <v>1</v>
      </c>
      <c r="F201" s="504">
        <f>SUM('By Lot'!H2178,'By Lot'!H2196,'By Lot'!H2213,'By Lot'!H2230,'By Lot'!H2247)</f>
        <v>0</v>
      </c>
      <c r="G201" s="504">
        <f>SUM('By Lot'!I2178,'By Lot'!I2196,'By Lot'!I2213,'By Lot'!I2230,'By Lot'!I2247)</f>
        <v>2</v>
      </c>
      <c r="H201" s="504">
        <f>SUM('By Lot'!J2178,'By Lot'!J2196,'By Lot'!J2213,'By Lot'!J2230,'By Lot'!J2247)</f>
        <v>2</v>
      </c>
      <c r="I201" s="504">
        <f>SUM('By Lot'!K2178,'By Lot'!K2196,'By Lot'!K2213,'By Lot'!K2230,'By Lot'!K2247)</f>
        <v>2</v>
      </c>
      <c r="J201" s="504">
        <f>SUM('By Lot'!L2178,'By Lot'!L2196,'By Lot'!L2213,'By Lot'!L2230,'By Lot'!L2247)</f>
        <v>1</v>
      </c>
      <c r="K201" s="504">
        <f>SUM('By Lot'!M2178,'By Lot'!M2196,'By Lot'!M2213,'By Lot'!M2230,'By Lot'!M2247)</f>
        <v>1</v>
      </c>
      <c r="L201" s="504">
        <f>SUM('By Lot'!N2178,'By Lot'!N2196,'By Lot'!N2213,'By Lot'!N2230,'By Lot'!N2247)</f>
        <v>1</v>
      </c>
      <c r="M201" s="110">
        <f>SUM('By Lot'!O2178,'By Lot'!O2196,'By Lot'!O2213,'By Lot'!O2230,'By Lot'!O2247)</f>
        <v>0</v>
      </c>
      <c r="N201" s="109">
        <f t="shared" si="38"/>
        <v>0</v>
      </c>
      <c r="O201" s="504">
        <f t="shared" si="42"/>
        <v>2</v>
      </c>
      <c r="P201" s="107">
        <f>O201/C201</f>
        <v>1</v>
      </c>
      <c r="Q201" s="504"/>
      <c r="R201" s="504"/>
      <c r="S201" s="504"/>
      <c r="T201" s="504"/>
      <c r="U201" s="504"/>
      <c r="V201" s="504"/>
      <c r="W201" s="504"/>
      <c r="X201" s="504"/>
      <c r="Y201" s="504"/>
      <c r="Z201" s="504"/>
    </row>
    <row r="202" spans="1:26" ht="11.25" customHeight="1">
      <c r="A202" s="2"/>
      <c r="B202" s="3" t="s">
        <v>38</v>
      </c>
      <c r="C202" s="3">
        <f t="shared" ref="C202:M202" si="44">SUM(C192:C201)</f>
        <v>1153</v>
      </c>
      <c r="D202" s="21">
        <f t="shared" si="44"/>
        <v>511</v>
      </c>
      <c r="E202" s="71">
        <f t="shared" si="44"/>
        <v>447</v>
      </c>
      <c r="F202" s="71">
        <f t="shared" si="44"/>
        <v>422</v>
      </c>
      <c r="G202" s="71">
        <f t="shared" si="44"/>
        <v>426</v>
      </c>
      <c r="H202" s="71">
        <f t="shared" si="44"/>
        <v>558</v>
      </c>
      <c r="I202" s="71">
        <f t="shared" si="44"/>
        <v>431</v>
      </c>
      <c r="J202" s="71">
        <f t="shared" si="44"/>
        <v>429</v>
      </c>
      <c r="K202" s="71">
        <f t="shared" si="44"/>
        <v>474</v>
      </c>
      <c r="L202" s="71">
        <f t="shared" si="44"/>
        <v>500</v>
      </c>
      <c r="M202" s="26">
        <f t="shared" si="44"/>
        <v>558</v>
      </c>
      <c r="N202" s="21">
        <f t="shared" si="38"/>
        <v>422</v>
      </c>
      <c r="O202" s="71">
        <f t="shared" si="42"/>
        <v>731</v>
      </c>
      <c r="P202" s="7">
        <f>O202/C202</f>
        <v>0.63399826539462267</v>
      </c>
      <c r="Q202" s="504"/>
      <c r="R202" s="504"/>
      <c r="S202" s="504"/>
      <c r="T202" s="504"/>
      <c r="U202" s="504"/>
      <c r="V202" s="504"/>
      <c r="W202" s="504"/>
      <c r="X202" s="504"/>
      <c r="Y202" s="504"/>
      <c r="Z202" s="504"/>
    </row>
    <row r="203" spans="1:26" ht="11.25" customHeight="1">
      <c r="A203" s="397" t="s">
        <v>103</v>
      </c>
      <c r="B203" s="13" t="s">
        <v>23</v>
      </c>
      <c r="C203" s="402">
        <f>SUM('By Structure'!C84,'By Structure'!C95,'By Structure'!C106,
'By Lot'!E2504,'By Lot'!E2521,'By Lot'!E2538,'By Lot'!E2555,'By Lot'!E2572,'By Lot'!E2606,'By Lot'!E2623,'By Lot'!E2640)</f>
        <v>647</v>
      </c>
      <c r="D203" s="109">
        <f>SUM('By Structure'!D84,'By Structure'!D95,'By Structure'!D106,'By Structure'!D117,'By Lot'!F2504,'By Lot'!F2521,'By Lot'!F2538,'By Lot'!F2555,'By Lot'!F2572,'By Lot'!F2589,'By Lot'!F2606,'By Lot'!F2623,'By Lot'!F2640)</f>
        <v>426</v>
      </c>
      <c r="E203" s="504">
        <f>SUM('By Structure'!E84,'By Structure'!E95,'By Structure'!E106,'By Structure'!E117,'By Lot'!G2504,'By Lot'!G2521,'By Lot'!G2538,'By Lot'!G2555,'By Lot'!G2572,'By Lot'!G2589,'By Lot'!G2606,'By Lot'!G2623,'By Lot'!G2640)</f>
        <v>290</v>
      </c>
      <c r="F203" s="504">
        <f>SUM('By Structure'!F84,'By Structure'!F95,'By Structure'!F106,'By Structure'!F117,'By Lot'!H2504,'By Lot'!H2521,'By Lot'!H2538,'By Lot'!H2555,'By Lot'!H2572,'By Lot'!H2589,'By Lot'!H2606,'By Lot'!H2623,'By Lot'!H2640)</f>
        <v>213</v>
      </c>
      <c r="G203" s="504">
        <f>SUM('By Structure'!G84,'By Structure'!G95,'By Structure'!G106,'By Structure'!G117,'By Lot'!I2504,'By Lot'!I2521,'By Lot'!I2538,'By Lot'!I2555,'By Lot'!I2572,'By Lot'!I2589,'By Lot'!I2606,'By Lot'!I2623,'By Lot'!I2640)</f>
        <v>172</v>
      </c>
      <c r="H203" s="504">
        <f>SUM('By Structure'!H84,'By Structure'!H95,'By Structure'!H106,'By Structure'!H117,'By Lot'!J2504,'By Lot'!J2521,'By Lot'!J2538,'By Lot'!J2555,'By Lot'!J2572,'By Lot'!J2589,'By Lot'!J2606,'By Lot'!J2623,'By Lot'!J2640)</f>
        <v>142</v>
      </c>
      <c r="I203" s="504">
        <f>SUM('By Structure'!I84,'By Structure'!I95,'By Structure'!I106,'By Structure'!I117,'By Lot'!K2504,'By Lot'!K2521,'By Lot'!K2538,'By Lot'!K2555,'By Lot'!K2572,'By Lot'!K2589,'By Lot'!K2606,'By Lot'!K2623,'By Lot'!K2640)</f>
        <v>155</v>
      </c>
      <c r="J203" s="504">
        <f>SUM('By Structure'!J84,'By Structure'!J95,'By Structure'!J106,'By Structure'!J117,'By Lot'!L2504,'By Lot'!L2521,'By Lot'!L2538,'By Lot'!L2555,'By Lot'!L2572,'By Lot'!L2589,'By Lot'!L2606,'By Lot'!L2623,'By Lot'!L2640)</f>
        <v>174</v>
      </c>
      <c r="K203" s="504">
        <f>SUM('By Structure'!K84,'By Structure'!K95,'By Structure'!K106,'By Structure'!K117,'By Lot'!M2504,'By Lot'!M2521,'By Lot'!M2538,'By Lot'!M2555,'By Lot'!M2572,'By Lot'!M2589,'By Lot'!M2606,'By Lot'!M2623,'By Lot'!M2640)</f>
        <v>196</v>
      </c>
      <c r="L203" s="504">
        <f>SUM('By Structure'!L84,'By Structure'!L95,'By Structure'!L106,'By Structure'!L117,'By Lot'!N2504,'By Lot'!N2521,'By Lot'!N2538,'By Lot'!N2555,'By Lot'!N2572,'By Lot'!N2589,'By Lot'!N2606,'By Lot'!N2623,'By Lot'!N2640)</f>
        <v>297</v>
      </c>
      <c r="M203" s="110">
        <f>SUM('By Structure'!M84,'By Structure'!M95,'By Structure'!M106,'By Structure'!M117,'By Lot'!O2504,'By Lot'!O2521,'By Lot'!O2538,'By Lot'!O2555,'By Lot'!O2572,'By Lot'!O2589,'By Lot'!O2606,'By Lot'!O2623,'By Lot'!O2640)</f>
        <v>426</v>
      </c>
      <c r="N203" s="109">
        <f t="shared" si="38"/>
        <v>142</v>
      </c>
      <c r="O203" s="504">
        <f t="shared" si="42"/>
        <v>505</v>
      </c>
      <c r="P203" s="107">
        <f>O203/C203</f>
        <v>0.78052550231839257</v>
      </c>
      <c r="Q203" s="504"/>
      <c r="R203" s="594"/>
      <c r="S203" s="404"/>
      <c r="T203" s="504"/>
      <c r="U203" s="504"/>
      <c r="V203" s="504"/>
      <c r="W203" s="504"/>
      <c r="X203" s="504"/>
      <c r="Y203" s="504"/>
      <c r="Z203" s="504"/>
    </row>
    <row r="204" spans="1:26" ht="11.25" customHeight="1">
      <c r="A204" s="13" t="s">
        <v>104</v>
      </c>
      <c r="B204" s="109" t="s">
        <v>25</v>
      </c>
      <c r="C204" s="402">
        <f>SUM('By Structure'!C85,'By Structure'!C96,'By Structure'!C107,
'By Lot'!E2284,'By Lot'!E2505,'By Lot'!E2522,'By Lot'!E2539,'By Lot'!E2556,'By Lot'!E2573,'By Lot'!E2590,'By Lot'!E2607,'By Lot'!E2624,'By Lot'!E2641)</f>
        <v>1007</v>
      </c>
      <c r="D204" s="504">
        <f>SUM('By Structure'!D85,'By Structure'!D96,'By Structure'!D107,
'By Lot'!F2284,'By Lot'!F2505,'By Lot'!F2522,'By Lot'!F2539,'By Lot'!F2556,'By Lot'!F2573,'By Lot'!F2590,'By Lot'!F2607,'By Lot'!F2624,'By Lot'!F2641)</f>
        <v>383</v>
      </c>
      <c r="E204" s="504">
        <f>SUM('By Structure'!E85,'By Structure'!E96,'By Structure'!E107,
'By Lot'!G2284,'By Lot'!G2505,'By Lot'!G2522,'By Lot'!G2539,'By Lot'!G2556,'By Lot'!G2573,'By Lot'!G2590,'By Lot'!G2607,'By Lot'!G2624,'By Lot'!G2641)</f>
        <v>304</v>
      </c>
      <c r="F204" s="504">
        <f>SUM('By Structure'!F85,'By Structure'!F96,'By Structure'!F107,
'By Lot'!H2284,'By Lot'!H2505,'By Lot'!H2522,'By Lot'!H2539,'By Lot'!H2556,'By Lot'!H2573,'By Lot'!H2590,'By Lot'!H2607,'By Lot'!H2624,'By Lot'!H2641)</f>
        <v>265</v>
      </c>
      <c r="G204" s="504">
        <f>SUM('By Structure'!G85,'By Structure'!G96,'By Structure'!G107,
'By Lot'!I2284,'By Lot'!I2505,'By Lot'!I2522,'By Lot'!I2539,'By Lot'!I2556,'By Lot'!I2573,'By Lot'!I2590,'By Lot'!I2607,'By Lot'!I2624,'By Lot'!I2641)</f>
        <v>258</v>
      </c>
      <c r="H204" s="504">
        <f>SUM('By Structure'!H85,'By Structure'!H96,'By Structure'!H107,
'By Lot'!J2284,'By Lot'!J2505,'By Lot'!J2522,'By Lot'!J2539,'By Lot'!J2556,'By Lot'!J2573,'By Lot'!J2590,'By Lot'!J2607,'By Lot'!J2624,'By Lot'!J2641)</f>
        <v>243</v>
      </c>
      <c r="I204" s="504">
        <f>SUM('By Structure'!I85,'By Structure'!I96,'By Structure'!I107,
'By Lot'!K2284,'By Lot'!K2505,'By Lot'!K2522,'By Lot'!K2539,'By Lot'!K2556,'By Lot'!K2573,'By Lot'!K2590,'By Lot'!K2607,'By Lot'!K2624,'By Lot'!K2641)</f>
        <v>238</v>
      </c>
      <c r="J204" s="504">
        <f>SUM('By Structure'!J85,'By Structure'!J96,'By Structure'!J107,
'By Lot'!L2284,'By Lot'!L2505,'By Lot'!L2522,'By Lot'!L2539,'By Lot'!L2556,'By Lot'!L2573,'By Lot'!L2590,'By Lot'!L2607,'By Lot'!L2624,'By Lot'!L2641)</f>
        <v>248</v>
      </c>
      <c r="K204" s="504">
        <f>SUM('By Structure'!K85,'By Structure'!K96,'By Structure'!K107,
'By Lot'!M2284,'By Lot'!M2505,'By Lot'!M2522,'By Lot'!M2539,'By Lot'!M2556,'By Lot'!M2573,'By Lot'!M2590,'By Lot'!M2607,'By Lot'!M2624,'By Lot'!M2641)</f>
        <v>269</v>
      </c>
      <c r="L204" s="504">
        <f>SUM('By Structure'!L85,'By Structure'!L96,'By Structure'!L107,
'By Lot'!N2284,'By Lot'!N2505,'By Lot'!N2522,'By Lot'!N2539,'By Lot'!N2556,'By Lot'!N2573,'By Lot'!N2590,'By Lot'!N2607,'By Lot'!N2624,'By Lot'!N2641)</f>
        <v>380</v>
      </c>
      <c r="M204" s="110">
        <f>SUM('By Structure'!M85,'By Structure'!M96,'By Structure'!M107,
'By Lot'!O2284,'By Lot'!O2505,'By Lot'!O2522,'By Lot'!O2539,'By Lot'!O2556,'By Lot'!O2573,'By Lot'!O2590,'By Lot'!O2607,'By Lot'!O2624,'By Lot'!O2641)</f>
        <v>492</v>
      </c>
      <c r="N204" s="504">
        <f t="shared" si="38"/>
        <v>238</v>
      </c>
      <c r="O204" s="504">
        <f t="shared" si="42"/>
        <v>769</v>
      </c>
      <c r="P204" s="107">
        <f>O204/C204</f>
        <v>0.76365441906653431</v>
      </c>
      <c r="Q204" s="504"/>
      <c r="R204" s="504"/>
      <c r="S204" s="504"/>
      <c r="T204" s="504"/>
      <c r="U204" s="504"/>
      <c r="V204" s="504"/>
      <c r="W204" s="504"/>
      <c r="X204" s="504"/>
      <c r="Y204" s="504"/>
      <c r="Z204" s="504"/>
    </row>
    <row r="205" spans="1:26" ht="11.25" customHeight="1">
      <c r="A205" s="13"/>
      <c r="B205" s="13" t="s">
        <v>27</v>
      </c>
      <c r="C205" s="13"/>
      <c r="D205" s="109"/>
      <c r="E205" s="504"/>
      <c r="F205" s="504"/>
      <c r="G205" s="504"/>
      <c r="H205" s="504"/>
      <c r="I205" s="504"/>
      <c r="J205" s="504"/>
      <c r="K205" s="504"/>
      <c r="L205" s="504"/>
      <c r="M205" s="110"/>
      <c r="N205" s="109"/>
      <c r="O205" s="504"/>
      <c r="P205" s="107"/>
      <c r="Q205" s="504"/>
      <c r="R205" s="504"/>
      <c r="S205" s="504"/>
      <c r="T205" s="504"/>
      <c r="U205" s="504"/>
      <c r="V205" s="504"/>
      <c r="W205" s="504"/>
      <c r="X205" s="504"/>
      <c r="Y205" s="504"/>
      <c r="Z205" s="504"/>
    </row>
    <row r="206" spans="1:26" ht="11.25" customHeight="1">
      <c r="A206" s="1"/>
      <c r="B206" s="13" t="s">
        <v>31</v>
      </c>
      <c r="C206" s="13">
        <f>SUM('By Structure'!C87,'By Structure'!C98,'By Structure'!C109,
'By Lot'!E2507,'By Lot'!E2524,'By Lot'!E2541,'By Lot'!E2558,'By Lot'!E2575,'By Lot'!E2592,'By Lot'!E2609,'By Lot'!E2626,'By Lot'!E2643)</f>
        <v>922</v>
      </c>
      <c r="D206" s="109">
        <f>SUM('By Structure'!D87,'By Structure'!D98,'By Structure'!D109,
'By Lot'!F2507,'By Lot'!F2524,'By Lot'!F2541,'By Lot'!F2558,'By Lot'!F2575,'By Lot'!F2592,'By Lot'!F2609,'By Lot'!F2626,'By Lot'!F2643)</f>
        <v>429</v>
      </c>
      <c r="E206" s="504">
        <f>SUM('By Structure'!E87,'By Structure'!E98,'By Structure'!E109,
'By Lot'!G2507,'By Lot'!G2524,'By Lot'!G2541,'By Lot'!G2558,'By Lot'!G2575,'By Lot'!G2592,'By Lot'!G2609,'By Lot'!G2626,'By Lot'!G2643)</f>
        <v>350</v>
      </c>
      <c r="F206" s="504">
        <f>SUM('By Structure'!F87,'By Structure'!F98,'By Structure'!F109,
'By Lot'!H2507,'By Lot'!H2524,'By Lot'!H2541,'By Lot'!H2558,'By Lot'!H2575,'By Lot'!H2592,'By Lot'!H2609,'By Lot'!H2626,'By Lot'!H2643)</f>
        <v>304</v>
      </c>
      <c r="G206" s="504">
        <f>SUM('By Structure'!G87,'By Structure'!G98,'By Structure'!G109,
'By Lot'!I2507,'By Lot'!I2524,'By Lot'!I2541,'By Lot'!I2558,'By Lot'!I2575,'By Lot'!I2592,'By Lot'!I2609,'By Lot'!I2626,'By Lot'!I2643)</f>
        <v>305</v>
      </c>
      <c r="H206" s="504">
        <f>SUM('By Structure'!H87,'By Structure'!H98,'By Structure'!H109,
'By Lot'!J2507,'By Lot'!J2524,'By Lot'!J2541,'By Lot'!J2558,'By Lot'!J2575,'By Lot'!J2592,'By Lot'!J2609,'By Lot'!J2626,'By Lot'!J2643)</f>
        <v>309</v>
      </c>
      <c r="I206" s="504">
        <f>SUM('By Structure'!I87,'By Structure'!I98,'By Structure'!I109,
'By Lot'!K2507,'By Lot'!K2524,'By Lot'!K2541,'By Lot'!K2558,'By Lot'!K2575,'By Lot'!K2592,'By Lot'!K2609,'By Lot'!K2626,'By Lot'!K2643)</f>
        <v>299</v>
      </c>
      <c r="J206" s="504">
        <f>SUM('By Structure'!J87,'By Structure'!J98,'By Structure'!J109,
'By Lot'!L2507,'By Lot'!L2524,'By Lot'!L2541,'By Lot'!L2558,'By Lot'!L2575,'By Lot'!L2592,'By Lot'!L2609,'By Lot'!L2626,'By Lot'!L2643)</f>
        <v>295</v>
      </c>
      <c r="K206" s="504">
        <f>SUM('By Structure'!K87,'By Structure'!K98,'By Structure'!K109,
'By Lot'!M2507,'By Lot'!M2524,'By Lot'!M2541,'By Lot'!M2558,'By Lot'!M2575,'By Lot'!M2592,'By Lot'!M2609,'By Lot'!M2626,'By Lot'!M2643)</f>
        <v>333</v>
      </c>
      <c r="L206" s="504">
        <f>SUM('By Structure'!L87,'By Structure'!L98,'By Structure'!L109,
'By Lot'!N2507,'By Lot'!N2524,'By Lot'!N2541,'By Lot'!N2558,'By Lot'!N2575,'By Lot'!N2592,'By Lot'!N2609,'By Lot'!N2626,'By Lot'!N2643)</f>
        <v>436</v>
      </c>
      <c r="M206" s="110">
        <f>SUM('By Structure'!M87,'By Structure'!M98,'By Structure'!M109,
'By Lot'!O2507,'By Lot'!O2524,'By Lot'!O2541,'By Lot'!O2558,'By Lot'!O2575,'By Lot'!O2592,'By Lot'!O2609,'By Lot'!O2626,'By Lot'!O2643)</f>
        <v>553</v>
      </c>
      <c r="N206" s="109">
        <f t="shared" ref="N206:N213" si="45">MIN(D206:M206)</f>
        <v>295</v>
      </c>
      <c r="O206" s="504">
        <f t="shared" ref="O206:O213" si="46">C206-N206</f>
        <v>627</v>
      </c>
      <c r="P206" s="107">
        <f t="shared" ref="P206:P213" si="47">O206/C206</f>
        <v>0.68004338394793928</v>
      </c>
      <c r="Q206" s="504"/>
      <c r="R206" s="504"/>
      <c r="S206" s="504"/>
      <c r="T206" s="504"/>
      <c r="U206" s="504"/>
      <c r="V206" s="504"/>
      <c r="W206" s="504"/>
      <c r="X206" s="504"/>
      <c r="Y206" s="504"/>
      <c r="Z206" s="504"/>
    </row>
    <row r="207" spans="1:26" ht="11.25" customHeight="1">
      <c r="A207" s="1"/>
      <c r="B207" s="13" t="s">
        <v>32</v>
      </c>
      <c r="C207" s="13">
        <f>SUM('By Structure'!C88,'By Structure'!C99,'By Structure'!C110,
'By Lot'!E2509,'By Lot'!E2526,'By Lot'!E2543,'By Lot'!E2560,'By Lot'!E2577,'By Lot'!E2594,'By Lot'!E2611,'By Lot'!E2628,'By Lot'!E2645)</f>
        <v>108</v>
      </c>
      <c r="D207" s="109">
        <f>SUM('By Structure'!D88,'By Structure'!D99,'By Structure'!D110,
'By Lot'!F2509,'By Lot'!F2526,'By Lot'!F2543,'By Lot'!F2560,'By Lot'!F2577,'By Lot'!F2594,'By Lot'!F2611,'By Lot'!F2628,'By Lot'!F2645)</f>
        <v>77</v>
      </c>
      <c r="E207" s="504">
        <f>SUM('By Structure'!E88,'By Structure'!E99,'By Structure'!E110,
'By Lot'!G2509,'By Lot'!G2526,'By Lot'!G2543,'By Lot'!G2560,'By Lot'!G2577,'By Lot'!G2594,'By Lot'!G2611,'By Lot'!G2628,'By Lot'!G2645)</f>
        <v>68</v>
      </c>
      <c r="F207" s="504">
        <f>SUM('By Structure'!F88,'By Structure'!F99,'By Structure'!F110,
'By Lot'!H2509,'By Lot'!H2526,'By Lot'!H2543,'By Lot'!H2560,'By Lot'!H2577,'By Lot'!H2594,'By Lot'!H2611,'By Lot'!H2628,'By Lot'!H2645)</f>
        <v>65</v>
      </c>
      <c r="G207" s="504">
        <f>SUM('By Structure'!G88,'By Structure'!G99,'By Structure'!G110,
'By Lot'!I2509,'By Lot'!I2526,'By Lot'!I2543,'By Lot'!I2560,'By Lot'!I2577,'By Lot'!I2594,'By Lot'!I2611,'By Lot'!I2628,'By Lot'!I2645)</f>
        <v>64</v>
      </c>
      <c r="H207" s="504">
        <f>SUM('By Structure'!H88,'By Structure'!H99,'By Structure'!H110,
'By Lot'!J2509,'By Lot'!J2526,'By Lot'!J2543,'By Lot'!J2560,'By Lot'!J2577,'By Lot'!J2594,'By Lot'!J2611,'By Lot'!J2628,'By Lot'!J2645)</f>
        <v>62</v>
      </c>
      <c r="I207" s="504">
        <f>SUM('By Structure'!I88,'By Structure'!I99,'By Structure'!I110,
'By Lot'!K2509,'By Lot'!K2526,'By Lot'!K2543,'By Lot'!K2560,'By Lot'!K2577,'By Lot'!K2594,'By Lot'!K2611,'By Lot'!K2628,'By Lot'!K2645)</f>
        <v>68</v>
      </c>
      <c r="J207" s="504">
        <f>SUM('By Structure'!J88,'By Structure'!J99,'By Structure'!J110,
'By Lot'!L2509,'By Lot'!L2526,'By Lot'!L2543,'By Lot'!L2560,'By Lot'!L2577,'By Lot'!L2594,'By Lot'!L2611,'By Lot'!L2628,'By Lot'!L2645)</f>
        <v>67</v>
      </c>
      <c r="K207" s="504">
        <f>SUM('By Structure'!K88,'By Structure'!K99,'By Structure'!K110,
'By Lot'!M2509,'By Lot'!M2526,'By Lot'!M2543,'By Lot'!M2560,'By Lot'!M2577,'By Lot'!M2594,'By Lot'!M2611,'By Lot'!M2628,'By Lot'!M2645)</f>
        <v>72</v>
      </c>
      <c r="L207" s="504">
        <f>SUM('By Structure'!L88,'By Structure'!L99,'By Structure'!L110,
'By Lot'!N2509,'By Lot'!N2526,'By Lot'!N2543,'By Lot'!N2560,'By Lot'!N2577,'By Lot'!N2594,'By Lot'!N2611,'By Lot'!N2628,'By Lot'!N2645)</f>
        <v>77</v>
      </c>
      <c r="M207" s="110">
        <f>SUM('By Structure'!M88,'By Structure'!M99,'By Structure'!M110,
'By Lot'!O2509,'By Lot'!O2526,'By Lot'!O2543,'By Lot'!O2560,'By Lot'!O2577,'By Lot'!O2594,'By Lot'!O2611,'By Lot'!O2628,'By Lot'!O2645)</f>
        <v>86</v>
      </c>
      <c r="N207" s="109">
        <f t="shared" si="45"/>
        <v>62</v>
      </c>
      <c r="O207" s="504">
        <f t="shared" si="46"/>
        <v>46</v>
      </c>
      <c r="P207" s="107">
        <f t="shared" si="47"/>
        <v>0.42592592592592593</v>
      </c>
      <c r="Q207" s="504"/>
      <c r="R207" s="504"/>
      <c r="S207" s="504"/>
      <c r="T207" s="504"/>
      <c r="U207" s="504"/>
      <c r="V207" s="504"/>
      <c r="W207" s="504"/>
      <c r="X207" s="504"/>
      <c r="Y207" s="504"/>
      <c r="Z207" s="504"/>
    </row>
    <row r="208" spans="1:26" ht="11.25" customHeight="1">
      <c r="A208" s="1"/>
      <c r="B208" s="13" t="s">
        <v>33</v>
      </c>
      <c r="C208" s="13">
        <f>SUM('By Structure'!C89,'By Structure'!C100,'By Structure'!C111,
'By Lot'!E2510:E2515,'By Lot'!E2527:E2532,'By Lot'!E2544:E2549,'By Lot'!E2561:E2566,'By Lot'!E2578:E2583,'By Lot'!E2595:E2600,'By Lot'!E2612:E2617,
'By Lot'!E2629:E2634,'By Lot'!E2646:E2651,
'By Lot'!E2589)</f>
        <v>304</v>
      </c>
      <c r="D208" s="109">
        <f>SUM('By Structure'!D89,'By Structure'!D100,'By Structure'!D111,
'By Lot'!F2510:F2515,'By Lot'!F2527:F2532,'By Lot'!F2544:F2549,'By Lot'!F2561:F2566,'By Lot'!F2578:F2583,'By Lot'!F2595:F2600,'By Lot'!F2612:F2617,
'By Lot'!F2629:F2634,'By Lot'!F2646:F2651,
'By Lot'!F2589)</f>
        <v>70</v>
      </c>
      <c r="E208" s="504">
        <f>SUM('By Structure'!E89,'By Structure'!E100,'By Structure'!E111,
'By Lot'!G2510:G2515,'By Lot'!G2527:G2532,'By Lot'!G2544:G2549,'By Lot'!G2561:G2566,'By Lot'!G2578:G2583,'By Lot'!G2595:G2600,'By Lot'!G2612:G2617,
'By Lot'!G2629:G2634,'By Lot'!G2646:G2651,
'By Lot'!G2589)</f>
        <v>47</v>
      </c>
      <c r="F208" s="504">
        <f>SUM('By Structure'!F89,'By Structure'!F100,'By Structure'!F111,
'By Lot'!H2510:H2515,'By Lot'!H2527:H2532,'By Lot'!H2544:H2549,'By Lot'!H2561:H2566,'By Lot'!H2578:H2583,'By Lot'!H2595:H2600,'By Lot'!H2612:H2617,
'By Lot'!H2629:H2634,'By Lot'!H2646:H2651,
'By Lot'!H2589)</f>
        <v>46</v>
      </c>
      <c r="G208" s="504">
        <f>SUM('By Structure'!G89,'By Structure'!G100,'By Structure'!G111,
'By Lot'!I2510:I2515,'By Lot'!I2527:I2532,'By Lot'!I2544:I2549,'By Lot'!I2561:I2566,'By Lot'!I2578:I2583,'By Lot'!I2595:I2600,'By Lot'!I2612:I2617,
'By Lot'!I2629:I2634,'By Lot'!I2646:I2651,
'By Lot'!I2589)</f>
        <v>40</v>
      </c>
      <c r="H208" s="504">
        <f>SUM('By Structure'!H89,'By Structure'!H100,'By Structure'!H111,
'By Lot'!J2510:J2515,'By Lot'!J2527:J2532,'By Lot'!J2544:J2549,'By Lot'!J2561:J2566,'By Lot'!J2578:J2583,'By Lot'!J2595:J2600,'By Lot'!J2612:J2617,
'By Lot'!J2629:J2634,'By Lot'!J2646:J2651,
'By Lot'!J2589)</f>
        <v>50</v>
      </c>
      <c r="I208" s="504">
        <f>SUM('By Structure'!I89,'By Structure'!I100,'By Structure'!I111,
'By Lot'!K2510:K2515,'By Lot'!K2527:K2532,'By Lot'!K2544:K2549,'By Lot'!K2561:K2566,'By Lot'!K2578:K2583,'By Lot'!K2595:K2600,'By Lot'!K2612:K2617,
'By Lot'!K2629:K2634,'By Lot'!K2646:K2651,
'By Lot'!K2589)</f>
        <v>57</v>
      </c>
      <c r="J208" s="504">
        <f>SUM('By Structure'!J89,'By Structure'!J100,'By Structure'!J111,
'By Lot'!L2510:L2515,'By Lot'!L2527:L2532,'By Lot'!L2544:L2549,'By Lot'!L2561:L2566,'By Lot'!L2578:L2583,'By Lot'!L2595:L2600,'By Lot'!L2612:L2617,
'By Lot'!L2629:L2634,'By Lot'!L2646:L2651,
'By Lot'!L2589)</f>
        <v>50</v>
      </c>
      <c r="K208" s="504">
        <f>SUM('By Structure'!K89,'By Structure'!K100,'By Structure'!K111,
'By Lot'!M2510:M2515,'By Lot'!M2527:M2532,'By Lot'!M2544:M2549,'By Lot'!M2561:M2566,'By Lot'!M2578:M2583,'By Lot'!M2595:M2600,'By Lot'!M2612:M2617,
'By Lot'!M2629:M2634,'By Lot'!M2646:M2651,
'By Lot'!M2589)</f>
        <v>45</v>
      </c>
      <c r="L208" s="504">
        <f>SUM('By Structure'!L89,'By Structure'!L100,'By Structure'!L111,
'By Lot'!N2510:N2515,'By Lot'!N2527:N2532,'By Lot'!N2544:N2549,'By Lot'!N2561:N2566,'By Lot'!N2578:N2583,'By Lot'!N2595:N2600,'By Lot'!N2612:N2617,
'By Lot'!N2629:N2634,'By Lot'!N2646:N2651,
'By Lot'!N2589)</f>
        <v>68</v>
      </c>
      <c r="M208" s="110">
        <f>SUM('By Structure'!M89,'By Structure'!M100,'By Structure'!M111,
'By Lot'!O2510:O2515,'By Lot'!O2527:O2532,'By Lot'!O2544:O2549,'By Lot'!O2561:O2566,'By Lot'!O2578:O2583,'By Lot'!O2595:O2600,'By Lot'!O2612:O2617,
'By Lot'!O2629:O2634,'By Lot'!O2646:O2651,
'By Lot'!O2589)</f>
        <v>96</v>
      </c>
      <c r="N208" s="109">
        <f t="shared" si="45"/>
        <v>40</v>
      </c>
      <c r="O208" s="504">
        <f t="shared" si="46"/>
        <v>264</v>
      </c>
      <c r="P208" s="107">
        <f t="shared" si="47"/>
        <v>0.86842105263157898</v>
      </c>
      <c r="Q208" s="504"/>
      <c r="R208" s="504"/>
      <c r="S208" s="504"/>
      <c r="T208" s="504"/>
      <c r="U208" s="504"/>
      <c r="V208" s="504"/>
      <c r="W208" s="504"/>
      <c r="X208" s="504"/>
      <c r="Y208" s="504"/>
      <c r="Z208" s="504"/>
    </row>
    <row r="209" spans="1:26" ht="11.25" customHeight="1">
      <c r="A209" s="13"/>
      <c r="B209" s="13" t="s">
        <v>34</v>
      </c>
      <c r="C209" s="13">
        <f>SUM('By Structure'!C90,'By Structure'!C101,'By Structure'!C112,
'By Lot'!E2516,'By Lot'!E2533,'By Lot'!E2550,'By Lot'!E2567,'By Lot'!E2584,'By Lot'!E2601,'By Lot'!E2618,'By Lot'!E2635,'By Lot'!E2652)</f>
        <v>232</v>
      </c>
      <c r="D209" s="109">
        <f>SUM('By Structure'!D90,'By Structure'!D101,'By Structure'!D112,
'By Lot'!F2516,'By Lot'!F2533,'By Lot'!F2550,'By Lot'!F2567,'By Lot'!F2584,'By Lot'!F2601,'By Lot'!F2618,'By Lot'!F2635,'By Lot'!F2652)</f>
        <v>114</v>
      </c>
      <c r="E209" s="504">
        <f>SUM('By Structure'!E90,'By Structure'!E101,'By Structure'!E112,
'By Lot'!G2516,'By Lot'!G2533,'By Lot'!G2550,'By Lot'!G2567,'By Lot'!G2584,'By Lot'!G2601,'By Lot'!G2618,'By Lot'!G2635,'By Lot'!G2652)</f>
        <v>87</v>
      </c>
      <c r="F209" s="504">
        <f>SUM('By Structure'!F90,'By Structure'!F101,'By Structure'!F112,
'By Lot'!H2516,'By Lot'!H2533,'By Lot'!H2550,'By Lot'!H2567,'By Lot'!H2584,'By Lot'!H2601,'By Lot'!H2618,'By Lot'!H2635,'By Lot'!H2652)</f>
        <v>67</v>
      </c>
      <c r="G209" s="504">
        <f>SUM('By Structure'!G90,'By Structure'!G101,'By Structure'!G112,
'By Lot'!I2516,'By Lot'!I2533,'By Lot'!I2550,'By Lot'!I2567,'By Lot'!I2584,'By Lot'!I2601,'By Lot'!I2618,'By Lot'!I2635,'By Lot'!I2652)</f>
        <v>60</v>
      </c>
      <c r="H209" s="504">
        <f>SUM('By Structure'!H90,'By Structure'!H101,'By Structure'!H112,
'By Lot'!J2516,'By Lot'!J2533,'By Lot'!J2550,'By Lot'!J2567,'By Lot'!J2584,'By Lot'!J2601,'By Lot'!J2618,'By Lot'!J2635,'By Lot'!J2652)</f>
        <v>69</v>
      </c>
      <c r="I209" s="504">
        <f>SUM('By Structure'!I90,'By Structure'!I101,'By Structure'!I112,
'By Lot'!K2516,'By Lot'!K2533,'By Lot'!K2550,'By Lot'!K2567,'By Lot'!K2584,'By Lot'!K2601,'By Lot'!K2618,'By Lot'!K2635,'By Lot'!K2652)</f>
        <v>66</v>
      </c>
      <c r="J209" s="504">
        <f>SUM('By Structure'!J90,'By Structure'!J101,'By Structure'!J112,
'By Lot'!L2516,'By Lot'!L2533,'By Lot'!L2550,'By Lot'!L2567,'By Lot'!L2584,'By Lot'!L2601,'By Lot'!L2618,'By Lot'!L2635,'By Lot'!L2652)</f>
        <v>73</v>
      </c>
      <c r="K209" s="504">
        <f>SUM('By Structure'!K90,'By Structure'!K101,'By Structure'!K112,
'By Lot'!M2516,'By Lot'!M2533,'By Lot'!M2550,'By Lot'!M2567,'By Lot'!M2584,'By Lot'!M2601,'By Lot'!M2618,'By Lot'!M2635,'By Lot'!M2652)</f>
        <v>88</v>
      </c>
      <c r="L209" s="504">
        <f>SUM('By Structure'!L90,'By Structure'!L101,'By Structure'!L112,
'By Lot'!N2516,'By Lot'!N2533,'By Lot'!N2550,'By Lot'!N2567,'By Lot'!N2584,'By Lot'!N2601,'By Lot'!N2618,'By Lot'!N2635,'By Lot'!N2652)</f>
        <v>109</v>
      </c>
      <c r="M209" s="110">
        <f>SUM('By Structure'!M90,'By Structure'!M101,'By Structure'!M112,
'By Lot'!O2516,'By Lot'!O2533,'By Lot'!O2550,'By Lot'!O2567,'By Lot'!O2584,'By Lot'!O2601,'By Lot'!O2618,'By Lot'!O2635,'By Lot'!O2652)</f>
        <v>159</v>
      </c>
      <c r="N209" s="109">
        <f t="shared" si="45"/>
        <v>60</v>
      </c>
      <c r="O209" s="504">
        <f t="shared" si="46"/>
        <v>172</v>
      </c>
      <c r="P209" s="107">
        <f t="shared" si="47"/>
        <v>0.74137931034482762</v>
      </c>
      <c r="Q209" s="504"/>
      <c r="R209" s="504"/>
      <c r="S209" s="504"/>
      <c r="T209" s="504"/>
      <c r="U209" s="504"/>
      <c r="V209" s="504"/>
      <c r="W209" s="504"/>
      <c r="X209" s="504"/>
      <c r="Y209" s="504"/>
      <c r="Z209" s="504"/>
    </row>
    <row r="210" spans="1:26" ht="11.25" customHeight="1">
      <c r="A210" s="548"/>
      <c r="B210" s="13" t="s">
        <v>35</v>
      </c>
      <c r="C210" s="13">
        <f>SUM('By Structure'!C91,'By Structure'!C102,'By Structure'!C113,
'By Lot'!E2517,'By Lot'!E2534,'By Lot'!E2551,'By Lot'!E2568,'By Lot'!E2585,'By Lot'!E2602,'By Lot'!E2619,'By Lot'!E2636,'By Lot'!E2653)</f>
        <v>6</v>
      </c>
      <c r="D210" s="109">
        <f>SUM('By Structure'!D91,'By Structure'!D102,'By Structure'!D113,
'By Lot'!F2517,'By Lot'!F2534,'By Lot'!F2551,'By Lot'!F2568,'By Lot'!F2585,'By Lot'!F2602,'By Lot'!F2619,'By Lot'!F2636,'By Lot'!F2653)</f>
        <v>4</v>
      </c>
      <c r="E210" s="504">
        <f>SUM('By Structure'!E91,'By Structure'!E102,'By Structure'!E113,
'By Lot'!G2517,'By Lot'!G2534,'By Lot'!G2551,'By Lot'!G2568,'By Lot'!G2585,'By Lot'!G2602,'By Lot'!G2619,'By Lot'!G2636,'By Lot'!G2653)</f>
        <v>3</v>
      </c>
      <c r="F210" s="504">
        <f>SUM('By Structure'!F91,'By Structure'!F102,'By Structure'!F113,
'By Lot'!H2517,'By Lot'!H2534,'By Lot'!H2551,'By Lot'!H2568,'By Lot'!H2585,'By Lot'!H2602,'By Lot'!H2619,'By Lot'!H2636,'By Lot'!H2653)</f>
        <v>2</v>
      </c>
      <c r="G210" s="504">
        <f>SUM('By Structure'!G91,'By Structure'!G102,'By Structure'!G113,
'By Lot'!I2517,'By Lot'!I2534,'By Lot'!I2551,'By Lot'!I2568,'By Lot'!I2585,'By Lot'!I2602,'By Lot'!I2619,'By Lot'!I2636,'By Lot'!I2653)</f>
        <v>2</v>
      </c>
      <c r="H210" s="504">
        <f>SUM('By Structure'!H91,'By Structure'!H102,'By Structure'!H113,
'By Lot'!J2517,'By Lot'!J2534,'By Lot'!J2551,'By Lot'!J2568,'By Lot'!J2585,'By Lot'!J2602,'By Lot'!J2619,'By Lot'!J2636,'By Lot'!J2653)</f>
        <v>4</v>
      </c>
      <c r="I210" s="504">
        <f>SUM('By Structure'!I91,'By Structure'!I102,'By Structure'!I113,
'By Lot'!K2517,'By Lot'!K2534,'By Lot'!K2551,'By Lot'!K2568,'By Lot'!K2585,'By Lot'!K2602,'By Lot'!K2619,'By Lot'!K2636,'By Lot'!K2653)</f>
        <v>2</v>
      </c>
      <c r="J210" s="504">
        <f>SUM('By Structure'!J91,'By Structure'!J102,'By Structure'!J113,
'By Lot'!L2517,'By Lot'!L2534,'By Lot'!L2551,'By Lot'!L2568,'By Lot'!L2585,'By Lot'!L2602,'By Lot'!L2619,'By Lot'!L2636,'By Lot'!L2653)</f>
        <v>4</v>
      </c>
      <c r="K210" s="504">
        <f>SUM('By Structure'!K91,'By Structure'!K102,'By Structure'!K113,
'By Lot'!M2517,'By Lot'!M2534,'By Lot'!M2551,'By Lot'!M2568,'By Lot'!M2585,'By Lot'!M2602,'By Lot'!M2619,'By Lot'!M2636,'By Lot'!M2653)</f>
        <v>4</v>
      </c>
      <c r="L210" s="504">
        <f>SUM('By Structure'!L91,'By Structure'!L102,'By Structure'!L113,
'By Lot'!N2517,'By Lot'!N2534,'By Lot'!N2551,'By Lot'!N2568,'By Lot'!N2585,'By Lot'!N2602,'By Lot'!N2619,'By Lot'!N2636,'By Lot'!N2653)</f>
        <v>4</v>
      </c>
      <c r="M210" s="110">
        <f>SUM('By Structure'!M91,'By Structure'!M102,'By Structure'!M113,
'By Lot'!O2517,'By Lot'!O2534,'By Lot'!O2551,'By Lot'!O2568,'By Lot'!O2585,'By Lot'!O2602,'By Lot'!O2619,'By Lot'!O2636,'By Lot'!O2653)</f>
        <v>4</v>
      </c>
      <c r="N210" s="109">
        <f t="shared" si="45"/>
        <v>2</v>
      </c>
      <c r="O210" s="504">
        <f t="shared" si="46"/>
        <v>4</v>
      </c>
      <c r="P210" s="107">
        <f t="shared" si="47"/>
        <v>0.66666666666666663</v>
      </c>
      <c r="Q210" s="504"/>
      <c r="R210" s="504"/>
      <c r="S210" s="504"/>
      <c r="T210" s="504"/>
      <c r="U210" s="504"/>
      <c r="V210" s="504"/>
      <c r="W210" s="504"/>
      <c r="X210" s="504"/>
      <c r="Y210" s="504"/>
      <c r="Z210" s="504"/>
    </row>
    <row r="211" spans="1:26" ht="11.25" customHeight="1">
      <c r="A211" s="548"/>
      <c r="B211" s="13" t="s">
        <v>36</v>
      </c>
      <c r="C211" s="13">
        <f>SUM('By Structure'!C92,'By Structure'!C103,'By Structure'!C114,
'By Lot'!E2518,'By Lot'!E2535,'By Lot'!E2552,'By Lot'!E2569,'By Lot'!E2586,'By Lot'!E2603,'By Lot'!E2620,'By Lot'!E2637,'By Lot'!E2654)</f>
        <v>3</v>
      </c>
      <c r="D211" s="109">
        <f>SUM('By Structure'!D92,'By Structure'!D103,'By Structure'!D114,
'By Lot'!F2518,'By Lot'!F2535,'By Lot'!F2552,'By Lot'!F2569,'By Lot'!F2586,'By Lot'!F2603,'By Lot'!F2620,'By Lot'!F2637,'By Lot'!F2654)</f>
        <v>1</v>
      </c>
      <c r="E211" s="504">
        <f>SUM('By Structure'!E92,'By Structure'!E103,'By Structure'!E114,
'By Lot'!G2518,'By Lot'!G2535,'By Lot'!G2552,'By Lot'!G2569,'By Lot'!G2586,'By Lot'!G2603,'By Lot'!G2620,'By Lot'!G2637,'By Lot'!G2654)</f>
        <v>0</v>
      </c>
      <c r="F211" s="504">
        <f>SUM('By Structure'!F92,'By Structure'!F103,'By Structure'!F114,
'By Lot'!H2518,'By Lot'!H2535,'By Lot'!H2552,'By Lot'!H2569,'By Lot'!H2586,'By Lot'!H2603,'By Lot'!H2620,'By Lot'!H2637,'By Lot'!H2654)</f>
        <v>0</v>
      </c>
      <c r="G211" s="504">
        <f>SUM('By Structure'!G92,'By Structure'!G103,'By Structure'!G114,
'By Lot'!I2518,'By Lot'!I2535,'By Lot'!I2552,'By Lot'!I2569,'By Lot'!I2586,'By Lot'!I2603,'By Lot'!I2620,'By Lot'!I2637,'By Lot'!I2654)</f>
        <v>0</v>
      </c>
      <c r="H211" s="504">
        <f>SUM('By Structure'!H92,'By Structure'!H103,'By Structure'!H114,
'By Lot'!J2518,'By Lot'!J2535,'By Lot'!J2552,'By Lot'!J2569,'By Lot'!J2586,'By Lot'!J2603,'By Lot'!J2620,'By Lot'!J2637,'By Lot'!J2654)</f>
        <v>1</v>
      </c>
      <c r="I211" s="504">
        <f>SUM('By Structure'!I92,'By Structure'!I103,'By Structure'!I114,
'By Lot'!K2518,'By Lot'!K2535,'By Lot'!K2552,'By Lot'!K2569,'By Lot'!K2586,'By Lot'!K2603,'By Lot'!K2620,'By Lot'!K2637,'By Lot'!K2654)</f>
        <v>0</v>
      </c>
      <c r="J211" s="504">
        <f>SUM('By Structure'!J92,'By Structure'!J103,'By Structure'!J114,
'By Lot'!L2518,'By Lot'!L2535,'By Lot'!L2552,'By Lot'!L2569,'By Lot'!L2586,'By Lot'!L2603,'By Lot'!L2620,'By Lot'!L2637,'By Lot'!L2654)</f>
        <v>0</v>
      </c>
      <c r="K211" s="504">
        <f>SUM('By Structure'!K92,'By Structure'!K103,'By Structure'!K114,
'By Lot'!M2518,'By Lot'!M2535,'By Lot'!M2552,'By Lot'!M2569,'By Lot'!M2586,'By Lot'!M2603,'By Lot'!M2620,'By Lot'!M2637,'By Lot'!M2654)</f>
        <v>1</v>
      </c>
      <c r="L211" s="504">
        <f>SUM('By Structure'!L92,'By Structure'!L103,'By Structure'!L114,
'By Lot'!N2518,'By Lot'!N2535,'By Lot'!N2552,'By Lot'!N2569,'By Lot'!N2586,'By Lot'!N2603,'By Lot'!N2620,'By Lot'!N2637,'By Lot'!N2654)</f>
        <v>0</v>
      </c>
      <c r="M211" s="110">
        <f>SUM('By Structure'!M92,'By Structure'!M103,'By Structure'!M114,
'By Lot'!O2518,'By Lot'!O2535,'By Lot'!O2552,'By Lot'!O2569,'By Lot'!O2586,'By Lot'!O2603,'By Lot'!O2620,'By Lot'!O2637,'By Lot'!O2654)</f>
        <v>2</v>
      </c>
      <c r="N211" s="109">
        <f t="shared" si="45"/>
        <v>0</v>
      </c>
      <c r="O211" s="504">
        <f t="shared" si="46"/>
        <v>3</v>
      </c>
      <c r="P211" s="107">
        <f t="shared" si="47"/>
        <v>1</v>
      </c>
      <c r="Q211" s="504"/>
      <c r="R211" s="504"/>
      <c r="S211" s="504"/>
      <c r="T211" s="504"/>
      <c r="U211" s="504"/>
      <c r="V211" s="504"/>
      <c r="W211" s="504"/>
      <c r="X211" s="504"/>
      <c r="Y211" s="504"/>
      <c r="Z211" s="504"/>
    </row>
    <row r="212" spans="1:26" ht="11.25" customHeight="1">
      <c r="A212" s="548"/>
      <c r="B212" s="13" t="s">
        <v>37</v>
      </c>
      <c r="C212" s="13">
        <f>SUM('By Structure'!C93,'By Structure'!C104,'By Structure'!C115,
'By Lot'!E2519,'By Lot'!E2536,'By Lot'!E2553,'By Lot'!E2570,'By Lot'!E2587,'By Lot'!E2604,'By Lot'!E2621,'By Lot'!E2638,'By Lot'!E2655)</f>
        <v>11</v>
      </c>
      <c r="D212" s="109">
        <f>SUM('By Structure'!D93,'By Structure'!D104,'By Structure'!D115,
'By Lot'!F2519,'By Lot'!F2536,'By Lot'!F2553,'By Lot'!F2570,'By Lot'!F2587,'By Lot'!F2604,'By Lot'!F2621,'By Lot'!F2638,'By Lot'!F2655)</f>
        <v>8</v>
      </c>
      <c r="E212" s="504">
        <f>SUM('By Structure'!E93,'By Structure'!E104,'By Structure'!E115,
'By Lot'!G2519,'By Lot'!G2536,'By Lot'!G2553,'By Lot'!G2570,'By Lot'!G2587,'By Lot'!G2604,'By Lot'!G2621,'By Lot'!G2638,'By Lot'!G2655)</f>
        <v>7</v>
      </c>
      <c r="F212" s="504">
        <f>SUM('By Structure'!F93,'By Structure'!F104,'By Structure'!F115,
'By Lot'!H2519,'By Lot'!H2536,'By Lot'!H2553,'By Lot'!H2570,'By Lot'!H2587,'By Lot'!H2604,'By Lot'!H2621,'By Lot'!H2638,'By Lot'!H2655)</f>
        <v>3</v>
      </c>
      <c r="G212" s="504">
        <f>SUM('By Structure'!G93,'By Structure'!G104,'By Structure'!G115,
'By Lot'!I2519,'By Lot'!I2536,'By Lot'!I2553,'By Lot'!I2570,'By Lot'!I2587,'By Lot'!I2604,'By Lot'!I2621,'By Lot'!I2638,'By Lot'!I2655)</f>
        <v>1</v>
      </c>
      <c r="H212" s="504">
        <f>SUM('By Structure'!H93,'By Structure'!H104,'By Structure'!H115,
'By Lot'!J2519,'By Lot'!J2536,'By Lot'!J2553,'By Lot'!J2570,'By Lot'!J2587,'By Lot'!J2604,'By Lot'!J2621,'By Lot'!J2638,'By Lot'!J2655)</f>
        <v>3</v>
      </c>
      <c r="I212" s="504">
        <f>SUM('By Structure'!I93,'By Structure'!I104,'By Structure'!I115,
'By Lot'!K2519,'By Lot'!K2536,'By Lot'!K2553,'By Lot'!K2570,'By Lot'!K2587,'By Lot'!K2604,'By Lot'!K2621,'By Lot'!K2638,'By Lot'!K2655)</f>
        <v>5</v>
      </c>
      <c r="J212" s="504">
        <f>SUM('By Structure'!J93,'By Structure'!J104,'By Structure'!J115,
'By Lot'!L2519,'By Lot'!L2536,'By Lot'!L2553,'By Lot'!L2570,'By Lot'!L2587,'By Lot'!L2604,'By Lot'!L2621,'By Lot'!L2638,'By Lot'!L2655)</f>
        <v>4</v>
      </c>
      <c r="K212" s="504">
        <f>SUM('By Structure'!K93,'By Structure'!K104,'By Structure'!K115,
'By Lot'!M2519,'By Lot'!M2536,'By Lot'!M2553,'By Lot'!M2570,'By Lot'!M2587,'By Lot'!M2604,'By Lot'!M2621,'By Lot'!M2638,'By Lot'!M2655)</f>
        <v>5</v>
      </c>
      <c r="L212" s="504">
        <f>SUM('By Structure'!L93,'By Structure'!L104,'By Structure'!L115,
'By Lot'!N2519,'By Lot'!N2536,'By Lot'!N2553,'By Lot'!N2570,'By Lot'!N2587,'By Lot'!N2604,'By Lot'!N2621,'By Lot'!N2638,'By Lot'!N2655)</f>
        <v>4</v>
      </c>
      <c r="M212" s="110">
        <f>SUM('By Structure'!M93,'By Structure'!M104,'By Structure'!M115,
'By Lot'!O2519,'By Lot'!O2536,'By Lot'!O2553,'By Lot'!O2570,'By Lot'!O2587,'By Lot'!O2604,'By Lot'!O2621,'By Lot'!O2638,'By Lot'!O2655)</f>
        <v>9</v>
      </c>
      <c r="N212" s="109">
        <f t="shared" si="45"/>
        <v>1</v>
      </c>
      <c r="O212" s="504">
        <f t="shared" si="46"/>
        <v>10</v>
      </c>
      <c r="P212" s="107">
        <f t="shared" si="47"/>
        <v>0.90909090909090906</v>
      </c>
      <c r="Q212" s="504"/>
      <c r="R212" s="504"/>
      <c r="S212" s="504"/>
      <c r="T212" s="504"/>
      <c r="U212" s="504"/>
      <c r="V212" s="504"/>
      <c r="W212" s="504"/>
      <c r="X212" s="504"/>
      <c r="Y212" s="504"/>
      <c r="Z212" s="504"/>
    </row>
    <row r="213" spans="1:26" ht="11.25" customHeight="1">
      <c r="A213" s="549"/>
      <c r="B213" s="3" t="s">
        <v>38</v>
      </c>
      <c r="C213" s="3">
        <f t="shared" ref="C213:M213" si="48">SUM(C203:C212)</f>
        <v>3240</v>
      </c>
      <c r="D213" s="21">
        <f t="shared" si="48"/>
        <v>1512</v>
      </c>
      <c r="E213" s="71">
        <f t="shared" si="48"/>
        <v>1156</v>
      </c>
      <c r="F213" s="71">
        <f t="shared" si="48"/>
        <v>965</v>
      </c>
      <c r="G213" s="71">
        <f t="shared" si="48"/>
        <v>902</v>
      </c>
      <c r="H213" s="71">
        <f t="shared" si="48"/>
        <v>883</v>
      </c>
      <c r="I213" s="71">
        <f t="shared" si="48"/>
        <v>890</v>
      </c>
      <c r="J213" s="71">
        <f t="shared" si="48"/>
        <v>915</v>
      </c>
      <c r="K213" s="71">
        <f t="shared" si="48"/>
        <v>1013</v>
      </c>
      <c r="L213" s="71">
        <f t="shared" si="48"/>
        <v>1375</v>
      </c>
      <c r="M213" s="26">
        <f t="shared" si="48"/>
        <v>1827</v>
      </c>
      <c r="N213" s="21">
        <f t="shared" si="45"/>
        <v>883</v>
      </c>
      <c r="O213" s="71">
        <f t="shared" si="46"/>
        <v>2357</v>
      </c>
      <c r="P213" s="7">
        <f t="shared" si="47"/>
        <v>0.72746913580246919</v>
      </c>
      <c r="Q213" s="504"/>
      <c r="R213" s="504"/>
      <c r="S213" s="504"/>
      <c r="T213" s="504"/>
      <c r="U213" s="504"/>
      <c r="V213" s="504"/>
      <c r="W213" s="504"/>
      <c r="X213" s="504"/>
      <c r="Y213" s="504"/>
      <c r="Z213" s="504"/>
    </row>
    <row r="214" spans="1:26" ht="11.25" customHeight="1">
      <c r="A214" s="397" t="s">
        <v>105</v>
      </c>
      <c r="B214" s="13" t="s">
        <v>23</v>
      </c>
      <c r="C214" s="13"/>
      <c r="D214" s="109"/>
      <c r="E214" s="504"/>
      <c r="F214" s="504"/>
      <c r="G214" s="504"/>
      <c r="H214" s="504"/>
      <c r="I214" s="504"/>
      <c r="J214" s="504"/>
      <c r="K214" s="504"/>
      <c r="L214" s="504"/>
      <c r="M214" s="110"/>
      <c r="N214" s="109"/>
      <c r="O214" s="504"/>
      <c r="P214" s="107"/>
      <c r="Q214" s="504"/>
      <c r="R214" s="504"/>
      <c r="S214" s="504"/>
      <c r="T214" s="504"/>
      <c r="U214" s="504"/>
      <c r="V214" s="504"/>
      <c r="W214" s="504"/>
      <c r="X214" s="504"/>
      <c r="Y214" s="504"/>
      <c r="Z214" s="504"/>
    </row>
    <row r="215" spans="1:26" ht="11.25" customHeight="1">
      <c r="A215" s="13" t="s">
        <v>106</v>
      </c>
      <c r="B215" s="13" t="s">
        <v>25</v>
      </c>
      <c r="C215" s="13">
        <f>SUM('By Lot'!E2658,'By Lot'!E2675,'By Lot'!E2692,'By Structure'!C118)</f>
        <v>922</v>
      </c>
      <c r="D215" s="109">
        <f>SUM('By Lot'!F2658,'By Lot'!F2675,'By Lot'!F2692,'By Structure'!D118)</f>
        <v>441</v>
      </c>
      <c r="E215" s="504">
        <f>SUM('By Lot'!G2658,'By Lot'!G2675,'By Lot'!G2692,'By Structure'!E118)</f>
        <v>96</v>
      </c>
      <c r="F215" s="504">
        <f>SUM('By Lot'!H2658,'By Lot'!H2675,'By Lot'!H2692,'By Structure'!F118)</f>
        <v>121</v>
      </c>
      <c r="G215" s="504">
        <f>SUM('By Lot'!I2658,'By Lot'!I2675,'By Lot'!I2692,'By Structure'!G118)</f>
        <v>49</v>
      </c>
      <c r="H215" s="504">
        <f>SUM('By Lot'!J2658,'By Lot'!J2675,'By Lot'!J2692,'By Structure'!H118)</f>
        <v>163</v>
      </c>
      <c r="I215" s="504">
        <f>SUM('By Lot'!K2658,'By Lot'!K2675,'By Lot'!K2692,'By Structure'!I118)</f>
        <v>52</v>
      </c>
      <c r="J215" s="504">
        <f>SUM('By Lot'!L2658,'By Lot'!L2675,'By Lot'!L2692,'By Structure'!J118)</f>
        <v>177</v>
      </c>
      <c r="K215" s="504">
        <f>SUM('By Lot'!M2658,'By Lot'!M2675,'By Lot'!M2692,'By Structure'!K118)</f>
        <v>65</v>
      </c>
      <c r="L215" s="504">
        <f>SUM('By Lot'!N2658,'By Lot'!N2675,'By Lot'!N2692,'By Structure'!L118)</f>
        <v>173</v>
      </c>
      <c r="M215" s="110">
        <f>SUM('By Lot'!O2658,'By Lot'!O2675,'By Lot'!O2692,'By Structure'!M118)</f>
        <v>267</v>
      </c>
      <c r="N215" s="109">
        <f>MIN(D215:M215)</f>
        <v>49</v>
      </c>
      <c r="O215" s="504">
        <f>C215-N215</f>
        <v>873</v>
      </c>
      <c r="P215" s="107">
        <f>O215/C215</f>
        <v>0.94685466377440342</v>
      </c>
      <c r="Q215" s="504"/>
      <c r="R215" s="504"/>
      <c r="S215" s="504"/>
      <c r="T215" s="504"/>
      <c r="U215" s="504"/>
      <c r="V215" s="504"/>
      <c r="W215" s="504"/>
      <c r="X215" s="504"/>
      <c r="Y215" s="504"/>
      <c r="Z215" s="504"/>
    </row>
    <row r="216" spans="1:26" ht="11.25" customHeight="1">
      <c r="A216" s="13" t="s">
        <v>107</v>
      </c>
      <c r="B216" s="22" t="s">
        <v>93</v>
      </c>
      <c r="C216" s="22">
        <f>SUM('By Lot'!E2659)</f>
        <v>0</v>
      </c>
      <c r="D216" s="130"/>
      <c r="E216" s="23" t="s">
        <v>108</v>
      </c>
      <c r="F216" s="23"/>
      <c r="G216" s="23"/>
      <c r="H216" s="23"/>
      <c r="I216" s="23"/>
      <c r="J216" s="23"/>
      <c r="K216" s="23"/>
      <c r="L216" s="23"/>
      <c r="M216" s="131"/>
      <c r="N216" s="130"/>
      <c r="O216" s="23"/>
      <c r="P216" s="132"/>
      <c r="Q216" s="504"/>
      <c r="R216" s="504"/>
      <c r="S216" s="504"/>
      <c r="T216" s="504"/>
      <c r="U216" s="504"/>
      <c r="V216" s="504"/>
      <c r="W216" s="504"/>
      <c r="X216" s="504"/>
      <c r="Y216" s="504"/>
      <c r="Z216" s="504"/>
    </row>
    <row r="217" spans="1:26" ht="11.25" customHeight="1">
      <c r="A217" s="1"/>
      <c r="B217" s="13" t="s">
        <v>31</v>
      </c>
      <c r="C217" s="13"/>
      <c r="D217" s="109"/>
      <c r="E217" s="504"/>
      <c r="F217" s="504"/>
      <c r="G217" s="504"/>
      <c r="H217" s="504"/>
      <c r="I217" s="504"/>
      <c r="J217" s="504"/>
      <c r="K217" s="504"/>
      <c r="L217" s="504"/>
      <c r="M217" s="110"/>
      <c r="N217" s="109"/>
      <c r="O217" s="504"/>
      <c r="P217" s="107"/>
      <c r="Q217" s="504"/>
      <c r="R217" s="504"/>
      <c r="S217" s="504"/>
      <c r="T217" s="504"/>
      <c r="U217" s="504"/>
      <c r="V217" s="504"/>
      <c r="W217" s="504"/>
      <c r="X217" s="504"/>
      <c r="Y217" s="504"/>
      <c r="Z217" s="504"/>
    </row>
    <row r="218" spans="1:26" ht="11.25" customHeight="1">
      <c r="A218" s="1"/>
      <c r="B218" s="13" t="s">
        <v>32</v>
      </c>
      <c r="C218" s="13"/>
      <c r="D218" s="109"/>
      <c r="E218" s="504"/>
      <c r="F218" s="504"/>
      <c r="G218" s="504"/>
      <c r="H218" s="504"/>
      <c r="I218" s="504"/>
      <c r="J218" s="504"/>
      <c r="K218" s="504"/>
      <c r="L218" s="504"/>
      <c r="M218" s="110"/>
      <c r="N218" s="109"/>
      <c r="O218" s="504"/>
      <c r="P218" s="107"/>
      <c r="Q218" s="504"/>
      <c r="R218" s="504"/>
      <c r="S218" s="504"/>
      <c r="T218" s="504"/>
      <c r="U218" s="504"/>
      <c r="V218" s="504"/>
      <c r="W218" s="504"/>
      <c r="X218" s="504"/>
      <c r="Y218" s="504"/>
      <c r="Z218" s="504"/>
    </row>
    <row r="219" spans="1:26" ht="11.25" customHeight="1">
      <c r="A219" s="1"/>
      <c r="B219" s="13" t="s">
        <v>33</v>
      </c>
      <c r="C219" s="13">
        <f>SUM('By Lot'!E2663:E2668,'By Lot'!E2680:E2685,'By Lot'!E2697:E2702,'By Structure'!C122)</f>
        <v>56</v>
      </c>
      <c r="D219" s="109">
        <f>SUM('By Lot'!F2663:F2668,'By Lot'!F2680:F2685,'By Lot'!F2697:F2702,'By Structure'!D122)</f>
        <v>25</v>
      </c>
      <c r="E219" s="504">
        <f>SUM('By Lot'!G2663:G2668,'By Lot'!G2680:G2685,'By Lot'!G2697:G2702,'By Structure'!E122)</f>
        <v>0</v>
      </c>
      <c r="F219" s="504">
        <f>SUM('By Lot'!H2663:H2668,'By Lot'!H2680:H2685,'By Lot'!H2697:H2702,'By Structure'!F122)</f>
        <v>24</v>
      </c>
      <c r="G219" s="504">
        <f>SUM('By Lot'!I2663:I2668,'By Lot'!I2680:I2685,'By Lot'!I2697:I2702,'By Structure'!G122)</f>
        <v>0</v>
      </c>
      <c r="H219" s="504">
        <f>SUM('By Lot'!J2663:J2668,'By Lot'!J2680:J2685,'By Lot'!J2697:J2702,'By Structure'!H122)</f>
        <v>16</v>
      </c>
      <c r="I219" s="504">
        <f>SUM('By Lot'!K2663:K2668,'By Lot'!K2680:K2685,'By Lot'!K2697:K2702,'By Structure'!I122)</f>
        <v>0</v>
      </c>
      <c r="J219" s="504">
        <f>SUM('By Lot'!L2663:L2668,'By Lot'!L2680:L2685,'By Lot'!L2697:L2702,'By Structure'!J122)</f>
        <v>16</v>
      </c>
      <c r="K219" s="504">
        <f>SUM('By Lot'!M2663:M2668,'By Lot'!M2680:M2685,'By Lot'!M2697:M2702,'By Structure'!K122)</f>
        <v>0</v>
      </c>
      <c r="L219" s="504">
        <f>SUM('By Lot'!N2663:N2668,'By Lot'!N2680:N2685,'By Lot'!N2697:N2702,'By Structure'!L122)</f>
        <v>0</v>
      </c>
      <c r="M219" s="110">
        <f>SUM('By Lot'!O2663:O2668,'By Lot'!O2680:O2685,'By Lot'!O2697:O2702,'By Structure'!M122)</f>
        <v>0</v>
      </c>
      <c r="N219" s="109">
        <f t="shared" ref="N219:N220" si="49">MIN(D219:M219)</f>
        <v>0</v>
      </c>
      <c r="O219" s="504">
        <f>C219-N219</f>
        <v>56</v>
      </c>
      <c r="P219" s="107">
        <v>0</v>
      </c>
      <c r="Q219" s="504"/>
      <c r="R219" s="504"/>
      <c r="S219" s="504"/>
      <c r="T219" s="504"/>
      <c r="U219" s="504"/>
      <c r="V219" s="504"/>
      <c r="W219" s="504"/>
      <c r="X219" s="504"/>
      <c r="Y219" s="504"/>
      <c r="Z219" s="504"/>
    </row>
    <row r="220" spans="1:26" ht="11.25" customHeight="1">
      <c r="A220" s="13"/>
      <c r="B220" s="13" t="s">
        <v>34</v>
      </c>
      <c r="C220" s="13">
        <f>SUM('By Lot'!E2669,'By Lot'!E2686,'By Lot'!E2703,'By Structure'!C123)</f>
        <v>45</v>
      </c>
      <c r="D220" s="109">
        <f>SUM('By Lot'!F2669,'By Lot'!F2686,'By Lot'!F2703,'By Structure'!D123)</f>
        <v>6</v>
      </c>
      <c r="E220" s="504">
        <f>SUM('By Lot'!G2669,'By Lot'!G2686,'By Lot'!G2703,'By Structure'!E123)</f>
        <v>5</v>
      </c>
      <c r="F220" s="504">
        <f>SUM('By Lot'!H2669,'By Lot'!H2686,'By Lot'!H2703,'By Structure'!F123)</f>
        <v>4</v>
      </c>
      <c r="G220" s="504">
        <f>SUM('By Lot'!I2669,'By Lot'!I2686,'By Lot'!I2703,'By Structure'!G123)</f>
        <v>9</v>
      </c>
      <c r="H220" s="504">
        <f>SUM('By Lot'!J2669,'By Lot'!J2686,'By Lot'!J2703,'By Structure'!H123)</f>
        <v>11</v>
      </c>
      <c r="I220" s="504">
        <f>SUM('By Lot'!K2669,'By Lot'!K2686,'By Lot'!K2703,'By Structure'!I123)</f>
        <v>11</v>
      </c>
      <c r="J220" s="504">
        <f>SUM('By Lot'!L2669,'By Lot'!L2686,'By Lot'!L2703,'By Structure'!J123)</f>
        <v>11</v>
      </c>
      <c r="K220" s="504">
        <f>SUM('By Lot'!M2669,'By Lot'!M2686,'By Lot'!M2703,'By Structure'!K123)</f>
        <v>8</v>
      </c>
      <c r="L220" s="504">
        <f>SUM('By Lot'!N2669,'By Lot'!N2686,'By Lot'!N2703,'By Structure'!L123)</f>
        <v>21</v>
      </c>
      <c r="M220" s="110">
        <f>SUM('By Lot'!O2669,'By Lot'!O2686,'By Lot'!O2703,'By Structure'!M123)</f>
        <v>25</v>
      </c>
      <c r="N220" s="109">
        <f t="shared" si="49"/>
        <v>4</v>
      </c>
      <c r="O220" s="504">
        <f>C220-N220</f>
        <v>41</v>
      </c>
      <c r="P220" s="107">
        <f>O220/C220</f>
        <v>0.91111111111111109</v>
      </c>
      <c r="Q220" s="504"/>
      <c r="R220" s="504"/>
      <c r="S220" s="504"/>
      <c r="T220" s="504"/>
      <c r="U220" s="504"/>
      <c r="V220" s="504"/>
      <c r="W220" s="504"/>
      <c r="X220" s="504"/>
      <c r="Y220" s="504"/>
      <c r="Z220" s="504"/>
    </row>
    <row r="221" spans="1:26" ht="11.25" customHeight="1">
      <c r="A221" s="13"/>
      <c r="B221" s="13" t="s">
        <v>35</v>
      </c>
      <c r="C221" s="13"/>
      <c r="D221" s="109"/>
      <c r="E221" s="504"/>
      <c r="F221" s="504"/>
      <c r="G221" s="504"/>
      <c r="H221" s="504"/>
      <c r="I221" s="504"/>
      <c r="J221" s="504"/>
      <c r="K221" s="504"/>
      <c r="L221" s="504"/>
      <c r="M221" s="110"/>
      <c r="N221" s="109"/>
      <c r="O221" s="504"/>
      <c r="P221" s="107"/>
      <c r="Q221" s="504"/>
      <c r="R221" s="504"/>
      <c r="S221" s="504"/>
      <c r="T221" s="504"/>
      <c r="U221" s="504"/>
      <c r="V221" s="504"/>
      <c r="W221" s="504"/>
      <c r="X221" s="504"/>
      <c r="Y221" s="504"/>
      <c r="Z221" s="504"/>
    </row>
    <row r="222" spans="1:26" ht="11.25" customHeight="1">
      <c r="A222" s="13"/>
      <c r="B222" s="13" t="s">
        <v>36</v>
      </c>
      <c r="C222" s="13"/>
      <c r="D222" s="109"/>
      <c r="E222" s="504"/>
      <c r="F222" s="504"/>
      <c r="G222" s="504"/>
      <c r="H222" s="504"/>
      <c r="I222" s="504"/>
      <c r="J222" s="504"/>
      <c r="K222" s="504"/>
      <c r="L222" s="504"/>
      <c r="M222" s="110"/>
      <c r="N222" s="109"/>
      <c r="O222" s="504"/>
      <c r="P222" s="107"/>
      <c r="Q222" s="504"/>
      <c r="R222" s="504"/>
      <c r="S222" s="504"/>
      <c r="T222" s="504"/>
      <c r="U222" s="504"/>
      <c r="V222" s="504"/>
      <c r="W222" s="504"/>
      <c r="X222" s="504"/>
      <c r="Y222" s="504"/>
      <c r="Z222" s="504"/>
    </row>
    <row r="223" spans="1:26" ht="11.25" customHeight="1">
      <c r="A223" s="13"/>
      <c r="B223" s="13" t="s">
        <v>37</v>
      </c>
      <c r="C223" s="13"/>
      <c r="D223" s="109"/>
      <c r="E223" s="504"/>
      <c r="F223" s="504"/>
      <c r="G223" s="504"/>
      <c r="H223" s="504"/>
      <c r="I223" s="504"/>
      <c r="J223" s="504"/>
      <c r="K223" s="504"/>
      <c r="L223" s="504"/>
      <c r="M223" s="110"/>
      <c r="N223" s="109"/>
      <c r="O223" s="504"/>
      <c r="P223" s="107"/>
      <c r="Q223" s="504"/>
      <c r="R223" s="504"/>
      <c r="S223" s="504"/>
      <c r="T223" s="504"/>
      <c r="U223" s="504"/>
      <c r="V223" s="504"/>
      <c r="W223" s="504"/>
      <c r="X223" s="504"/>
      <c r="Y223" s="504"/>
      <c r="Z223" s="504"/>
    </row>
    <row r="224" spans="1:26" ht="11.25" customHeight="1">
      <c r="A224" s="2"/>
      <c r="B224" s="3" t="s">
        <v>38</v>
      </c>
      <c r="C224" s="3">
        <f t="shared" ref="C224:M224" si="50">SUM(C214:C223)</f>
        <v>1023</v>
      </c>
      <c r="D224" s="21">
        <f t="shared" si="50"/>
        <v>472</v>
      </c>
      <c r="E224" s="71">
        <f t="shared" si="50"/>
        <v>101</v>
      </c>
      <c r="F224" s="71">
        <f t="shared" si="50"/>
        <v>149</v>
      </c>
      <c r="G224" s="71">
        <f t="shared" si="50"/>
        <v>58</v>
      </c>
      <c r="H224" s="71">
        <f t="shared" si="50"/>
        <v>190</v>
      </c>
      <c r="I224" s="71">
        <f t="shared" si="50"/>
        <v>63</v>
      </c>
      <c r="J224" s="71">
        <f t="shared" si="50"/>
        <v>204</v>
      </c>
      <c r="K224" s="71">
        <f t="shared" si="50"/>
        <v>73</v>
      </c>
      <c r="L224" s="71">
        <f t="shared" si="50"/>
        <v>194</v>
      </c>
      <c r="M224" s="26">
        <f t="shared" si="50"/>
        <v>292</v>
      </c>
      <c r="N224" s="21">
        <f t="shared" ref="N224:N226" si="51">MIN(D224:M224)</f>
        <v>58</v>
      </c>
      <c r="O224" s="71">
        <f>C224-N224</f>
        <v>965</v>
      </c>
      <c r="P224" s="7">
        <f>O224/C224</f>
        <v>0.9433040078201369</v>
      </c>
      <c r="Q224" s="504"/>
      <c r="R224" s="504"/>
      <c r="S224" s="504"/>
      <c r="T224" s="504"/>
      <c r="U224" s="504"/>
      <c r="V224" s="504"/>
      <c r="W224" s="504"/>
      <c r="X224" s="504"/>
      <c r="Y224" s="504"/>
      <c r="Z224" s="504"/>
    </row>
    <row r="225" spans="1:26" ht="11.25" customHeight="1">
      <c r="A225" s="561" t="s">
        <v>44</v>
      </c>
      <c r="B225" s="24" t="s">
        <v>23</v>
      </c>
      <c r="C225" s="9">
        <f>SUM('By Lot'!E2912,'By Lot'!E2929,'By Lot'!E2946,'By Lot'!E2963,'By Lot'!E2980,'By Lot'!E3201,'By Lot'!E3269,'By Lot'!E3286,'By Lot'!E3303)</f>
        <v>266</v>
      </c>
      <c r="D225" s="118">
        <f>SUM('By Lot'!F2912,'By Lot'!F2929,'By Lot'!F2946,'By Lot'!F2963,'By Lot'!F2980,'By Lot'!F3201,'By Lot'!F3269,'By Lot'!F3286,'By Lot'!F3303)</f>
        <v>131</v>
      </c>
      <c r="E225" s="118">
        <f>SUM('By Lot'!G2912,'By Lot'!G2929,'By Lot'!G2946,'By Lot'!G2963,'By Lot'!G2980,'By Lot'!G3201,'By Lot'!G3269,'By Lot'!G3286,'By Lot'!G3303)</f>
        <v>119</v>
      </c>
      <c r="F225" s="118">
        <f>SUM('By Lot'!H2912,'By Lot'!H2929,'By Lot'!H2946,'By Lot'!H2963,'By Lot'!H2980,'By Lot'!H3201,'By Lot'!H3269,'By Lot'!H3286,'By Lot'!H3303)</f>
        <v>94</v>
      </c>
      <c r="G225" s="118">
        <f>SUM('By Lot'!I2912,'By Lot'!I2929,'By Lot'!I2946,'By Lot'!I2963,'By Lot'!I2980,'By Lot'!I3201,'By Lot'!I3269,'By Lot'!I3286,'By Lot'!I3303)</f>
        <v>97</v>
      </c>
      <c r="H225" s="118">
        <f>SUM('By Lot'!J2912,'By Lot'!J2929,'By Lot'!J2946,'By Lot'!J2963,'By Lot'!J2980,'By Lot'!J3201,'By Lot'!J3269,'By Lot'!J3286,'By Lot'!J3303)</f>
        <v>95</v>
      </c>
      <c r="I225" s="118">
        <f>SUM('By Lot'!K2912,'By Lot'!K2929,'By Lot'!K2946,'By Lot'!K2963,'By Lot'!K2980,'By Lot'!K3201,'By Lot'!K3269,'By Lot'!K3286,'By Lot'!K3303)</f>
        <v>103</v>
      </c>
      <c r="J225" s="118">
        <f>SUM('By Lot'!L2912,'By Lot'!L2929,'By Lot'!L2946,'By Lot'!L2963,'By Lot'!L2980,'By Lot'!L3201,'By Lot'!L3269,'By Lot'!L3286,'By Lot'!L3303)</f>
        <v>98</v>
      </c>
      <c r="K225" s="118">
        <f>SUM('By Lot'!M2912,'By Lot'!M2929,'By Lot'!M2946,'By Lot'!M2963,'By Lot'!M2980,'By Lot'!M3201,'By Lot'!M3269,'By Lot'!M3286,'By Lot'!M3303)</f>
        <v>121</v>
      </c>
      <c r="L225" s="118">
        <f>SUM('By Lot'!N2912,'By Lot'!N2929,'By Lot'!N2946,'By Lot'!N2963,'By Lot'!N2980,'By Lot'!N3201,'By Lot'!N3269,'By Lot'!N3286,'By Lot'!N3303)</f>
        <v>166</v>
      </c>
      <c r="M225" s="118">
        <f>SUM('By Lot'!O2912,'By Lot'!O2929,'By Lot'!O2946,'By Lot'!O2963,'By Lot'!O2980,'By Lot'!O3201,'By Lot'!O3269,'By Lot'!O3286,'By Lot'!O3303)</f>
        <v>189</v>
      </c>
      <c r="N225" s="119">
        <f t="shared" si="51"/>
        <v>94</v>
      </c>
      <c r="O225" s="118">
        <f>C225-N225</f>
        <v>172</v>
      </c>
      <c r="P225" s="120">
        <f>O225/C225</f>
        <v>0.64661654135338342</v>
      </c>
      <c r="Q225" s="504"/>
      <c r="R225" s="504"/>
      <c r="S225" s="504"/>
      <c r="T225" s="504"/>
      <c r="U225" s="504"/>
      <c r="V225" s="504"/>
      <c r="W225" s="504"/>
      <c r="X225" s="504"/>
      <c r="Y225" s="504"/>
      <c r="Z225" s="504"/>
    </row>
    <row r="226" spans="1:26" ht="11.25" customHeight="1">
      <c r="A226" s="103" t="s">
        <v>45</v>
      </c>
      <c r="B226" s="1" t="s">
        <v>25</v>
      </c>
      <c r="C226" s="10">
        <f>SUM('By Lot'!E2998,'By Lot'!E3015,'By Lot'!E3032,'By Lot'!E3049,'By Lot'!E3066,'By Lot'!E3083,'By Lot'!E3100,'By Lot'!E3117,'By Lot'!E3134,'By Lot'!E3151,'By Lot'!E3168,'By Lot'!E3202,'By Lot'!E3236,'By Lot'!E3304,'By Lot'!E3338,'By Lot'!E3355)</f>
        <v>1227</v>
      </c>
      <c r="D226" s="11">
        <f>SUM('By Lot'!F2998,'By Lot'!F3015,'By Lot'!F3032,'By Lot'!F3049,'By Lot'!F3066,'By Lot'!F3083,'By Lot'!F3100,'By Lot'!F3117,'By Lot'!F3134,'By Lot'!F3151,'By Lot'!F3168,'By Lot'!F3202,'By Lot'!F3236,'By Lot'!F3304,'By Lot'!F3338,'By Lot'!F3355)</f>
        <v>505</v>
      </c>
      <c r="E226" s="11">
        <f>SUM('By Lot'!G2998,'By Lot'!G3015,'By Lot'!G3032,'By Lot'!G3049,'By Lot'!G3066,'By Lot'!G3083,'By Lot'!G3100,'By Lot'!G3117,'By Lot'!G3134,'By Lot'!G3151,'By Lot'!G3168,'By Lot'!G3202,'By Lot'!G3236,'By Lot'!G3304,'By Lot'!G3338,'By Lot'!G3355)</f>
        <v>425</v>
      </c>
      <c r="F226" s="11">
        <f>SUM('By Lot'!H2998,'By Lot'!H3015,'By Lot'!H3032,'By Lot'!H3049,'By Lot'!H3066,'By Lot'!H3083,'By Lot'!H3100,'By Lot'!H3117,'By Lot'!H3134,'By Lot'!H3151,'By Lot'!H3168,'By Lot'!H3202,'By Lot'!H3236,'By Lot'!H3304,'By Lot'!H3338,'By Lot'!H3355)</f>
        <v>392</v>
      </c>
      <c r="G226" s="11">
        <f>SUM('By Lot'!I2998,'By Lot'!I3015,'By Lot'!I3032,'By Lot'!I3049,'By Lot'!I3066,'By Lot'!I3083,'By Lot'!I3100,'By Lot'!I3117,'By Lot'!I3134,'By Lot'!I3151,'By Lot'!I3168,'By Lot'!I3202,'By Lot'!I3236,'By Lot'!I3304,'By Lot'!I3338,'By Lot'!I3355)</f>
        <v>362</v>
      </c>
      <c r="H226" s="11">
        <f>SUM('By Lot'!J2998,'By Lot'!J3015,'By Lot'!J3032,'By Lot'!J3049,'By Lot'!J3066,'By Lot'!J3083,'By Lot'!J3100,'By Lot'!J3117,'By Lot'!J3134,'By Lot'!J3151,'By Lot'!J3168,'By Lot'!J3202,'By Lot'!J3236,'By Lot'!J3304,'By Lot'!J3338,'By Lot'!J3355)</f>
        <v>351</v>
      </c>
      <c r="I226" s="11">
        <f>SUM('By Lot'!K2998,'By Lot'!K3015,'By Lot'!K3032,'By Lot'!K3049,'By Lot'!K3066,'By Lot'!K3083,'By Lot'!K3100,'By Lot'!K3117,'By Lot'!K3134,'By Lot'!K3151,'By Lot'!K3168,'By Lot'!K3202,'By Lot'!K3236,'By Lot'!K3304,'By Lot'!K3338,'By Lot'!K3355)</f>
        <v>347</v>
      </c>
      <c r="J226" s="11">
        <f>SUM('By Lot'!L2998,'By Lot'!L3015,'By Lot'!L3032,'By Lot'!L3049,'By Lot'!L3066,'By Lot'!L3083,'By Lot'!L3100,'By Lot'!L3117,'By Lot'!L3134,'By Lot'!L3151,'By Lot'!L3168,'By Lot'!L3202,'By Lot'!L3236,'By Lot'!L3304,'By Lot'!L3338,'By Lot'!L3355)</f>
        <v>396</v>
      </c>
      <c r="K226" s="11">
        <f>SUM('By Lot'!M2998,'By Lot'!M3015,'By Lot'!M3032,'By Lot'!M3049,'By Lot'!M3066,'By Lot'!M3083,'By Lot'!M3100,'By Lot'!M3117,'By Lot'!M3134,'By Lot'!M3151,'By Lot'!M3168,'By Lot'!M3202,'By Lot'!M3236,'By Lot'!M3304,'By Lot'!M3338,'By Lot'!M3355)</f>
        <v>483</v>
      </c>
      <c r="L226" s="11">
        <f>SUM('By Lot'!N2998,'By Lot'!N3015,'By Lot'!N3032,'By Lot'!N3049,'By Lot'!N3066,'By Lot'!N3083,'By Lot'!N3100,'By Lot'!N3117,'By Lot'!N3134,'By Lot'!N3151,'By Lot'!N3168,'By Lot'!N3202,'By Lot'!N3236,'By Lot'!N3304,'By Lot'!N3338,'By Lot'!N3355)</f>
        <v>571</v>
      </c>
      <c r="M226" s="11">
        <f>SUM('By Lot'!O2998,'By Lot'!O3015,'By Lot'!O3032,'By Lot'!O3049,'By Lot'!O3066,'By Lot'!O3083,'By Lot'!O3100,'By Lot'!O3117,'By Lot'!O3134,'By Lot'!O3151,'By Lot'!O3168,'By Lot'!O3202,'By Lot'!O3236,'By Lot'!O3304,'By Lot'!O3338,'By Lot'!O3355)</f>
        <v>637</v>
      </c>
      <c r="N226" s="121">
        <f t="shared" si="51"/>
        <v>347</v>
      </c>
      <c r="O226" s="11">
        <f>C226-N226</f>
        <v>880</v>
      </c>
      <c r="P226" s="122">
        <f>O226/C226</f>
        <v>0.71719641401792988</v>
      </c>
      <c r="Q226" s="504"/>
      <c r="R226" s="504"/>
      <c r="S226" s="504"/>
      <c r="T226" s="504"/>
      <c r="U226" s="504"/>
      <c r="V226" s="504"/>
      <c r="W226" s="504"/>
      <c r="X226" s="504"/>
      <c r="Y226" s="504"/>
      <c r="Z226" s="504"/>
    </row>
    <row r="227" spans="1:26" ht="11.25" customHeight="1">
      <c r="A227" s="103" t="s">
        <v>46</v>
      </c>
      <c r="B227" s="1" t="s">
        <v>27</v>
      </c>
      <c r="C227" s="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40"/>
      <c r="O227" s="12"/>
      <c r="P227" s="123"/>
      <c r="Q227" s="504"/>
      <c r="R227" s="504"/>
      <c r="S227" s="504"/>
      <c r="T227" s="504"/>
      <c r="U227" s="504"/>
      <c r="V227" s="504"/>
      <c r="W227" s="504"/>
      <c r="X227" s="504"/>
      <c r="Y227" s="504"/>
      <c r="Z227" s="504"/>
    </row>
    <row r="228" spans="1:26" ht="11.25" customHeight="1">
      <c r="A228" s="374" t="s">
        <v>109</v>
      </c>
      <c r="B228" s="370" t="s">
        <v>31</v>
      </c>
      <c r="C228" s="371">
        <f>SUM('By Lot'!E2762,'By Lot'!E2779,'By Lot'!E2796,'By Lot'!E2813,'By Lot'!E2830,'By Lot'!E2847,'By Lot'!E2864)</f>
        <v>273</v>
      </c>
      <c r="D228" s="216">
        <f>SUM('By Lot'!F2762,'By Lot'!F2779,'By Lot'!F2796,'By Lot'!F2813,'By Lot'!F2830,'By Lot'!F2847,'By Lot'!F2864)</f>
        <v>168</v>
      </c>
      <c r="E228" s="216">
        <f>SUM('By Lot'!G2762,'By Lot'!G2779,'By Lot'!G2796,'By Lot'!G2813,'By Lot'!G2830,'By Lot'!G2847,'By Lot'!G2864)</f>
        <v>153</v>
      </c>
      <c r="F228" s="216">
        <f>SUM('By Lot'!H2762,'By Lot'!H2779,'By Lot'!H2796,'By Lot'!H2813,'By Lot'!H2830,'By Lot'!H2847,'By Lot'!H2864)</f>
        <v>151</v>
      </c>
      <c r="G228" s="216">
        <f>SUM('By Lot'!I2762,'By Lot'!I2779,'By Lot'!I2796,'By Lot'!I2813,'By Lot'!I2830,'By Lot'!I2847,'By Lot'!I2864)</f>
        <v>145</v>
      </c>
      <c r="H228" s="216">
        <f>SUM('By Lot'!J2762,'By Lot'!J2779,'By Lot'!J2796,'By Lot'!J2813,'By Lot'!J2830,'By Lot'!J2847,'By Lot'!J2864)</f>
        <v>148</v>
      </c>
      <c r="I228" s="216">
        <f>SUM('By Lot'!K2762,'By Lot'!K2779,'By Lot'!K2796,'By Lot'!K2813,'By Lot'!K2830,'By Lot'!K2847,'By Lot'!K2864)</f>
        <v>156</v>
      </c>
      <c r="J228" s="216">
        <f>SUM('By Lot'!L2762,'By Lot'!L2779,'By Lot'!L2796,'By Lot'!L2813,'By Lot'!L2830,'By Lot'!L2847,'By Lot'!L2864)</f>
        <v>168</v>
      </c>
      <c r="K228" s="216">
        <f>SUM('By Lot'!M2762,'By Lot'!M2779,'By Lot'!M2796,'By Lot'!M2813,'By Lot'!M2830,'By Lot'!M2847,'By Lot'!M2864)</f>
        <v>186</v>
      </c>
      <c r="L228" s="216">
        <f>SUM('By Lot'!N2762,'By Lot'!N2779,'By Lot'!N2796,'By Lot'!N2813,'By Lot'!N2830,'By Lot'!N2847,'By Lot'!N2864)</f>
        <v>214</v>
      </c>
      <c r="M228" s="216">
        <f>SUM('By Lot'!O2762,'By Lot'!O2779,'By Lot'!O2796,'By Lot'!O2813,'By Lot'!O2830,'By Lot'!O2847,'By Lot'!O2864)</f>
        <v>224</v>
      </c>
      <c r="N228" s="372">
        <f t="shared" ref="N228:N235" si="52">MIN(D228:M228)</f>
        <v>145</v>
      </c>
      <c r="O228" s="216">
        <f t="shared" ref="O228:O235" si="53">C228-N228</f>
        <v>128</v>
      </c>
      <c r="P228" s="373">
        <f t="shared" ref="P228:P235" si="54">O228/C228</f>
        <v>0.46886446886446886</v>
      </c>
      <c r="Q228" s="504"/>
      <c r="R228" s="504"/>
      <c r="S228" s="504"/>
      <c r="T228" s="504"/>
      <c r="U228" s="504"/>
      <c r="V228" s="504"/>
      <c r="W228" s="504"/>
      <c r="X228" s="504"/>
      <c r="Y228" s="504"/>
      <c r="Z228" s="504"/>
    </row>
    <row r="229" spans="1:26" ht="11.25" customHeight="1">
      <c r="A229" s="374" t="s">
        <v>110</v>
      </c>
      <c r="B229" s="1" t="s">
        <v>32</v>
      </c>
      <c r="C229" s="10">
        <f>SUM('By Lot'!E2900,'By Lot'!E3206,'By Lot'!E3240,'By Lot'!E3257, 'By Lot'!E3274,'By Lot'!E3308,'By Lot'!E3325,'By Lot'!E3326)</f>
        <v>100</v>
      </c>
      <c r="D229" s="11">
        <f>SUM('By Lot'!F2900,'By Lot'!F3206,'By Lot'!F3240,'By Lot'!F3257, 'By Lot'!F3274,'By Lot'!F3308,'By Lot'!F3325,'By Lot'!F3326)</f>
        <v>82</v>
      </c>
      <c r="E229" s="11">
        <f>SUM('By Lot'!G2900,'By Lot'!G3206,'By Lot'!G3240,'By Lot'!G3257, 'By Lot'!G3274,'By Lot'!G3308,'By Lot'!G3325,'By Lot'!G3326)</f>
        <v>75</v>
      </c>
      <c r="F229" s="11">
        <f>SUM('By Lot'!H2900,'By Lot'!H3206,'By Lot'!H3240,'By Lot'!H3257, 'By Lot'!H3274,'By Lot'!H3308,'By Lot'!H3325,'By Lot'!H3326)</f>
        <v>65</v>
      </c>
      <c r="G229" s="11">
        <f>SUM('By Lot'!I2900,'By Lot'!I3206,'By Lot'!I3240,'By Lot'!I3257, 'By Lot'!I3274,'By Lot'!I3308,'By Lot'!I3325,'By Lot'!I3326)</f>
        <v>64</v>
      </c>
      <c r="H229" s="11">
        <f>SUM('By Lot'!J2900,'By Lot'!J3206,'By Lot'!J3240,'By Lot'!J3257, 'By Lot'!J3274,'By Lot'!J3308,'By Lot'!J3325,'By Lot'!J3326)</f>
        <v>70</v>
      </c>
      <c r="I229" s="11">
        <f>SUM('By Lot'!K2900,'By Lot'!K3206,'By Lot'!K3240,'By Lot'!K3257, 'By Lot'!K3274,'By Lot'!K3308,'By Lot'!K3325,'By Lot'!K3326)</f>
        <v>69</v>
      </c>
      <c r="J229" s="11">
        <f>SUM('By Lot'!L2900,'By Lot'!L3206,'By Lot'!L3240,'By Lot'!L3257, 'By Lot'!L3274,'By Lot'!L3308,'By Lot'!L3325,'By Lot'!L3326)</f>
        <v>71</v>
      </c>
      <c r="K229" s="11">
        <f>SUM('By Lot'!M2900,'By Lot'!M3206,'By Lot'!M3240,'By Lot'!M3257, 'By Lot'!M3274,'By Lot'!M3308,'By Lot'!M3325,'By Lot'!M3326)</f>
        <v>74</v>
      </c>
      <c r="L229" s="11">
        <f>SUM('By Lot'!N2900,'By Lot'!N3206,'By Lot'!N3240,'By Lot'!N3257, 'By Lot'!N3274,'By Lot'!N3308,'By Lot'!N3325,'By Lot'!N3326)</f>
        <v>73</v>
      </c>
      <c r="M229" s="11">
        <f>SUM('By Lot'!O2900,'By Lot'!O3206,'By Lot'!O3240,'By Lot'!O3257, 'By Lot'!O3274,'By Lot'!O3308,'By Lot'!O3325,'By Lot'!O3326)</f>
        <v>78</v>
      </c>
      <c r="N229" s="121">
        <f t="shared" si="52"/>
        <v>64</v>
      </c>
      <c r="O229" s="11">
        <f t="shared" si="53"/>
        <v>36</v>
      </c>
      <c r="P229" s="122">
        <f t="shared" si="54"/>
        <v>0.36</v>
      </c>
      <c r="Q229" s="504"/>
      <c r="R229" s="504"/>
      <c r="S229" s="504"/>
      <c r="T229" s="504"/>
      <c r="U229" s="504"/>
      <c r="V229" s="504"/>
      <c r="W229" s="504"/>
      <c r="X229" s="504"/>
      <c r="Y229" s="504"/>
      <c r="Z229" s="504"/>
    </row>
    <row r="230" spans="1:26" ht="11.25" customHeight="1">
      <c r="A230" s="13"/>
      <c r="B230" s="1" t="s">
        <v>33</v>
      </c>
      <c r="C230" s="10">
        <f>SUM('By Lot'!E2867,'By Lot'!E2884,'By Lot'!E2901,'By Lot'!E3020,'By Lot'!E3021,'By Lot'!E3037,'By Lot'!E3190,'By Lot'!E3207,'By Lot'!E3208,'By Lot'!E3259, 'By Lot'!E3275,'By Lot'!E3309:'By Lot'!E3313)</f>
        <v>107</v>
      </c>
      <c r="D230" s="11">
        <f>SUM('By Lot'!F2867,'By Lot'!F2884,'By Lot'!F2901,'By Lot'!F3020,'By Lot'!F3021,'By Lot'!F3037,'By Lot'!F3190,'By Lot'!F3207,'By Lot'!F3208,'By Lot'!F3259, 'By Lot'!F3275,'By Lot'!F3309:'By Lot'!F3313)</f>
        <v>73</v>
      </c>
      <c r="E230" s="11">
        <f>SUM('By Lot'!G2867,'By Lot'!G2884,'By Lot'!G2901,'By Lot'!G3020,'By Lot'!G3021,'By Lot'!G3037,'By Lot'!G3190,'By Lot'!G3207,'By Lot'!G3208,'By Lot'!G3259, 'By Lot'!G3275,'By Lot'!G3309:'By Lot'!G3313)</f>
        <v>76</v>
      </c>
      <c r="F230" s="11">
        <f>SUM('By Lot'!H2867,'By Lot'!H2884,'By Lot'!H2901,'By Lot'!H3020,'By Lot'!H3021,'By Lot'!H3037,'By Lot'!H3190,'By Lot'!H3207,'By Lot'!H3208,'By Lot'!H3259, 'By Lot'!H3275,'By Lot'!H3309:'By Lot'!H3313)</f>
        <v>77</v>
      </c>
      <c r="G230" s="11">
        <f>SUM('By Lot'!I2867,'By Lot'!I2884,'By Lot'!I2901,'By Lot'!I3020,'By Lot'!I3021,'By Lot'!I3037,'By Lot'!I3190,'By Lot'!I3207,'By Lot'!I3208,'By Lot'!I3259, 'By Lot'!I3275,'By Lot'!I3309:'By Lot'!I3313)</f>
        <v>64</v>
      </c>
      <c r="H230" s="11">
        <f>SUM('By Lot'!J2867,'By Lot'!J2884,'By Lot'!J2901,'By Lot'!J3020,'By Lot'!J3021,'By Lot'!J3037,'By Lot'!J3190,'By Lot'!J3207,'By Lot'!J3208,'By Lot'!J3259, 'By Lot'!J3275,'By Lot'!J3309:'By Lot'!J3313)</f>
        <v>68</v>
      </c>
      <c r="I230" s="11">
        <f>SUM('By Lot'!K2867,'By Lot'!K2884,'By Lot'!K2901,'By Lot'!K3020,'By Lot'!K3021,'By Lot'!K3037,'By Lot'!K3190,'By Lot'!K3207,'By Lot'!K3208,'By Lot'!K3259, 'By Lot'!K3275,'By Lot'!K3309:'By Lot'!K3313)</f>
        <v>68</v>
      </c>
      <c r="J230" s="11">
        <f>SUM('By Lot'!L2867,'By Lot'!L2884,'By Lot'!L2901,'By Lot'!L3020,'By Lot'!L3021,'By Lot'!L3037,'By Lot'!L3190,'By Lot'!L3207,'By Lot'!L3208,'By Lot'!L3259, 'By Lot'!L3275,'By Lot'!L3309:'By Lot'!L3313)</f>
        <v>68</v>
      </c>
      <c r="K230" s="11">
        <f>SUM('By Lot'!M2867,'By Lot'!M2884,'By Lot'!M2901,'By Lot'!M3020,'By Lot'!M3021,'By Lot'!M3037,'By Lot'!M3190,'By Lot'!M3207,'By Lot'!M3208,'By Lot'!M3259, 'By Lot'!M3275,'By Lot'!M3309:'By Lot'!M3313)</f>
        <v>70</v>
      </c>
      <c r="L230" s="11">
        <f>SUM('By Lot'!N2867,'By Lot'!N2884,'By Lot'!N2901,'By Lot'!N3020,'By Lot'!N3021,'By Lot'!N3037,'By Lot'!N3190,'By Lot'!N3207,'By Lot'!N3208,'By Lot'!N3259, 'By Lot'!N3275,'By Lot'!N3309:'By Lot'!N3313)</f>
        <v>75</v>
      </c>
      <c r="M230" s="11">
        <f>SUM('By Lot'!O2867,'By Lot'!O2884,'By Lot'!O2901,'By Lot'!O3020,'By Lot'!O3021,'By Lot'!O3037,'By Lot'!O3190,'By Lot'!O3207,'By Lot'!O3208,'By Lot'!O3259, 'By Lot'!O3275,'By Lot'!O3309:'By Lot'!O3313)</f>
        <v>81</v>
      </c>
      <c r="N230" s="121">
        <f t="shared" si="52"/>
        <v>64</v>
      </c>
      <c r="O230" s="11">
        <f t="shared" si="53"/>
        <v>43</v>
      </c>
      <c r="P230" s="122">
        <f t="shared" si="54"/>
        <v>0.40186915887850466</v>
      </c>
      <c r="Q230" s="504"/>
      <c r="R230" s="504"/>
      <c r="S230" s="504"/>
      <c r="T230" s="504"/>
      <c r="U230" s="504"/>
      <c r="V230" s="504"/>
      <c r="W230" s="504"/>
      <c r="X230" s="504"/>
      <c r="Y230" s="504"/>
      <c r="Z230" s="504"/>
    </row>
    <row r="231" spans="1:26" ht="11.25" customHeight="1">
      <c r="A231" s="103"/>
      <c r="B231" s="1" t="s">
        <v>34</v>
      </c>
      <c r="C231" s="10">
        <f>SUM('By Lot'!E2890,'By Lot'!E2924,'By Lot'!E2958,'By Lot'!E2992,'By Lot'!E3009,'By Lot'!E3026,'By Lot'!E3094,'By Lot'!E3196,'By Lot'!E3213,'By Lot'!E3247,'By Lot'!E3264,'By Lot'!E3281,'By Lot'!E3315)</f>
        <v>43</v>
      </c>
      <c r="D231" s="11">
        <f>SUM('By Lot'!F2890,'By Lot'!F2924,'By Lot'!F2958,'By Lot'!F2992,'By Lot'!F3009,'By Lot'!F3026,'By Lot'!F3094,'By Lot'!F3196,'By Lot'!F3213,'By Lot'!F3247,'By Lot'!F3264,'By Lot'!F3281,'By Lot'!F3315)</f>
        <v>14</v>
      </c>
      <c r="E231" s="11">
        <f>SUM('By Lot'!G2890,'By Lot'!G2924,'By Lot'!G2958,'By Lot'!G2992,'By Lot'!G3009,'By Lot'!G3026,'By Lot'!G3094,'By Lot'!G3196,'By Lot'!G3213,'By Lot'!G3247,'By Lot'!G3264,'By Lot'!G3281,'By Lot'!G3315)</f>
        <v>15</v>
      </c>
      <c r="F231" s="11">
        <f>SUM('By Lot'!H2890,'By Lot'!H2924,'By Lot'!H2958,'By Lot'!H2992,'By Lot'!H3009,'By Lot'!H3026,'By Lot'!H3094,'By Lot'!H3196,'By Lot'!H3213,'By Lot'!H3247,'By Lot'!H3264,'By Lot'!H3281,'By Lot'!H3315)</f>
        <v>15</v>
      </c>
      <c r="G231" s="11">
        <f>SUM('By Lot'!I2890,'By Lot'!I2924,'By Lot'!I2958,'By Lot'!I2992,'By Lot'!I3009,'By Lot'!I3026,'By Lot'!I3094,'By Lot'!I3196,'By Lot'!I3213,'By Lot'!I3247,'By Lot'!I3264,'By Lot'!I3281,'By Lot'!I3315)</f>
        <v>16</v>
      </c>
      <c r="H231" s="11">
        <f>SUM('By Lot'!J2890,'By Lot'!J2924,'By Lot'!J2958,'By Lot'!J2992,'By Lot'!J3009,'By Lot'!J3026,'By Lot'!J3094,'By Lot'!J3196,'By Lot'!J3213,'By Lot'!J3247,'By Lot'!J3264,'By Lot'!J3281,'By Lot'!J3315)</f>
        <v>22</v>
      </c>
      <c r="I231" s="11">
        <f>SUM('By Lot'!K2890,'By Lot'!K2924,'By Lot'!K2958,'By Lot'!K2992,'By Lot'!K3009,'By Lot'!K3026,'By Lot'!K3094,'By Lot'!K3196,'By Lot'!K3213,'By Lot'!K3247,'By Lot'!K3264,'By Lot'!K3281,'By Lot'!K3315)</f>
        <v>23</v>
      </c>
      <c r="J231" s="11">
        <f>SUM('By Lot'!L2890,'By Lot'!L2924,'By Lot'!L2958,'By Lot'!L2992,'By Lot'!L3009,'By Lot'!L3026,'By Lot'!L3094,'By Lot'!L3196,'By Lot'!L3213,'By Lot'!L3247,'By Lot'!L3264,'By Lot'!L3281,'By Lot'!L3315)</f>
        <v>25</v>
      </c>
      <c r="K231" s="11">
        <f>SUM('By Lot'!M2890,'By Lot'!M2924,'By Lot'!M2958,'By Lot'!M2992,'By Lot'!M3009,'By Lot'!M3026,'By Lot'!M3094,'By Lot'!M3196,'By Lot'!M3213,'By Lot'!M3247,'By Lot'!M3264,'By Lot'!M3281,'By Lot'!M3315)</f>
        <v>26</v>
      </c>
      <c r="L231" s="11">
        <f>SUM('By Lot'!N2890,'By Lot'!N2924,'By Lot'!N2958,'By Lot'!N2992,'By Lot'!N3009,'By Lot'!N3026,'By Lot'!N3094,'By Lot'!N3196,'By Lot'!N3213,'By Lot'!N3247,'By Lot'!N3264,'By Lot'!N3281,'By Lot'!N3315)</f>
        <v>22</v>
      </c>
      <c r="M231" s="11">
        <f>SUM('By Lot'!O2890,'By Lot'!O2924,'By Lot'!O2958,'By Lot'!O2992,'By Lot'!O3009,'By Lot'!O3026,'By Lot'!O3094,'By Lot'!O3196,'By Lot'!O3213,'By Lot'!O3247,'By Lot'!O3264,'By Lot'!O3281,'By Lot'!O3315)</f>
        <v>24</v>
      </c>
      <c r="N231" s="121">
        <f t="shared" si="52"/>
        <v>14</v>
      </c>
      <c r="O231" s="11">
        <f t="shared" si="53"/>
        <v>29</v>
      </c>
      <c r="P231" s="122">
        <f t="shared" si="54"/>
        <v>0.67441860465116277</v>
      </c>
      <c r="Q231" s="504"/>
      <c r="R231" s="504"/>
      <c r="S231" s="504"/>
      <c r="T231" s="504"/>
      <c r="U231" s="504"/>
      <c r="V231" s="504"/>
      <c r="W231" s="504"/>
      <c r="X231" s="504"/>
      <c r="Y231" s="504"/>
      <c r="Z231" s="504"/>
    </row>
    <row r="232" spans="1:26" ht="11.25" customHeight="1">
      <c r="A232" s="103"/>
      <c r="B232" s="1" t="s">
        <v>35</v>
      </c>
      <c r="C232" s="10">
        <f>SUM('By Lot'!E2891,'By Lot'!E3248,'By Lot'!E3282,'By Lot'!E3316)</f>
        <v>14</v>
      </c>
      <c r="D232" s="11">
        <f>SUM('By Lot'!F2891,'By Lot'!F3248,'By Lot'!F3282,'By Lot'!F3316)</f>
        <v>8</v>
      </c>
      <c r="E232" s="11">
        <f>SUM('By Lot'!G2891,'By Lot'!G3248,'By Lot'!G3282,'By Lot'!G3316)</f>
        <v>8</v>
      </c>
      <c r="F232" s="11">
        <f>SUM('By Lot'!H2891,'By Lot'!H3248,'By Lot'!H3282,'By Lot'!H3316)</f>
        <v>9</v>
      </c>
      <c r="G232" s="11">
        <f>SUM('By Lot'!I2891,'By Lot'!I3248,'By Lot'!I3282,'By Lot'!I3316)</f>
        <v>5</v>
      </c>
      <c r="H232" s="11">
        <f>SUM('By Lot'!J2891,'By Lot'!J3248,'By Lot'!J3282,'By Lot'!J3316)</f>
        <v>6</v>
      </c>
      <c r="I232" s="11">
        <f>SUM('By Lot'!K2891,'By Lot'!K3248,'By Lot'!K3282,'By Lot'!K3316)</f>
        <v>3</v>
      </c>
      <c r="J232" s="11">
        <f>SUM('By Lot'!L2891,'By Lot'!L3248,'By Lot'!L3282,'By Lot'!L3316)</f>
        <v>3</v>
      </c>
      <c r="K232" s="11">
        <f>SUM('By Lot'!M2891,'By Lot'!M3248,'By Lot'!M3282,'By Lot'!M3316)</f>
        <v>6</v>
      </c>
      <c r="L232" s="11">
        <f>SUM('By Lot'!N2891,'By Lot'!N3248,'By Lot'!N3282,'By Lot'!N3316)</f>
        <v>6</v>
      </c>
      <c r="M232" s="11">
        <f>SUM('By Lot'!O2891,'By Lot'!O3248,'By Lot'!O3282,'By Lot'!O3316)</f>
        <v>4</v>
      </c>
      <c r="N232" s="121">
        <f t="shared" si="52"/>
        <v>3</v>
      </c>
      <c r="O232" s="11">
        <f t="shared" si="53"/>
        <v>11</v>
      </c>
      <c r="P232" s="122">
        <f t="shared" si="54"/>
        <v>0.7857142857142857</v>
      </c>
      <c r="Q232" s="504"/>
      <c r="R232" s="504"/>
      <c r="S232" s="504"/>
      <c r="T232" s="504"/>
      <c r="U232" s="504"/>
      <c r="V232" s="504"/>
      <c r="W232" s="504"/>
      <c r="X232" s="504"/>
      <c r="Y232" s="504"/>
      <c r="Z232" s="504"/>
    </row>
    <row r="233" spans="1:26" ht="11.25" customHeight="1">
      <c r="A233" s="103"/>
      <c r="B233" s="1" t="s">
        <v>36</v>
      </c>
      <c r="C233" s="10">
        <f>SUM('By Lot'!E3232,'By Lot'!E3283,'By Lot'!E3300)</f>
        <v>12</v>
      </c>
      <c r="D233" s="11">
        <f>SUM('By Lot'!F3232,'By Lot'!F3283,'By Lot'!F3300)</f>
        <v>9</v>
      </c>
      <c r="E233" s="11">
        <f>SUM('By Lot'!G3232,'By Lot'!G3283,'By Lot'!G3300)</f>
        <v>9</v>
      </c>
      <c r="F233" s="11">
        <f>SUM('By Lot'!H3232,'By Lot'!H3283,'By Lot'!H3300)</f>
        <v>9</v>
      </c>
      <c r="G233" s="11">
        <f>SUM('By Lot'!I3232,'By Lot'!I3283,'By Lot'!I3300)</f>
        <v>9</v>
      </c>
      <c r="H233" s="11">
        <f>SUM('By Lot'!J3232,'By Lot'!J3283,'By Lot'!J3300)</f>
        <v>7</v>
      </c>
      <c r="I233" s="11">
        <f>SUM('By Lot'!K3232,'By Lot'!K3283,'By Lot'!K3300)</f>
        <v>6</v>
      </c>
      <c r="J233" s="11">
        <f>SUM('By Lot'!L3232,'By Lot'!L3283,'By Lot'!L3300)</f>
        <v>6</v>
      </c>
      <c r="K233" s="11">
        <f>SUM('By Lot'!M3232,'By Lot'!M3283,'By Lot'!M3300)</f>
        <v>8</v>
      </c>
      <c r="L233" s="11">
        <f>SUM('By Lot'!N3232,'By Lot'!N3283,'By Lot'!N3300)</f>
        <v>8</v>
      </c>
      <c r="M233" s="11">
        <f>SUM('By Lot'!O3232,'By Lot'!O3283,'By Lot'!O3300)</f>
        <v>6</v>
      </c>
      <c r="N233" s="121">
        <f t="shared" si="52"/>
        <v>6</v>
      </c>
      <c r="O233" s="11">
        <f t="shared" si="53"/>
        <v>6</v>
      </c>
      <c r="P233" s="122">
        <f t="shared" si="54"/>
        <v>0.5</v>
      </c>
      <c r="Q233" s="504"/>
      <c r="R233" s="504"/>
      <c r="S233" s="504"/>
      <c r="T233" s="504"/>
      <c r="U233" s="504"/>
      <c r="V233" s="504"/>
      <c r="W233" s="504"/>
      <c r="X233" s="504"/>
      <c r="Y233" s="504"/>
      <c r="Z233" s="504"/>
    </row>
    <row r="234" spans="1:26" ht="11.25" customHeight="1">
      <c r="A234" s="103"/>
      <c r="B234" s="25" t="s">
        <v>37</v>
      </c>
      <c r="C234" s="14">
        <f>SUM('By Lot'!E3233,'By Lot'!E3284,'By Lot'!E3318)</f>
        <v>6</v>
      </c>
      <c r="D234" s="11">
        <f>SUM('By Lot'!F3233,'By Lot'!F3284,'By Lot'!F3318)</f>
        <v>2</v>
      </c>
      <c r="E234" s="11">
        <f>SUM('By Lot'!G3233,'By Lot'!G3284,'By Lot'!G3318)</f>
        <v>2</v>
      </c>
      <c r="F234" s="11">
        <f>SUM('By Lot'!H3233,'By Lot'!H3284,'By Lot'!H3318)</f>
        <v>2</v>
      </c>
      <c r="G234" s="11">
        <f>SUM('By Lot'!I3233,'By Lot'!I3284,'By Lot'!I3318)</f>
        <v>0</v>
      </c>
      <c r="H234" s="11">
        <f>SUM('By Lot'!J3233,'By Lot'!J3284,'By Lot'!J3318)</f>
        <v>2</v>
      </c>
      <c r="I234" s="11">
        <f>SUM('By Lot'!K3233,'By Lot'!K3284,'By Lot'!K3318)</f>
        <v>2</v>
      </c>
      <c r="J234" s="11">
        <f>SUM('By Lot'!L3233,'By Lot'!L3284,'By Lot'!L3318)</f>
        <v>2</v>
      </c>
      <c r="K234" s="11">
        <f>SUM('By Lot'!M3233,'By Lot'!M3284,'By Lot'!M3318)</f>
        <v>1</v>
      </c>
      <c r="L234" s="11">
        <f>SUM('By Lot'!N3233,'By Lot'!N3284,'By Lot'!N3318)</f>
        <v>2</v>
      </c>
      <c r="M234" s="11">
        <f>SUM('By Lot'!O3233,'By Lot'!O3284,'By Lot'!O3318)</f>
        <v>3</v>
      </c>
      <c r="N234" s="121">
        <f t="shared" si="52"/>
        <v>0</v>
      </c>
      <c r="O234" s="11">
        <f t="shared" si="53"/>
        <v>6</v>
      </c>
      <c r="P234" s="122">
        <f t="shared" si="54"/>
        <v>1</v>
      </c>
      <c r="Q234" s="504"/>
      <c r="R234" s="504"/>
      <c r="S234" s="504"/>
      <c r="T234" s="504"/>
      <c r="U234" s="504"/>
      <c r="V234" s="504"/>
      <c r="W234" s="504"/>
      <c r="X234" s="504"/>
      <c r="Y234" s="504"/>
      <c r="Z234" s="504"/>
    </row>
    <row r="235" spans="1:26" ht="11.25" customHeight="1">
      <c r="A235" s="124"/>
      <c r="B235" s="6" t="s">
        <v>38</v>
      </c>
      <c r="C235" s="28">
        <f t="shared" ref="C235:M235" si="55">SUM(C225:C234)</f>
        <v>2048</v>
      </c>
      <c r="D235" s="16">
        <f t="shared" si="55"/>
        <v>992</v>
      </c>
      <c r="E235" s="16">
        <f t="shared" si="55"/>
        <v>882</v>
      </c>
      <c r="F235" s="16">
        <f t="shared" si="55"/>
        <v>814</v>
      </c>
      <c r="G235" s="16">
        <f t="shared" si="55"/>
        <v>762</v>
      </c>
      <c r="H235" s="16">
        <f t="shared" si="55"/>
        <v>769</v>
      </c>
      <c r="I235" s="16">
        <f t="shared" si="55"/>
        <v>777</v>
      </c>
      <c r="J235" s="16">
        <f t="shared" si="55"/>
        <v>837</v>
      </c>
      <c r="K235" s="16">
        <f t="shared" si="55"/>
        <v>975</v>
      </c>
      <c r="L235" s="16">
        <f t="shared" si="55"/>
        <v>1137</v>
      </c>
      <c r="M235" s="16">
        <f t="shared" si="55"/>
        <v>1246</v>
      </c>
      <c r="N235" s="17">
        <f t="shared" si="52"/>
        <v>762</v>
      </c>
      <c r="O235" s="16">
        <f t="shared" si="53"/>
        <v>1286</v>
      </c>
      <c r="P235" s="59">
        <f t="shared" si="54"/>
        <v>0.6279296875</v>
      </c>
      <c r="Q235" s="504"/>
      <c r="R235" s="504"/>
      <c r="S235" s="504"/>
      <c r="T235" s="504"/>
      <c r="U235" s="504"/>
      <c r="V235" s="504"/>
      <c r="W235" s="504"/>
      <c r="X235" s="504"/>
      <c r="Y235" s="504"/>
      <c r="Z235" s="504"/>
    </row>
    <row r="236" spans="1:26" s="533" customFormat="1" ht="11.25" customHeight="1">
      <c r="A236" s="555"/>
      <c r="B236" s="562"/>
      <c r="C236" s="563"/>
      <c r="D236" s="563"/>
      <c r="E236" s="563"/>
      <c r="F236" s="563"/>
      <c r="G236" s="563"/>
      <c r="H236" s="563"/>
      <c r="I236" s="563"/>
      <c r="J236" s="563"/>
      <c r="K236" s="563"/>
      <c r="L236" s="563"/>
      <c r="M236" s="563"/>
      <c r="N236" s="563"/>
      <c r="O236" s="563"/>
      <c r="P236" s="564"/>
      <c r="Q236" s="534"/>
      <c r="R236" s="534"/>
      <c r="S236" s="534"/>
      <c r="T236" s="534"/>
      <c r="U236" s="534"/>
      <c r="V236" s="534"/>
      <c r="W236" s="534"/>
      <c r="X236" s="534"/>
      <c r="Y236" s="534"/>
      <c r="Z236" s="534"/>
    </row>
    <row r="237" spans="1:26" ht="11.25" customHeight="1">
      <c r="A237" s="504"/>
      <c r="B237" s="504"/>
      <c r="C237" s="504"/>
      <c r="D237" s="504"/>
      <c r="E237" s="504"/>
      <c r="F237" s="504"/>
      <c r="G237" s="504"/>
      <c r="H237" s="504"/>
      <c r="I237" s="504"/>
      <c r="J237" s="504"/>
      <c r="K237" s="504"/>
      <c r="L237" s="504"/>
      <c r="M237" s="504"/>
      <c r="N237" s="504"/>
      <c r="O237" s="504"/>
      <c r="P237" s="504"/>
      <c r="Q237" s="504"/>
      <c r="R237" s="504"/>
      <c r="S237" s="504"/>
      <c r="T237" s="504"/>
      <c r="U237" s="504"/>
      <c r="V237" s="504"/>
      <c r="W237" s="504"/>
      <c r="X237" s="504"/>
      <c r="Y237" s="504"/>
      <c r="Z237" s="504"/>
    </row>
    <row r="238" spans="1:26" ht="15.75" customHeight="1">
      <c r="A238" s="503"/>
      <c r="B238" s="503"/>
      <c r="C238" s="503"/>
      <c r="D238" s="503"/>
      <c r="E238" s="503"/>
      <c r="F238" s="503"/>
      <c r="G238" s="503"/>
      <c r="H238" s="503"/>
      <c r="I238" s="503"/>
      <c r="J238" s="503"/>
      <c r="K238" s="503"/>
      <c r="L238" s="503"/>
      <c r="M238" s="503"/>
      <c r="N238" s="503"/>
      <c r="O238" s="503"/>
      <c r="P238" s="503"/>
      <c r="Q238" s="503"/>
      <c r="R238" s="503"/>
      <c r="S238" s="503"/>
      <c r="T238" s="503"/>
      <c r="U238" s="503"/>
      <c r="V238" s="503"/>
      <c r="W238" s="503"/>
      <c r="X238" s="503"/>
      <c r="Y238" s="503"/>
      <c r="Z238" s="503"/>
    </row>
    <row r="239" spans="1:26" ht="15.75" customHeight="1">
      <c r="A239" s="503"/>
      <c r="B239" s="503"/>
      <c r="C239" s="503"/>
      <c r="D239" s="503"/>
      <c r="E239" s="503"/>
      <c r="F239" s="503"/>
      <c r="G239" s="503"/>
      <c r="H239" s="503"/>
      <c r="I239" s="503"/>
      <c r="J239" s="503"/>
      <c r="K239" s="503"/>
      <c r="L239" s="503"/>
      <c r="M239" s="503"/>
      <c r="N239" s="503"/>
      <c r="O239" s="503"/>
      <c r="P239" s="503"/>
      <c r="Q239" s="503"/>
      <c r="R239" s="503"/>
      <c r="S239" s="503"/>
      <c r="T239" s="503"/>
      <c r="U239" s="503"/>
      <c r="V239" s="503"/>
      <c r="W239" s="503"/>
      <c r="X239" s="503"/>
      <c r="Y239" s="503"/>
      <c r="Z239" s="503"/>
    </row>
    <row r="240" spans="1:26" ht="15.75" customHeight="1">
      <c r="A240" s="503"/>
      <c r="B240" s="503"/>
      <c r="C240" s="503"/>
      <c r="D240" s="503"/>
      <c r="E240" s="503"/>
      <c r="F240" s="503"/>
      <c r="G240" s="503"/>
      <c r="H240" s="503"/>
      <c r="I240" s="503"/>
      <c r="J240" s="503"/>
      <c r="K240" s="503"/>
      <c r="L240" s="503"/>
      <c r="M240" s="503"/>
      <c r="N240" s="503"/>
      <c r="O240" s="503"/>
      <c r="P240" s="503"/>
      <c r="Q240" s="503"/>
      <c r="R240" s="503"/>
      <c r="S240" s="503"/>
      <c r="T240" s="503"/>
      <c r="U240" s="503"/>
      <c r="V240" s="503"/>
      <c r="W240" s="503"/>
      <c r="X240" s="503"/>
      <c r="Y240" s="503"/>
      <c r="Z240" s="503"/>
    </row>
    <row r="241" spans="1:26" ht="15.75" customHeight="1">
      <c r="A241" s="503"/>
      <c r="B241" s="503"/>
      <c r="C241" s="503"/>
      <c r="D241" s="503"/>
      <c r="E241" s="503"/>
      <c r="F241" s="503"/>
      <c r="G241" s="503"/>
      <c r="H241" s="503"/>
      <c r="I241" s="503"/>
      <c r="J241" s="503"/>
      <c r="K241" s="503"/>
      <c r="L241" s="503"/>
      <c r="M241" s="503"/>
      <c r="N241" s="503"/>
      <c r="O241" s="503"/>
      <c r="P241" s="503"/>
      <c r="Q241" s="503"/>
      <c r="R241" s="503"/>
      <c r="S241" s="503"/>
      <c r="T241" s="503"/>
      <c r="U241" s="503"/>
      <c r="V241" s="503"/>
      <c r="W241" s="503"/>
      <c r="X241" s="503"/>
      <c r="Y241" s="503"/>
      <c r="Z241" s="503"/>
    </row>
    <row r="242" spans="1:26" ht="15.75" customHeight="1"/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8" manualBreakCount="8">
    <brk id="39" max="16383" man="1"/>
    <brk id="74" man="1"/>
    <brk id="110" max="16383" man="1"/>
    <brk id="133" max="16383" man="1"/>
    <brk id="156" max="15" man="1"/>
    <brk id="180" max="16383" man="1"/>
    <brk id="202" max="16383" man="1"/>
    <brk id="2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395"/>
  <sheetViews>
    <sheetView showGridLines="0" topLeftCell="C1" zoomScale="110" zoomScaleNormal="110" zoomScaleSheetLayoutView="90" workbookViewId="0">
      <pane ySplit="6" topLeftCell="A7" activePane="bottomLeft" state="frozen"/>
      <selection activeCell="D1" sqref="D1"/>
      <selection pane="bottomLeft" activeCell="C7" sqref="C7"/>
    </sheetView>
  </sheetViews>
  <sheetFormatPr defaultColWidth="14.453125" defaultRowHeight="15" customHeight="1"/>
  <cols>
    <col min="1" max="1" width="0" style="378" hidden="1" customWidth="1"/>
    <col min="2" max="2" width="14.453125" style="378" hidden="1" customWidth="1"/>
    <col min="3" max="3" width="9" customWidth="1"/>
    <col min="4" max="4" width="20" customWidth="1"/>
    <col min="5" max="5" width="7" customWidth="1"/>
    <col min="6" max="6" width="4.54296875" bestFit="1" customWidth="1"/>
    <col min="7" max="8" width="4.90625" customWidth="1"/>
    <col min="9" max="9" width="5" customWidth="1"/>
    <col min="10" max="10" width="5.453125" customWidth="1"/>
    <col min="11" max="14" width="4.453125" customWidth="1"/>
    <col min="15" max="15" width="5" customWidth="1"/>
    <col min="16" max="16" width="6.453125" customWidth="1"/>
    <col min="17" max="18" width="7.90625" customWidth="1"/>
    <col min="19" max="19" width="2.453125" customWidth="1"/>
    <col min="20" max="20" width="5.81640625" style="547" customWidth="1"/>
    <col min="21" max="21" width="7.90625" style="547" customWidth="1"/>
    <col min="22" max="24" width="7.90625" customWidth="1"/>
  </cols>
  <sheetData>
    <row r="1" spans="2:18" ht="14">
      <c r="B1" s="503"/>
      <c r="C1" s="565" t="str">
        <f>'University-wide'!A1</f>
        <v>University of California, San Diego Survey of Parking Space Occupancy Levels, Spring 2021</v>
      </c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66"/>
      <c r="R1" s="566"/>
    </row>
    <row r="2" spans="2:18" ht="14">
      <c r="B2" s="503"/>
      <c r="C2" s="565" t="s">
        <v>111</v>
      </c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</row>
    <row r="3" spans="2:18" ht="6.75" customHeight="1">
      <c r="B3" s="503"/>
      <c r="C3" s="504"/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</row>
    <row r="4" spans="2:18" ht="12.75" customHeight="1">
      <c r="B4" s="503"/>
      <c r="C4" s="92" t="s">
        <v>112</v>
      </c>
      <c r="D4" s="92" t="s">
        <v>2</v>
      </c>
      <c r="E4" s="92" t="s">
        <v>2</v>
      </c>
      <c r="F4" s="568" t="s">
        <v>3</v>
      </c>
      <c r="G4" s="569"/>
      <c r="H4" s="569"/>
      <c r="I4" s="569"/>
      <c r="J4" s="569"/>
      <c r="K4" s="569"/>
      <c r="L4" s="569"/>
      <c r="M4" s="569"/>
      <c r="N4" s="569"/>
      <c r="O4" s="570"/>
      <c r="P4" s="568" t="s">
        <v>4</v>
      </c>
      <c r="Q4" s="569"/>
      <c r="R4" s="570"/>
    </row>
    <row r="5" spans="2:18" ht="9.75" customHeight="1">
      <c r="B5" s="503"/>
      <c r="C5" s="93"/>
      <c r="D5" s="93" t="s">
        <v>5</v>
      </c>
      <c r="E5" s="93" t="s">
        <v>6</v>
      </c>
      <c r="F5" s="94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95" t="s">
        <v>12</v>
      </c>
      <c r="L5" s="95" t="s">
        <v>13</v>
      </c>
      <c r="M5" s="95" t="s">
        <v>14</v>
      </c>
      <c r="N5" s="95" t="s">
        <v>15</v>
      </c>
      <c r="O5" s="96" t="s">
        <v>16</v>
      </c>
      <c r="P5" s="97" t="s">
        <v>17</v>
      </c>
      <c r="Q5" s="98" t="s">
        <v>18</v>
      </c>
      <c r="R5" s="99" t="s">
        <v>19</v>
      </c>
    </row>
    <row r="6" spans="2:18" ht="9.75" customHeight="1">
      <c r="B6" s="503" t="s">
        <v>113</v>
      </c>
      <c r="C6" s="100"/>
      <c r="D6" s="100"/>
      <c r="E6" s="100"/>
      <c r="F6" s="101" t="s">
        <v>20</v>
      </c>
      <c r="G6" s="102" t="s">
        <v>20</v>
      </c>
      <c r="H6" s="102" t="s">
        <v>20</v>
      </c>
      <c r="I6" s="102" t="s">
        <v>20</v>
      </c>
      <c r="J6" s="102" t="s">
        <v>21</v>
      </c>
      <c r="K6" s="102" t="s">
        <v>21</v>
      </c>
      <c r="L6" s="102" t="s">
        <v>21</v>
      </c>
      <c r="M6" s="102" t="s">
        <v>21</v>
      </c>
      <c r="N6" s="102" t="s">
        <v>21</v>
      </c>
      <c r="O6" s="81" t="s">
        <v>21</v>
      </c>
      <c r="P6" s="101" t="s">
        <v>6</v>
      </c>
      <c r="Q6" s="102" t="s">
        <v>6</v>
      </c>
      <c r="R6" s="81" t="s">
        <v>18</v>
      </c>
    </row>
    <row r="7" spans="2:18" ht="9.75" customHeight="1">
      <c r="B7" s="503"/>
      <c r="C7" s="445" t="s">
        <v>114</v>
      </c>
      <c r="D7" s="43" t="s">
        <v>23</v>
      </c>
      <c r="E7" s="43"/>
      <c r="F7" s="116"/>
      <c r="G7" s="128"/>
      <c r="H7" s="128"/>
      <c r="I7" s="128"/>
      <c r="J7" s="128"/>
      <c r="K7" s="128"/>
      <c r="L7" s="128"/>
      <c r="M7" s="128"/>
      <c r="N7" s="128"/>
      <c r="O7" s="129"/>
      <c r="P7" s="116"/>
      <c r="Q7" s="128"/>
      <c r="R7" s="141"/>
    </row>
    <row r="8" spans="2:18" ht="9.75" customHeight="1">
      <c r="B8" s="503"/>
      <c r="C8" s="446"/>
      <c r="D8" s="13" t="s">
        <v>25</v>
      </c>
      <c r="E8" s="13"/>
      <c r="F8" s="109"/>
      <c r="G8" s="504"/>
      <c r="H8" s="504"/>
      <c r="I8" s="504"/>
      <c r="J8" s="504"/>
      <c r="K8" s="504"/>
      <c r="L8" s="504"/>
      <c r="M8" s="504"/>
      <c r="N8" s="504"/>
      <c r="O8" s="110"/>
      <c r="P8" s="109"/>
      <c r="Q8" s="504"/>
      <c r="R8" s="107"/>
    </row>
    <row r="9" spans="2:18" ht="9.75" customHeight="1">
      <c r="B9" s="503"/>
      <c r="C9" s="446"/>
      <c r="D9" s="13" t="s">
        <v>27</v>
      </c>
      <c r="E9" s="13"/>
      <c r="F9" s="109"/>
      <c r="G9" s="504"/>
      <c r="H9" s="504"/>
      <c r="I9" s="504"/>
      <c r="J9" s="504"/>
      <c r="K9" s="504"/>
      <c r="L9" s="504"/>
      <c r="M9" s="504"/>
      <c r="N9" s="504"/>
      <c r="O9" s="110"/>
      <c r="P9" s="109"/>
      <c r="Q9" s="504"/>
      <c r="R9" s="107"/>
    </row>
    <row r="10" spans="2:18" ht="9.75" customHeight="1">
      <c r="B10" s="503"/>
      <c r="C10" s="446"/>
      <c r="D10" s="13" t="s">
        <v>115</v>
      </c>
      <c r="E10" s="13"/>
      <c r="F10" s="109"/>
      <c r="G10" s="504"/>
      <c r="H10" s="504"/>
      <c r="I10" s="504"/>
      <c r="J10" s="504"/>
      <c r="K10" s="504"/>
      <c r="L10" s="504"/>
      <c r="M10" s="504"/>
      <c r="N10" s="504"/>
      <c r="O10" s="110"/>
      <c r="P10" s="109"/>
      <c r="Q10" s="504"/>
      <c r="R10" s="107"/>
    </row>
    <row r="11" spans="2:18" ht="9.75" customHeight="1">
      <c r="B11" s="503"/>
      <c r="C11" s="446"/>
      <c r="D11" s="13" t="s">
        <v>115</v>
      </c>
      <c r="E11" s="13"/>
      <c r="F11" s="109"/>
      <c r="G11" s="504"/>
      <c r="H11" s="504"/>
      <c r="I11" s="504"/>
      <c r="J11" s="504"/>
      <c r="K11" s="504"/>
      <c r="L11" s="504"/>
      <c r="M11" s="504"/>
      <c r="N11" s="504"/>
      <c r="O11" s="110"/>
      <c r="P11" s="109"/>
      <c r="Q11" s="504"/>
      <c r="R11" s="107"/>
    </row>
    <row r="12" spans="2:18" ht="9.75" customHeight="1">
      <c r="B12" s="503"/>
      <c r="C12" s="446"/>
      <c r="D12" s="13" t="s">
        <v>32</v>
      </c>
      <c r="E12" s="13">
        <v>1</v>
      </c>
      <c r="F12" s="109">
        <v>0</v>
      </c>
      <c r="G12" s="504">
        <v>0</v>
      </c>
      <c r="H12" s="504">
        <v>0</v>
      </c>
      <c r="I12" s="504">
        <v>0</v>
      </c>
      <c r="J12" s="504">
        <v>0</v>
      </c>
      <c r="K12" s="504">
        <v>0</v>
      </c>
      <c r="L12" s="203">
        <v>0</v>
      </c>
      <c r="M12" s="203">
        <v>0</v>
      </c>
      <c r="N12" s="203">
        <v>0</v>
      </c>
      <c r="O12" s="203">
        <v>0</v>
      </c>
      <c r="P12" s="109">
        <f t="shared" ref="P12:P16" si="0">MIN(F12:O12)</f>
        <v>0</v>
      </c>
      <c r="Q12" s="504">
        <f t="shared" ref="Q12:Q16" si="1">E12-P12</f>
        <v>1</v>
      </c>
      <c r="R12" s="107">
        <f t="shared" ref="R12:R16" si="2">Q12/E12</f>
        <v>1</v>
      </c>
    </row>
    <row r="13" spans="2:18" ht="9.75" customHeight="1">
      <c r="B13" s="503"/>
      <c r="C13" s="446"/>
      <c r="D13" s="13" t="s">
        <v>116</v>
      </c>
      <c r="E13" s="13">
        <v>1</v>
      </c>
      <c r="F13" s="109">
        <v>0</v>
      </c>
      <c r="G13" s="504">
        <v>0</v>
      </c>
      <c r="H13" s="504">
        <v>0</v>
      </c>
      <c r="I13" s="504">
        <v>0</v>
      </c>
      <c r="J13" s="504">
        <v>0</v>
      </c>
      <c r="K13" s="504">
        <v>0</v>
      </c>
      <c r="L13" s="203">
        <v>0</v>
      </c>
      <c r="M13" s="203">
        <v>0</v>
      </c>
      <c r="N13" s="203">
        <v>0</v>
      </c>
      <c r="O13" s="203">
        <v>0</v>
      </c>
      <c r="P13" s="109">
        <f t="shared" si="0"/>
        <v>0</v>
      </c>
      <c r="Q13" s="504">
        <f t="shared" si="1"/>
        <v>1</v>
      </c>
      <c r="R13" s="107">
        <f t="shared" si="2"/>
        <v>1</v>
      </c>
    </row>
    <row r="14" spans="2:18" ht="9.75" customHeight="1">
      <c r="B14" s="503"/>
      <c r="C14" s="446"/>
      <c r="D14" s="13" t="s">
        <v>117</v>
      </c>
      <c r="E14" s="13">
        <v>2</v>
      </c>
      <c r="F14" s="109">
        <v>2</v>
      </c>
      <c r="G14" s="504">
        <v>2</v>
      </c>
      <c r="H14" s="504">
        <v>2</v>
      </c>
      <c r="I14" s="504">
        <v>2</v>
      </c>
      <c r="J14" s="504">
        <v>2</v>
      </c>
      <c r="K14" s="504">
        <v>2</v>
      </c>
      <c r="L14" s="504">
        <v>2</v>
      </c>
      <c r="M14" s="504">
        <v>2</v>
      </c>
      <c r="N14" s="504">
        <v>2</v>
      </c>
      <c r="O14" s="110">
        <v>2</v>
      </c>
      <c r="P14" s="109">
        <f t="shared" si="0"/>
        <v>2</v>
      </c>
      <c r="Q14" s="504">
        <f t="shared" si="1"/>
        <v>0</v>
      </c>
      <c r="R14" s="107">
        <f t="shared" si="2"/>
        <v>0</v>
      </c>
    </row>
    <row r="15" spans="2:18" ht="9.75" customHeight="1">
      <c r="B15" s="503"/>
      <c r="C15" s="446"/>
      <c r="D15" s="13" t="s">
        <v>118</v>
      </c>
      <c r="E15" s="13">
        <v>4</v>
      </c>
      <c r="F15" s="109">
        <v>0</v>
      </c>
      <c r="G15" s="504">
        <v>3</v>
      </c>
      <c r="H15" s="504">
        <v>3</v>
      </c>
      <c r="I15" s="504">
        <v>2</v>
      </c>
      <c r="J15" s="504">
        <v>2</v>
      </c>
      <c r="K15" s="504">
        <v>2</v>
      </c>
      <c r="L15" s="504">
        <v>2</v>
      </c>
      <c r="M15" s="504">
        <v>3</v>
      </c>
      <c r="N15" s="504">
        <v>3</v>
      </c>
      <c r="O15" s="110">
        <v>2</v>
      </c>
      <c r="P15" s="109">
        <f t="shared" si="0"/>
        <v>0</v>
      </c>
      <c r="Q15" s="504">
        <f t="shared" si="1"/>
        <v>4</v>
      </c>
      <c r="R15" s="107">
        <f t="shared" si="2"/>
        <v>1</v>
      </c>
    </row>
    <row r="16" spans="2:18" ht="9.75" customHeight="1">
      <c r="B16" s="503"/>
      <c r="C16" s="446"/>
      <c r="D16" s="13" t="s">
        <v>119</v>
      </c>
      <c r="E16" s="13">
        <v>2</v>
      </c>
      <c r="F16" s="109">
        <v>0</v>
      </c>
      <c r="G16" s="504">
        <v>0</v>
      </c>
      <c r="H16" s="504">
        <v>0</v>
      </c>
      <c r="I16" s="504">
        <v>0</v>
      </c>
      <c r="J16" s="504">
        <v>0</v>
      </c>
      <c r="K16" s="504">
        <v>0</v>
      </c>
      <c r="L16" s="504">
        <v>0</v>
      </c>
      <c r="M16" s="504">
        <v>0</v>
      </c>
      <c r="N16" s="504">
        <v>0</v>
      </c>
      <c r="O16" s="110">
        <v>0</v>
      </c>
      <c r="P16" s="109">
        <f t="shared" si="0"/>
        <v>0</v>
      </c>
      <c r="Q16" s="504">
        <f t="shared" si="1"/>
        <v>2</v>
      </c>
      <c r="R16" s="107">
        <f t="shared" si="2"/>
        <v>1</v>
      </c>
    </row>
    <row r="17" spans="3:18" ht="9.75" customHeight="1">
      <c r="C17" s="446"/>
      <c r="D17" s="13" t="s">
        <v>120</v>
      </c>
      <c r="E17" s="13"/>
      <c r="F17" s="109"/>
      <c r="G17" s="504"/>
      <c r="H17" s="504"/>
      <c r="I17" s="504"/>
      <c r="J17" s="504"/>
      <c r="K17" s="504"/>
      <c r="L17" s="504"/>
      <c r="M17" s="504"/>
      <c r="N17" s="504"/>
      <c r="O17" s="110"/>
      <c r="P17" s="109"/>
      <c r="Q17" s="504"/>
      <c r="R17" s="107"/>
    </row>
    <row r="18" spans="3:18" ht="9.75" customHeight="1">
      <c r="C18" s="446"/>
      <c r="D18" s="13" t="s">
        <v>120</v>
      </c>
      <c r="E18" s="13"/>
      <c r="F18" s="109"/>
      <c r="G18" s="504"/>
      <c r="H18" s="504"/>
      <c r="I18" s="504"/>
      <c r="J18" s="504"/>
      <c r="K18" s="504"/>
      <c r="L18" s="504"/>
      <c r="M18" s="504"/>
      <c r="N18" s="504"/>
      <c r="O18" s="110"/>
      <c r="P18" s="109"/>
      <c r="Q18" s="504"/>
      <c r="R18" s="107"/>
    </row>
    <row r="19" spans="3:18" ht="9.75" customHeight="1">
      <c r="C19" s="446"/>
      <c r="D19" s="13" t="s">
        <v>34</v>
      </c>
      <c r="E19" s="13">
        <v>1</v>
      </c>
      <c r="F19" s="109">
        <v>0</v>
      </c>
      <c r="G19" s="504">
        <v>0</v>
      </c>
      <c r="H19" s="504">
        <v>0</v>
      </c>
      <c r="I19" s="504">
        <v>0</v>
      </c>
      <c r="J19" s="504">
        <v>0</v>
      </c>
      <c r="K19" s="504">
        <v>0</v>
      </c>
      <c r="L19" s="203">
        <v>0</v>
      </c>
      <c r="M19" s="203">
        <v>0</v>
      </c>
      <c r="N19" s="203">
        <v>0</v>
      </c>
      <c r="O19" s="203">
        <v>0</v>
      </c>
      <c r="P19" s="109">
        <f>MIN(F19:O19)</f>
        <v>0</v>
      </c>
      <c r="Q19" s="504">
        <f>E19-P19</f>
        <v>1</v>
      </c>
      <c r="R19" s="107">
        <f>Q19/E19</f>
        <v>1</v>
      </c>
    </row>
    <row r="20" spans="3:18" ht="9.75" customHeight="1">
      <c r="C20" s="446"/>
      <c r="D20" s="13" t="s">
        <v>35</v>
      </c>
      <c r="E20" s="13"/>
      <c r="F20" s="109"/>
      <c r="G20" s="504"/>
      <c r="H20" s="504"/>
      <c r="I20" s="504"/>
      <c r="J20" s="504"/>
      <c r="K20" s="504"/>
      <c r="L20" s="504"/>
      <c r="M20" s="504"/>
      <c r="N20" s="504"/>
      <c r="O20" s="110"/>
      <c r="P20" s="109"/>
      <c r="Q20" s="504"/>
      <c r="R20" s="107"/>
    </row>
    <row r="21" spans="3:18" ht="9.75" customHeight="1">
      <c r="C21" s="446"/>
      <c r="D21" s="13" t="s">
        <v>36</v>
      </c>
      <c r="E21" s="13"/>
      <c r="F21" s="109"/>
      <c r="G21" s="504"/>
      <c r="H21" s="504"/>
      <c r="I21" s="504"/>
      <c r="J21" s="504"/>
      <c r="K21" s="504"/>
      <c r="L21" s="504"/>
      <c r="M21" s="504"/>
      <c r="N21" s="504"/>
      <c r="O21" s="110"/>
      <c r="P21" s="109"/>
      <c r="Q21" s="504"/>
      <c r="R21" s="107"/>
    </row>
    <row r="22" spans="3:18" ht="9.75" customHeight="1">
      <c r="C22" s="446"/>
      <c r="D22" s="13" t="s">
        <v>37</v>
      </c>
      <c r="E22" s="13"/>
      <c r="F22" s="109"/>
      <c r="G22" s="504"/>
      <c r="H22" s="504"/>
      <c r="I22" s="504"/>
      <c r="J22" s="504"/>
      <c r="K22" s="504"/>
      <c r="L22" s="504"/>
      <c r="M22" s="504"/>
      <c r="N22" s="504"/>
      <c r="O22" s="110"/>
      <c r="P22" s="109"/>
      <c r="Q22" s="504"/>
      <c r="R22" s="107"/>
    </row>
    <row r="23" spans="3:18" ht="9.75" customHeight="1">
      <c r="C23" s="447"/>
      <c r="D23" s="3" t="s">
        <v>38</v>
      </c>
      <c r="E23" s="3">
        <f t="shared" ref="E23" si="3">SUM(E7:E22)</f>
        <v>11</v>
      </c>
      <c r="F23" s="21">
        <f t="shared" ref="F23:O23" si="4">SUM(F7:F22)</f>
        <v>2</v>
      </c>
      <c r="G23" s="71">
        <f t="shared" si="4"/>
        <v>5</v>
      </c>
      <c r="H23" s="71">
        <f t="shared" si="4"/>
        <v>5</v>
      </c>
      <c r="I23" s="71">
        <f t="shared" si="4"/>
        <v>4</v>
      </c>
      <c r="J23" s="71">
        <f t="shared" si="4"/>
        <v>4</v>
      </c>
      <c r="K23" s="71">
        <f t="shared" si="4"/>
        <v>4</v>
      </c>
      <c r="L23" s="71">
        <f t="shared" si="4"/>
        <v>4</v>
      </c>
      <c r="M23" s="71">
        <f t="shared" si="4"/>
        <v>5</v>
      </c>
      <c r="N23" s="71">
        <f t="shared" si="4"/>
        <v>5</v>
      </c>
      <c r="O23" s="26">
        <f t="shared" si="4"/>
        <v>4</v>
      </c>
      <c r="P23" s="21">
        <f>MIN(F23:O23)</f>
        <v>2</v>
      </c>
      <c r="Q23" s="71">
        <f>E23-P23</f>
        <v>9</v>
      </c>
      <c r="R23" s="7">
        <f>Q23/E23</f>
        <v>0.81818181818181823</v>
      </c>
    </row>
    <row r="24" spans="3:18" ht="9.75" customHeight="1">
      <c r="C24" s="445" t="s">
        <v>121</v>
      </c>
      <c r="D24" s="43" t="s">
        <v>23</v>
      </c>
      <c r="E24" s="43"/>
      <c r="F24" s="116"/>
      <c r="G24" s="128"/>
      <c r="H24" s="128"/>
      <c r="I24" s="128"/>
      <c r="J24" s="128"/>
      <c r="K24" s="128"/>
      <c r="L24" s="128"/>
      <c r="M24" s="128"/>
      <c r="N24" s="128"/>
      <c r="O24" s="129"/>
      <c r="P24" s="116"/>
      <c r="Q24" s="128"/>
      <c r="R24" s="141"/>
    </row>
    <row r="25" spans="3:18" ht="9.75" customHeight="1">
      <c r="C25" s="446"/>
      <c r="D25" s="13" t="s">
        <v>25</v>
      </c>
      <c r="E25" s="13"/>
      <c r="F25" s="109"/>
      <c r="G25" s="504"/>
      <c r="H25" s="504"/>
      <c r="I25" s="504"/>
      <c r="J25" s="504"/>
      <c r="K25" s="504"/>
      <c r="L25" s="504"/>
      <c r="M25" s="504"/>
      <c r="N25" s="504"/>
      <c r="O25" s="110"/>
      <c r="P25" s="109"/>
      <c r="Q25" s="504"/>
      <c r="R25" s="107"/>
    </row>
    <row r="26" spans="3:18" ht="9.75" customHeight="1">
      <c r="C26" s="444"/>
      <c r="D26" s="13" t="s">
        <v>27</v>
      </c>
      <c r="E26" s="13"/>
      <c r="F26" s="109"/>
      <c r="G26" s="504"/>
      <c r="H26" s="504"/>
      <c r="I26" s="504"/>
      <c r="J26" s="504"/>
      <c r="K26" s="504"/>
      <c r="L26" s="504"/>
      <c r="M26" s="504"/>
      <c r="N26" s="504"/>
      <c r="O26" s="110"/>
      <c r="P26" s="109"/>
      <c r="Q26" s="504"/>
      <c r="R26" s="107"/>
    </row>
    <row r="27" spans="3:18" ht="9.75" customHeight="1">
      <c r="C27" s="13"/>
      <c r="D27" s="13" t="s">
        <v>115</v>
      </c>
      <c r="E27" s="13"/>
      <c r="F27" s="109"/>
      <c r="G27" s="504"/>
      <c r="H27" s="504"/>
      <c r="I27" s="504"/>
      <c r="J27" s="504"/>
      <c r="K27" s="504"/>
      <c r="L27" s="504"/>
      <c r="M27" s="504"/>
      <c r="N27" s="504"/>
      <c r="O27" s="110"/>
      <c r="P27" s="109"/>
      <c r="Q27" s="504"/>
      <c r="R27" s="107"/>
    </row>
    <row r="28" spans="3:18" ht="9.75" customHeight="1">
      <c r="C28" s="13"/>
      <c r="D28" s="13" t="s">
        <v>115</v>
      </c>
      <c r="E28" s="13"/>
      <c r="F28" s="109"/>
      <c r="G28" s="504"/>
      <c r="H28" s="504"/>
      <c r="I28" s="504"/>
      <c r="J28" s="504"/>
      <c r="K28" s="504"/>
      <c r="L28" s="504"/>
      <c r="M28" s="504"/>
      <c r="N28" s="504"/>
      <c r="O28" s="110"/>
      <c r="P28" s="109"/>
      <c r="Q28" s="504"/>
      <c r="R28" s="107"/>
    </row>
    <row r="29" spans="3:18" ht="9.75" customHeight="1">
      <c r="C29" s="13"/>
      <c r="D29" s="13" t="s">
        <v>32</v>
      </c>
      <c r="E29" s="13"/>
      <c r="F29" s="109"/>
      <c r="G29" s="504"/>
      <c r="H29" s="504"/>
      <c r="I29" s="504"/>
      <c r="J29" s="504"/>
      <c r="K29" s="504"/>
      <c r="L29" s="504"/>
      <c r="M29" s="504"/>
      <c r="N29" s="504"/>
      <c r="O29" s="110"/>
      <c r="P29" s="109"/>
      <c r="Q29" s="504"/>
      <c r="R29" s="107"/>
    </row>
    <row r="30" spans="3:18" ht="9.75" customHeight="1">
      <c r="C30" s="13"/>
      <c r="D30" s="13" t="s">
        <v>119</v>
      </c>
      <c r="E30" s="13">
        <v>31</v>
      </c>
      <c r="F30" s="109">
        <f>E30-12</f>
        <v>19</v>
      </c>
      <c r="G30" s="504">
        <f>E30-15</f>
        <v>16</v>
      </c>
      <c r="H30" s="504">
        <f>E30-16</f>
        <v>15</v>
      </c>
      <c r="I30" s="504">
        <f>E30-12</f>
        <v>19</v>
      </c>
      <c r="J30" s="504">
        <f>E30-10</f>
        <v>21</v>
      </c>
      <c r="K30" s="504">
        <f>E30-10</f>
        <v>21</v>
      </c>
      <c r="L30" s="504">
        <f>E30-7</f>
        <v>24</v>
      </c>
      <c r="M30" s="504">
        <f>E30-9</f>
        <v>22</v>
      </c>
      <c r="N30" s="504">
        <f>E30-5</f>
        <v>26</v>
      </c>
      <c r="O30" s="110">
        <f>E30-3</f>
        <v>28</v>
      </c>
      <c r="P30" s="109">
        <f>MIN(F30:O30)</f>
        <v>15</v>
      </c>
      <c r="Q30" s="504">
        <f>E30-P30</f>
        <v>16</v>
      </c>
      <c r="R30" s="107">
        <f>Q30/E30</f>
        <v>0.5161290322580645</v>
      </c>
    </row>
    <row r="31" spans="3:18" ht="9.75" customHeight="1">
      <c r="C31" s="13"/>
      <c r="D31" s="13" t="s">
        <v>120</v>
      </c>
      <c r="E31" s="13"/>
      <c r="F31" s="109"/>
      <c r="G31" s="504"/>
      <c r="H31" s="504"/>
      <c r="I31" s="504"/>
      <c r="J31" s="504"/>
      <c r="K31" s="504"/>
      <c r="L31" s="504"/>
      <c r="M31" s="504"/>
      <c r="N31" s="504"/>
      <c r="O31" s="110"/>
      <c r="P31" s="109"/>
      <c r="Q31" s="504"/>
      <c r="R31" s="107"/>
    </row>
    <row r="32" spans="3:18" ht="9.75" customHeight="1">
      <c r="C32" s="13"/>
      <c r="D32" s="13" t="s">
        <v>120</v>
      </c>
      <c r="E32" s="13"/>
      <c r="F32" s="109"/>
      <c r="G32" s="504"/>
      <c r="H32" s="504"/>
      <c r="I32" s="504"/>
      <c r="J32" s="504"/>
      <c r="K32" s="504"/>
      <c r="L32" s="504"/>
      <c r="M32" s="504"/>
      <c r="N32" s="504"/>
      <c r="O32" s="110"/>
      <c r="P32" s="109"/>
      <c r="Q32" s="504"/>
      <c r="R32" s="107"/>
    </row>
    <row r="33" spans="3:18" ht="9.75" customHeight="1">
      <c r="C33" s="13"/>
      <c r="D33" s="13" t="s">
        <v>120</v>
      </c>
      <c r="E33" s="13"/>
      <c r="F33" s="109"/>
      <c r="G33" s="504"/>
      <c r="H33" s="504"/>
      <c r="I33" s="504"/>
      <c r="J33" s="504"/>
      <c r="K33" s="504"/>
      <c r="L33" s="504"/>
      <c r="M33" s="504"/>
      <c r="N33" s="504"/>
      <c r="O33" s="110"/>
      <c r="P33" s="109"/>
      <c r="Q33" s="504"/>
      <c r="R33" s="107"/>
    </row>
    <row r="34" spans="3:18" ht="9.75" customHeight="1">
      <c r="C34" s="13"/>
      <c r="D34" s="13" t="s">
        <v>120</v>
      </c>
      <c r="E34" s="13"/>
      <c r="F34" s="109"/>
      <c r="G34" s="504"/>
      <c r="H34" s="504"/>
      <c r="I34" s="504"/>
      <c r="J34" s="504"/>
      <c r="K34" s="504"/>
      <c r="L34" s="504"/>
      <c r="M34" s="504"/>
      <c r="N34" s="504"/>
      <c r="O34" s="110"/>
      <c r="P34" s="109"/>
      <c r="Q34" s="504"/>
      <c r="R34" s="107"/>
    </row>
    <row r="35" spans="3:18" ht="9.75" customHeight="1">
      <c r="C35" s="13"/>
      <c r="D35" s="13" t="s">
        <v>120</v>
      </c>
      <c r="E35" s="13"/>
      <c r="F35" s="109"/>
      <c r="G35" s="504"/>
      <c r="H35" s="504"/>
      <c r="I35" s="504"/>
      <c r="J35" s="504"/>
      <c r="K35" s="504"/>
      <c r="L35" s="504"/>
      <c r="M35" s="504"/>
      <c r="N35" s="504"/>
      <c r="O35" s="110"/>
      <c r="P35" s="109"/>
      <c r="Q35" s="504"/>
      <c r="R35" s="107"/>
    </row>
    <row r="36" spans="3:18" ht="9.75" customHeight="1">
      <c r="C36" s="13"/>
      <c r="D36" s="13" t="s">
        <v>34</v>
      </c>
      <c r="E36" s="13">
        <v>2</v>
      </c>
      <c r="F36" s="109">
        <v>2</v>
      </c>
      <c r="G36" s="504">
        <v>2</v>
      </c>
      <c r="H36" s="504">
        <v>2</v>
      </c>
      <c r="I36" s="504">
        <v>2</v>
      </c>
      <c r="J36" s="504">
        <v>2</v>
      </c>
      <c r="K36" s="504">
        <v>2</v>
      </c>
      <c r="L36" s="504">
        <v>2</v>
      </c>
      <c r="M36" s="504">
        <v>2</v>
      </c>
      <c r="N36" s="504">
        <v>2</v>
      </c>
      <c r="O36" s="110">
        <v>2</v>
      </c>
      <c r="P36" s="121">
        <f>MIN(F36:O36)</f>
        <v>2</v>
      </c>
      <c r="Q36" s="11">
        <f>E36-P36</f>
        <v>0</v>
      </c>
      <c r="R36" s="122">
        <f>Q36/E36</f>
        <v>0</v>
      </c>
    </row>
    <row r="37" spans="3:18" ht="9.75" customHeight="1">
      <c r="C37" s="13"/>
      <c r="D37" s="13" t="s">
        <v>35</v>
      </c>
      <c r="E37" s="13"/>
      <c r="F37" s="109"/>
      <c r="G37" s="504"/>
      <c r="H37" s="504"/>
      <c r="I37" s="504"/>
      <c r="J37" s="504"/>
      <c r="K37" s="504"/>
      <c r="L37" s="504"/>
      <c r="M37" s="504"/>
      <c r="N37" s="504"/>
      <c r="O37" s="110"/>
      <c r="P37" s="109"/>
      <c r="Q37" s="504"/>
      <c r="R37" s="107"/>
    </row>
    <row r="38" spans="3:18" ht="9.75" customHeight="1">
      <c r="C38" s="13"/>
      <c r="D38" s="13" t="s">
        <v>36</v>
      </c>
      <c r="E38" s="13"/>
      <c r="F38" s="109"/>
      <c r="G38" s="504"/>
      <c r="H38" s="504"/>
      <c r="I38" s="504"/>
      <c r="J38" s="504"/>
      <c r="K38" s="504"/>
      <c r="L38" s="504"/>
      <c r="M38" s="504"/>
      <c r="N38" s="504"/>
      <c r="O38" s="110"/>
      <c r="P38" s="109"/>
      <c r="Q38" s="504"/>
      <c r="R38" s="107"/>
    </row>
    <row r="39" spans="3:18" ht="9.75" customHeight="1">
      <c r="C39" s="13"/>
      <c r="D39" s="13" t="s">
        <v>37</v>
      </c>
      <c r="E39" s="13">
        <v>1</v>
      </c>
      <c r="F39" s="109"/>
      <c r="G39" s="504"/>
      <c r="H39" s="504"/>
      <c r="I39" s="504"/>
      <c r="J39" s="504"/>
      <c r="K39" s="504"/>
      <c r="L39" s="504"/>
      <c r="M39" s="504"/>
      <c r="N39" s="504"/>
      <c r="O39" s="110"/>
      <c r="P39" s="109"/>
      <c r="Q39" s="504"/>
      <c r="R39" s="107"/>
    </row>
    <row r="40" spans="3:18" ht="9.75" customHeight="1">
      <c r="C40" s="2"/>
      <c r="D40" s="3" t="s">
        <v>38</v>
      </c>
      <c r="E40" s="3">
        <f t="shared" ref="E40:O40" si="5">SUM(E24:E39)</f>
        <v>34</v>
      </c>
      <c r="F40" s="21">
        <f t="shared" si="5"/>
        <v>21</v>
      </c>
      <c r="G40" s="71">
        <f t="shared" si="5"/>
        <v>18</v>
      </c>
      <c r="H40" s="71">
        <f t="shared" si="5"/>
        <v>17</v>
      </c>
      <c r="I40" s="71">
        <f t="shared" si="5"/>
        <v>21</v>
      </c>
      <c r="J40" s="71">
        <f t="shared" si="5"/>
        <v>23</v>
      </c>
      <c r="K40" s="71">
        <f t="shared" si="5"/>
        <v>23</v>
      </c>
      <c r="L40" s="71">
        <f t="shared" si="5"/>
        <v>26</v>
      </c>
      <c r="M40" s="71">
        <f t="shared" si="5"/>
        <v>24</v>
      </c>
      <c r="N40" s="71">
        <f t="shared" si="5"/>
        <v>28</v>
      </c>
      <c r="O40" s="26">
        <f t="shared" si="5"/>
        <v>30</v>
      </c>
      <c r="P40" s="21">
        <f>MIN(F40:O40)</f>
        <v>17</v>
      </c>
      <c r="Q40" s="71">
        <f>E40-P40</f>
        <v>17</v>
      </c>
      <c r="R40" s="7">
        <f>Q40/E40</f>
        <v>0.5</v>
      </c>
    </row>
    <row r="41" spans="3:18" ht="9.75" customHeight="1">
      <c r="C41" s="237" t="s">
        <v>122</v>
      </c>
      <c r="D41" s="43" t="s">
        <v>23</v>
      </c>
      <c r="E41" s="43"/>
      <c r="F41" s="116"/>
      <c r="G41" s="128"/>
      <c r="H41" s="128"/>
      <c r="I41" s="128"/>
      <c r="J41" s="128"/>
      <c r="K41" s="128"/>
      <c r="L41" s="128"/>
      <c r="M41" s="128"/>
      <c r="N41" s="128"/>
      <c r="O41" s="129"/>
      <c r="P41" s="116"/>
      <c r="Q41" s="128"/>
      <c r="R41" s="141"/>
    </row>
    <row r="42" spans="3:18" ht="9.75" customHeight="1">
      <c r="C42" s="13"/>
      <c r="D42" s="13" t="s">
        <v>25</v>
      </c>
      <c r="E42" s="13"/>
      <c r="F42" s="109"/>
      <c r="G42" s="504"/>
      <c r="H42" s="504"/>
      <c r="I42" s="504"/>
      <c r="J42" s="504"/>
      <c r="K42" s="504"/>
      <c r="L42" s="504"/>
      <c r="M42" s="504"/>
      <c r="N42" s="504"/>
      <c r="O42" s="110"/>
      <c r="P42" s="109"/>
      <c r="Q42" s="504"/>
      <c r="R42" s="107"/>
    </row>
    <row r="43" spans="3:18" ht="9.75" customHeight="1">
      <c r="C43" s="13"/>
      <c r="D43" s="13" t="s">
        <v>27</v>
      </c>
      <c r="E43" s="13"/>
      <c r="F43" s="109"/>
      <c r="G43" s="504"/>
      <c r="H43" s="504"/>
      <c r="I43" s="504"/>
      <c r="J43" s="504"/>
      <c r="K43" s="504"/>
      <c r="L43" s="504"/>
      <c r="M43" s="504"/>
      <c r="N43" s="504"/>
      <c r="O43" s="110"/>
      <c r="P43" s="109"/>
      <c r="Q43" s="504"/>
      <c r="R43" s="107"/>
    </row>
    <row r="44" spans="3:18" ht="9.75" customHeight="1">
      <c r="C44" s="13"/>
      <c r="D44" s="13" t="s">
        <v>115</v>
      </c>
      <c r="E44" s="13"/>
      <c r="F44" s="109"/>
      <c r="G44" s="504"/>
      <c r="H44" s="504"/>
      <c r="I44" s="504"/>
      <c r="J44" s="504"/>
      <c r="K44" s="504"/>
      <c r="L44" s="504"/>
      <c r="M44" s="504"/>
      <c r="N44" s="504"/>
      <c r="O44" s="110"/>
      <c r="P44" s="109"/>
      <c r="Q44" s="504"/>
      <c r="R44" s="107"/>
    </row>
    <row r="45" spans="3:18" ht="9.75" customHeight="1">
      <c r="C45" s="13"/>
      <c r="D45" s="13" t="s">
        <v>115</v>
      </c>
      <c r="E45" s="13"/>
      <c r="F45" s="109"/>
      <c r="G45" s="504"/>
      <c r="H45" s="504"/>
      <c r="I45" s="504"/>
      <c r="J45" s="504"/>
      <c r="K45" s="504"/>
      <c r="L45" s="504"/>
      <c r="M45" s="504"/>
      <c r="N45" s="504"/>
      <c r="O45" s="110"/>
      <c r="P45" s="109"/>
      <c r="Q45" s="504"/>
      <c r="R45" s="107"/>
    </row>
    <row r="46" spans="3:18" ht="9.75" customHeight="1">
      <c r="C46" s="13"/>
      <c r="D46" s="13" t="s">
        <v>32</v>
      </c>
      <c r="E46" s="13"/>
      <c r="F46" s="109"/>
      <c r="G46" s="504"/>
      <c r="H46" s="504"/>
      <c r="I46" s="504"/>
      <c r="J46" s="504"/>
      <c r="K46" s="504"/>
      <c r="L46" s="504"/>
      <c r="M46" s="504"/>
      <c r="N46" s="504"/>
      <c r="O46" s="110"/>
      <c r="P46" s="109"/>
      <c r="Q46" s="504"/>
      <c r="R46" s="107"/>
    </row>
    <row r="47" spans="3:18" ht="9.75" customHeight="1">
      <c r="C47" s="13"/>
      <c r="D47" s="13" t="s">
        <v>123</v>
      </c>
      <c r="E47" s="13">
        <v>1</v>
      </c>
      <c r="F47" s="109">
        <v>1</v>
      </c>
      <c r="G47" s="504">
        <v>1</v>
      </c>
      <c r="H47" s="504">
        <v>0</v>
      </c>
      <c r="I47" s="504">
        <v>0</v>
      </c>
      <c r="J47" s="504">
        <v>0</v>
      </c>
      <c r="K47" s="203">
        <v>0</v>
      </c>
      <c r="L47" s="203">
        <v>0</v>
      </c>
      <c r="M47" s="203">
        <v>0</v>
      </c>
      <c r="N47" s="203">
        <v>0</v>
      </c>
      <c r="O47" s="203">
        <v>0</v>
      </c>
      <c r="P47" s="109">
        <f t="shared" ref="P47:P48" si="6">MIN(F47:O47)</f>
        <v>0</v>
      </c>
      <c r="Q47" s="504">
        <f t="shared" ref="Q47:Q48" si="7">E47-P47</f>
        <v>1</v>
      </c>
      <c r="R47" s="107">
        <f t="shared" ref="R47:R48" si="8">Q47/E47</f>
        <v>1</v>
      </c>
    </row>
    <row r="48" spans="3:18" ht="9.75" customHeight="1">
      <c r="C48" s="13"/>
      <c r="D48" s="13" t="s">
        <v>119</v>
      </c>
      <c r="E48" s="13">
        <v>64</v>
      </c>
      <c r="F48" s="109">
        <v>61</v>
      </c>
      <c r="G48" s="504">
        <v>59</v>
      </c>
      <c r="H48" s="504">
        <v>54</v>
      </c>
      <c r="I48" s="504">
        <f>E48-12</f>
        <v>52</v>
      </c>
      <c r="J48" s="504">
        <f>E48-15</f>
        <v>49</v>
      </c>
      <c r="K48" s="504">
        <f>E48-14</f>
        <v>50</v>
      </c>
      <c r="L48" s="504">
        <f>E48-12</f>
        <v>52</v>
      </c>
      <c r="M48" s="504">
        <v>54</v>
      </c>
      <c r="N48" s="504">
        <f>E48-5</f>
        <v>59</v>
      </c>
      <c r="O48" s="110">
        <f>E48-3</f>
        <v>61</v>
      </c>
      <c r="P48" s="109">
        <f t="shared" si="6"/>
        <v>49</v>
      </c>
      <c r="Q48" s="504">
        <f t="shared" si="7"/>
        <v>15</v>
      </c>
      <c r="R48" s="107">
        <f t="shared" si="8"/>
        <v>0.234375</v>
      </c>
    </row>
    <row r="49" spans="3:18" ht="9.75" customHeight="1">
      <c r="C49" s="13"/>
      <c r="D49" s="13" t="s">
        <v>120</v>
      </c>
      <c r="E49" s="13"/>
      <c r="F49" s="109"/>
      <c r="G49" s="504"/>
      <c r="H49" s="504"/>
      <c r="I49" s="504"/>
      <c r="J49" s="504"/>
      <c r="K49" s="504"/>
      <c r="L49" s="504"/>
      <c r="M49" s="504"/>
      <c r="N49" s="504"/>
      <c r="O49" s="110"/>
      <c r="P49" s="109"/>
      <c r="Q49" s="504"/>
      <c r="R49" s="107"/>
    </row>
    <row r="50" spans="3:18" ht="9.75" customHeight="1">
      <c r="C50" s="13"/>
      <c r="D50" s="13" t="s">
        <v>120</v>
      </c>
      <c r="E50" s="13"/>
      <c r="F50" s="109"/>
      <c r="G50" s="504"/>
      <c r="H50" s="504"/>
      <c r="I50" s="504"/>
      <c r="J50" s="504"/>
      <c r="K50" s="504"/>
      <c r="L50" s="504"/>
      <c r="M50" s="504"/>
      <c r="N50" s="504"/>
      <c r="O50" s="110"/>
      <c r="P50" s="109"/>
      <c r="Q50" s="504"/>
      <c r="R50" s="107"/>
    </row>
    <row r="51" spans="3:18" ht="9.75" customHeight="1">
      <c r="C51" s="13"/>
      <c r="D51" s="13" t="s">
        <v>120</v>
      </c>
      <c r="E51" s="13"/>
      <c r="F51" s="109"/>
      <c r="G51" s="504"/>
      <c r="H51" s="504"/>
      <c r="I51" s="504"/>
      <c r="J51" s="504"/>
      <c r="K51" s="504"/>
      <c r="L51" s="504"/>
      <c r="M51" s="504"/>
      <c r="N51" s="504"/>
      <c r="O51" s="110"/>
      <c r="P51" s="109"/>
      <c r="Q51" s="504"/>
      <c r="R51" s="107"/>
    </row>
    <row r="52" spans="3:18" ht="9.75" customHeight="1">
      <c r="C52" s="13"/>
      <c r="D52" s="13" t="s">
        <v>120</v>
      </c>
      <c r="E52" s="13"/>
      <c r="F52" s="109"/>
      <c r="G52" s="504"/>
      <c r="H52" s="504"/>
      <c r="I52" s="504"/>
      <c r="J52" s="504"/>
      <c r="K52" s="504"/>
      <c r="L52" s="504"/>
      <c r="M52" s="504"/>
      <c r="N52" s="504"/>
      <c r="O52" s="110"/>
      <c r="P52" s="109"/>
      <c r="Q52" s="504"/>
      <c r="R52" s="107"/>
    </row>
    <row r="53" spans="3:18" ht="9.75" customHeight="1">
      <c r="C53" s="13"/>
      <c r="D53" s="13" t="s">
        <v>34</v>
      </c>
      <c r="E53" s="13">
        <v>2</v>
      </c>
      <c r="F53" s="109">
        <v>2</v>
      </c>
      <c r="G53" s="504">
        <v>2</v>
      </c>
      <c r="H53" s="504">
        <v>2</v>
      </c>
      <c r="I53" s="504">
        <v>2</v>
      </c>
      <c r="J53" s="504">
        <v>2</v>
      </c>
      <c r="K53" s="504">
        <v>2</v>
      </c>
      <c r="L53" s="504">
        <v>2</v>
      </c>
      <c r="M53" s="504">
        <v>2</v>
      </c>
      <c r="N53" s="504">
        <v>2</v>
      </c>
      <c r="O53" s="110">
        <v>2</v>
      </c>
      <c r="P53" s="109">
        <f>MIN(F53:O53)</f>
        <v>2</v>
      </c>
      <c r="Q53" s="504">
        <f>E53-P53</f>
        <v>0</v>
      </c>
      <c r="R53" s="107">
        <f>Q53/E53</f>
        <v>0</v>
      </c>
    </row>
    <row r="54" spans="3:18" ht="9.75" customHeight="1">
      <c r="C54" s="13"/>
      <c r="D54" s="13" t="s">
        <v>35</v>
      </c>
      <c r="E54" s="13"/>
      <c r="F54" s="109"/>
      <c r="G54" s="504"/>
      <c r="H54" s="504"/>
      <c r="I54" s="504"/>
      <c r="J54" s="504"/>
      <c r="K54" s="504"/>
      <c r="L54" s="504"/>
      <c r="M54" s="504"/>
      <c r="N54" s="504"/>
      <c r="O54" s="110"/>
      <c r="P54" s="109"/>
      <c r="Q54" s="504"/>
      <c r="R54" s="107"/>
    </row>
    <row r="55" spans="3:18" ht="9.75" customHeight="1">
      <c r="C55" s="13"/>
      <c r="D55" s="13" t="s">
        <v>36</v>
      </c>
      <c r="E55" s="13"/>
      <c r="F55" s="109"/>
      <c r="G55" s="504"/>
      <c r="H55" s="504"/>
      <c r="I55" s="504"/>
      <c r="J55" s="504"/>
      <c r="K55" s="504"/>
      <c r="L55" s="504"/>
      <c r="M55" s="504"/>
      <c r="N55" s="504"/>
      <c r="O55" s="110"/>
      <c r="P55" s="109"/>
      <c r="Q55" s="504"/>
      <c r="R55" s="107"/>
    </row>
    <row r="56" spans="3:18" ht="9.75" customHeight="1">
      <c r="C56" s="13"/>
      <c r="D56" s="13" t="s">
        <v>37</v>
      </c>
      <c r="E56" s="13">
        <v>2</v>
      </c>
      <c r="F56" s="109">
        <v>1</v>
      </c>
      <c r="G56" s="504">
        <v>1</v>
      </c>
      <c r="H56" s="504">
        <v>1</v>
      </c>
      <c r="I56" s="504">
        <v>1</v>
      </c>
      <c r="J56" s="504">
        <v>1</v>
      </c>
      <c r="K56" s="504">
        <v>1</v>
      </c>
      <c r="L56" s="504">
        <v>1</v>
      </c>
      <c r="M56" s="504">
        <v>1</v>
      </c>
      <c r="N56" s="504">
        <v>1</v>
      </c>
      <c r="O56" s="110">
        <v>1</v>
      </c>
      <c r="P56" s="109">
        <f>MIN(F56:O56)</f>
        <v>1</v>
      </c>
      <c r="Q56" s="504">
        <f>E56-P56</f>
        <v>1</v>
      </c>
      <c r="R56" s="107">
        <f>Q56/E56</f>
        <v>0.5</v>
      </c>
    </row>
    <row r="57" spans="3:18" ht="9.75" customHeight="1">
      <c r="C57" s="2"/>
      <c r="D57" s="3" t="s">
        <v>38</v>
      </c>
      <c r="E57" s="3">
        <f t="shared" ref="E57:O57" si="9">SUM(E41:E56)</f>
        <v>69</v>
      </c>
      <c r="F57" s="21">
        <f t="shared" si="9"/>
        <v>65</v>
      </c>
      <c r="G57" s="71">
        <f t="shared" si="9"/>
        <v>63</v>
      </c>
      <c r="H57" s="71">
        <f t="shared" si="9"/>
        <v>57</v>
      </c>
      <c r="I57" s="71">
        <f t="shared" si="9"/>
        <v>55</v>
      </c>
      <c r="J57" s="71">
        <f t="shared" si="9"/>
        <v>52</v>
      </c>
      <c r="K57" s="71">
        <f t="shared" si="9"/>
        <v>53</v>
      </c>
      <c r="L57" s="71">
        <f t="shared" si="9"/>
        <v>55</v>
      </c>
      <c r="M57" s="71">
        <f t="shared" si="9"/>
        <v>57</v>
      </c>
      <c r="N57" s="71">
        <f t="shared" si="9"/>
        <v>62</v>
      </c>
      <c r="O57" s="26">
        <f t="shared" si="9"/>
        <v>64</v>
      </c>
      <c r="P57" s="21">
        <f>MIN(F57:O57)</f>
        <v>52</v>
      </c>
      <c r="Q57" s="71">
        <f>E57-P57</f>
        <v>17</v>
      </c>
      <c r="R57" s="7">
        <f>Q57/E57</f>
        <v>0.24637681159420291</v>
      </c>
    </row>
    <row r="58" spans="3:18" ht="9.75" customHeight="1">
      <c r="C58" s="43" t="s">
        <v>124</v>
      </c>
      <c r="D58" s="43" t="s">
        <v>23</v>
      </c>
      <c r="E58" s="43"/>
      <c r="F58" s="116"/>
      <c r="G58" s="128"/>
      <c r="H58" s="128"/>
      <c r="I58" s="128"/>
      <c r="J58" s="128"/>
      <c r="K58" s="128"/>
      <c r="L58" s="128"/>
      <c r="M58" s="128"/>
      <c r="N58" s="128"/>
      <c r="O58" s="129"/>
      <c r="P58" s="116"/>
      <c r="Q58" s="128"/>
      <c r="R58" s="141"/>
    </row>
    <row r="59" spans="3:18" ht="9.75" customHeight="1">
      <c r="C59" s="13"/>
      <c r="D59" s="13" t="s">
        <v>25</v>
      </c>
      <c r="E59" s="13"/>
      <c r="F59" s="109"/>
      <c r="G59" s="504"/>
      <c r="H59" s="504"/>
      <c r="I59" s="504"/>
      <c r="J59" s="504"/>
      <c r="K59" s="504"/>
      <c r="L59" s="504"/>
      <c r="M59" s="504"/>
      <c r="N59" s="504"/>
      <c r="O59" s="110"/>
      <c r="P59" s="109"/>
      <c r="Q59" s="504"/>
      <c r="R59" s="107"/>
    </row>
    <row r="60" spans="3:18" ht="9.75" customHeight="1">
      <c r="C60" s="13"/>
      <c r="D60" s="13" t="s">
        <v>27</v>
      </c>
      <c r="E60" s="13"/>
      <c r="F60" s="109"/>
      <c r="G60" s="504"/>
      <c r="H60" s="504"/>
      <c r="I60" s="504"/>
      <c r="J60" s="504"/>
      <c r="K60" s="504"/>
      <c r="L60" s="504"/>
      <c r="M60" s="504"/>
      <c r="N60" s="504"/>
      <c r="O60" s="110"/>
      <c r="P60" s="109"/>
      <c r="Q60" s="504"/>
      <c r="R60" s="107"/>
    </row>
    <row r="61" spans="3:18" ht="9.75" customHeight="1">
      <c r="C61" s="13"/>
      <c r="D61" s="13" t="s">
        <v>115</v>
      </c>
      <c r="E61" s="13"/>
      <c r="F61" s="109"/>
      <c r="G61" s="504"/>
      <c r="H61" s="504"/>
      <c r="I61" s="504"/>
      <c r="J61" s="504"/>
      <c r="K61" s="504"/>
      <c r="L61" s="504"/>
      <c r="M61" s="504"/>
      <c r="N61" s="504"/>
      <c r="O61" s="110"/>
      <c r="P61" s="109"/>
      <c r="Q61" s="504"/>
      <c r="R61" s="107"/>
    </row>
    <row r="62" spans="3:18" ht="9.75" customHeight="1">
      <c r="C62" s="13"/>
      <c r="D62" s="13" t="s">
        <v>115</v>
      </c>
      <c r="E62" s="13"/>
      <c r="F62" s="109"/>
      <c r="G62" s="504"/>
      <c r="H62" s="504"/>
      <c r="I62" s="504"/>
      <c r="J62" s="504"/>
      <c r="K62" s="504"/>
      <c r="L62" s="504"/>
      <c r="M62" s="504"/>
      <c r="N62" s="504"/>
      <c r="O62" s="110"/>
      <c r="P62" s="109"/>
      <c r="Q62" s="504"/>
      <c r="R62" s="107"/>
    </row>
    <row r="63" spans="3:18" ht="9.75" customHeight="1">
      <c r="C63" s="13"/>
      <c r="D63" s="13" t="s">
        <v>32</v>
      </c>
      <c r="E63" s="13"/>
      <c r="F63" s="109"/>
      <c r="G63" s="504"/>
      <c r="H63" s="504"/>
      <c r="I63" s="504"/>
      <c r="J63" s="504"/>
      <c r="K63" s="504"/>
      <c r="L63" s="504"/>
      <c r="M63" s="504"/>
      <c r="N63" s="504"/>
      <c r="O63" s="110"/>
      <c r="P63" s="109"/>
      <c r="Q63" s="504"/>
      <c r="R63" s="107"/>
    </row>
    <row r="64" spans="3:18" ht="9.75" customHeight="1">
      <c r="C64" s="13"/>
      <c r="D64" s="13" t="s">
        <v>118</v>
      </c>
      <c r="E64" s="13">
        <v>1</v>
      </c>
      <c r="F64" s="109">
        <v>0</v>
      </c>
      <c r="G64" s="504">
        <v>0</v>
      </c>
      <c r="H64" s="504">
        <v>0</v>
      </c>
      <c r="I64" s="504">
        <v>0</v>
      </c>
      <c r="J64" s="504">
        <v>0</v>
      </c>
      <c r="K64" s="504">
        <v>0</v>
      </c>
      <c r="L64" s="504">
        <v>0</v>
      </c>
      <c r="M64" s="504">
        <v>0</v>
      </c>
      <c r="N64" s="504">
        <v>0</v>
      </c>
      <c r="O64" s="110">
        <v>0</v>
      </c>
      <c r="P64" s="109">
        <f t="shared" ref="P64:P65" si="10">MIN(F64:O64)</f>
        <v>0</v>
      </c>
      <c r="Q64" s="504">
        <f t="shared" ref="Q64:Q65" si="11">E64-P64</f>
        <v>1</v>
      </c>
      <c r="R64" s="107">
        <f t="shared" ref="R64:R65" si="12">Q64/E64</f>
        <v>1</v>
      </c>
    </row>
    <row r="65" spans="2:18" ht="9.75" customHeight="1">
      <c r="B65" s="503"/>
      <c r="C65" s="13"/>
      <c r="D65" s="13" t="s">
        <v>125</v>
      </c>
      <c r="E65" s="13">
        <v>1</v>
      </c>
      <c r="F65" s="109">
        <v>0</v>
      </c>
      <c r="G65" s="504">
        <v>0</v>
      </c>
      <c r="H65" s="504">
        <v>0</v>
      </c>
      <c r="I65" s="504">
        <v>0</v>
      </c>
      <c r="J65" s="504">
        <v>0</v>
      </c>
      <c r="K65" s="504">
        <v>0</v>
      </c>
      <c r="L65" s="504">
        <v>0</v>
      </c>
      <c r="M65" s="504">
        <v>0</v>
      </c>
      <c r="N65" s="504">
        <v>0</v>
      </c>
      <c r="O65" s="110">
        <v>0</v>
      </c>
      <c r="P65" s="109">
        <f t="shared" si="10"/>
        <v>0</v>
      </c>
      <c r="Q65" s="504">
        <f t="shared" si="11"/>
        <v>1</v>
      </c>
      <c r="R65" s="107">
        <f t="shared" si="12"/>
        <v>1</v>
      </c>
    </row>
    <row r="66" spans="2:18" ht="9.75" customHeight="1">
      <c r="B66" s="503"/>
      <c r="C66" s="13"/>
      <c r="D66" s="13" t="s">
        <v>120</v>
      </c>
      <c r="E66" s="13"/>
      <c r="F66" s="109"/>
      <c r="G66" s="504"/>
      <c r="H66" s="504"/>
      <c r="I66" s="504"/>
      <c r="J66" s="504"/>
      <c r="K66" s="504"/>
      <c r="L66" s="504"/>
      <c r="M66" s="504"/>
      <c r="N66" s="504"/>
      <c r="O66" s="110"/>
      <c r="P66" s="109"/>
      <c r="Q66" s="504"/>
      <c r="R66" s="107"/>
    </row>
    <row r="67" spans="2:18" ht="9.75" customHeight="1">
      <c r="B67" s="503"/>
      <c r="C67" s="13"/>
      <c r="D67" s="13" t="s">
        <v>120</v>
      </c>
      <c r="E67" s="13"/>
      <c r="F67" s="109"/>
      <c r="G67" s="504"/>
      <c r="H67" s="504"/>
      <c r="I67" s="504"/>
      <c r="J67" s="504"/>
      <c r="K67" s="504"/>
      <c r="L67" s="504"/>
      <c r="M67" s="504"/>
      <c r="N67" s="504"/>
      <c r="O67" s="110"/>
      <c r="P67" s="109"/>
      <c r="Q67" s="504"/>
      <c r="R67" s="107"/>
    </row>
    <row r="68" spans="2:18" ht="9.75" customHeight="1">
      <c r="B68" s="503"/>
      <c r="C68" s="13"/>
      <c r="D68" s="13" t="s">
        <v>120</v>
      </c>
      <c r="E68" s="13"/>
      <c r="F68" s="109"/>
      <c r="G68" s="504"/>
      <c r="H68" s="504"/>
      <c r="I68" s="504"/>
      <c r="J68" s="504"/>
      <c r="K68" s="504"/>
      <c r="L68" s="504"/>
      <c r="M68" s="504"/>
      <c r="N68" s="504"/>
      <c r="O68" s="110"/>
      <c r="P68" s="109"/>
      <c r="Q68" s="504"/>
      <c r="R68" s="107"/>
    </row>
    <row r="69" spans="2:18" ht="9.75" customHeight="1">
      <c r="B69" s="503"/>
      <c r="C69" s="13"/>
      <c r="D69" s="13" t="s">
        <v>120</v>
      </c>
      <c r="E69" s="13"/>
      <c r="F69" s="109"/>
      <c r="G69" s="504"/>
      <c r="H69" s="504"/>
      <c r="I69" s="504"/>
      <c r="J69" s="504"/>
      <c r="K69" s="504"/>
      <c r="L69" s="504"/>
      <c r="M69" s="504"/>
      <c r="N69" s="504"/>
      <c r="O69" s="110"/>
      <c r="P69" s="109"/>
      <c r="Q69" s="504"/>
      <c r="R69" s="107"/>
    </row>
    <row r="70" spans="2:18" ht="9.75" customHeight="1">
      <c r="B70" s="503"/>
      <c r="C70" s="13"/>
      <c r="D70" s="13" t="s">
        <v>34</v>
      </c>
      <c r="E70" s="13"/>
      <c r="F70" s="109"/>
      <c r="G70" s="504"/>
      <c r="H70" s="504"/>
      <c r="I70" s="504"/>
      <c r="J70" s="504"/>
      <c r="K70" s="504"/>
      <c r="L70" s="504"/>
      <c r="M70" s="504"/>
      <c r="N70" s="504"/>
      <c r="O70" s="110"/>
      <c r="P70" s="109"/>
      <c r="Q70" s="504"/>
      <c r="R70" s="107"/>
    </row>
    <row r="71" spans="2:18" ht="9.75" customHeight="1">
      <c r="B71" s="503"/>
      <c r="C71" s="13"/>
      <c r="D71" s="13" t="s">
        <v>35</v>
      </c>
      <c r="E71" s="13">
        <v>5</v>
      </c>
      <c r="F71" s="109">
        <v>3</v>
      </c>
      <c r="G71" s="504">
        <v>2</v>
      </c>
      <c r="H71" s="504">
        <v>1</v>
      </c>
      <c r="I71" s="504">
        <v>3</v>
      </c>
      <c r="J71" s="504">
        <v>2</v>
      </c>
      <c r="K71" s="203">
        <v>2</v>
      </c>
      <c r="L71" s="203">
        <v>1</v>
      </c>
      <c r="M71" s="203">
        <v>1</v>
      </c>
      <c r="N71" s="203">
        <v>1</v>
      </c>
      <c r="O71" s="203">
        <v>1</v>
      </c>
      <c r="P71" s="109">
        <f t="shared" ref="P71:P73" si="13">MIN(F71:O71)</f>
        <v>1</v>
      </c>
      <c r="Q71" s="504">
        <f t="shared" ref="Q71:Q73" si="14">E71-P71</f>
        <v>4</v>
      </c>
      <c r="R71" s="107">
        <f t="shared" ref="R71:R73" si="15">Q71/E71</f>
        <v>0.8</v>
      </c>
    </row>
    <row r="72" spans="2:18" ht="9.75" customHeight="1">
      <c r="B72" s="503"/>
      <c r="C72" s="13"/>
      <c r="D72" s="13" t="s">
        <v>36</v>
      </c>
      <c r="E72" s="13">
        <v>1</v>
      </c>
      <c r="F72" s="109">
        <v>1</v>
      </c>
      <c r="G72" s="504">
        <v>1</v>
      </c>
      <c r="H72" s="504">
        <v>1</v>
      </c>
      <c r="I72" s="504">
        <v>1</v>
      </c>
      <c r="J72" s="504">
        <v>1</v>
      </c>
      <c r="K72" s="203">
        <v>1</v>
      </c>
      <c r="L72" s="203">
        <v>1</v>
      </c>
      <c r="M72" s="203">
        <v>1</v>
      </c>
      <c r="N72" s="203">
        <v>1</v>
      </c>
      <c r="O72" s="203">
        <v>1</v>
      </c>
      <c r="P72" s="109">
        <f t="shared" si="13"/>
        <v>1</v>
      </c>
      <c r="Q72" s="504">
        <f t="shared" si="14"/>
        <v>0</v>
      </c>
      <c r="R72" s="107">
        <f t="shared" si="15"/>
        <v>0</v>
      </c>
    </row>
    <row r="73" spans="2:18" ht="9.75" customHeight="1">
      <c r="B73" s="503"/>
      <c r="C73" s="13"/>
      <c r="D73" s="13" t="s">
        <v>126</v>
      </c>
      <c r="E73" s="13">
        <v>5</v>
      </c>
      <c r="F73" s="109">
        <v>4</v>
      </c>
      <c r="G73" s="504">
        <v>3</v>
      </c>
      <c r="H73" s="504">
        <v>2</v>
      </c>
      <c r="I73" s="504">
        <v>2</v>
      </c>
      <c r="J73" s="504">
        <v>2</v>
      </c>
      <c r="K73" s="504">
        <v>2</v>
      </c>
      <c r="L73" s="504">
        <v>2</v>
      </c>
      <c r="M73" s="504">
        <v>2</v>
      </c>
      <c r="N73" s="504">
        <v>2</v>
      </c>
      <c r="O73" s="110">
        <v>2</v>
      </c>
      <c r="P73" s="109">
        <f t="shared" si="13"/>
        <v>2</v>
      </c>
      <c r="Q73" s="504">
        <f t="shared" si="14"/>
        <v>3</v>
      </c>
      <c r="R73" s="107">
        <f t="shared" si="15"/>
        <v>0.6</v>
      </c>
    </row>
    <row r="74" spans="2:18" ht="9.75" customHeight="1">
      <c r="B74" s="503"/>
      <c r="C74" s="13"/>
      <c r="D74" s="13" t="s">
        <v>37</v>
      </c>
      <c r="E74" s="13"/>
      <c r="F74" s="109"/>
      <c r="G74" s="504"/>
      <c r="H74" s="504"/>
      <c r="I74" s="504"/>
      <c r="J74" s="504"/>
      <c r="K74" s="504"/>
      <c r="L74" s="504"/>
      <c r="M74" s="504"/>
      <c r="N74" s="504"/>
      <c r="O74" s="110"/>
      <c r="P74" s="109"/>
      <c r="Q74" s="504"/>
      <c r="R74" s="107"/>
    </row>
    <row r="75" spans="2:18" ht="9.75" customHeight="1">
      <c r="B75" s="503" t="s">
        <v>127</v>
      </c>
      <c r="C75" s="2"/>
      <c r="D75" s="3" t="s">
        <v>38</v>
      </c>
      <c r="E75" s="3">
        <f t="shared" ref="E75:O75" si="16">SUM(E58:E74)</f>
        <v>13</v>
      </c>
      <c r="F75" s="21">
        <f t="shared" si="16"/>
        <v>8</v>
      </c>
      <c r="G75" s="71">
        <f t="shared" si="16"/>
        <v>6</v>
      </c>
      <c r="H75" s="71">
        <f t="shared" si="16"/>
        <v>4</v>
      </c>
      <c r="I75" s="71">
        <f t="shared" si="16"/>
        <v>6</v>
      </c>
      <c r="J75" s="71">
        <f t="shared" si="16"/>
        <v>5</v>
      </c>
      <c r="K75" s="71">
        <f t="shared" si="16"/>
        <v>5</v>
      </c>
      <c r="L75" s="71">
        <f t="shared" si="16"/>
        <v>4</v>
      </c>
      <c r="M75" s="71">
        <f t="shared" si="16"/>
        <v>4</v>
      </c>
      <c r="N75" s="71">
        <f t="shared" si="16"/>
        <v>4</v>
      </c>
      <c r="O75" s="26">
        <f t="shared" si="16"/>
        <v>4</v>
      </c>
      <c r="P75" s="21">
        <f>MIN(F75:O75)</f>
        <v>4</v>
      </c>
      <c r="Q75" s="71">
        <f>E75-P75</f>
        <v>9</v>
      </c>
      <c r="R75" s="7">
        <f>Q75/E75</f>
        <v>0.69230769230769229</v>
      </c>
    </row>
    <row r="76" spans="2:18" ht="9.75" customHeight="1">
      <c r="B76" s="503"/>
      <c r="C76" s="43" t="s">
        <v>128</v>
      </c>
      <c r="D76" s="43" t="s">
        <v>23</v>
      </c>
      <c r="E76" s="43"/>
      <c r="F76" s="116"/>
      <c r="G76" s="128"/>
      <c r="H76" s="128"/>
      <c r="I76" s="128"/>
      <c r="J76" s="128"/>
      <c r="K76" s="128"/>
      <c r="L76" s="128"/>
      <c r="M76" s="128"/>
      <c r="N76" s="128"/>
      <c r="O76" s="129"/>
      <c r="P76" s="116"/>
      <c r="Q76" s="128"/>
      <c r="R76" s="141"/>
    </row>
    <row r="77" spans="2:18" ht="9.75" customHeight="1">
      <c r="B77" s="503"/>
      <c r="C77" s="13"/>
      <c r="D77" s="13" t="s">
        <v>25</v>
      </c>
      <c r="E77" s="13"/>
      <c r="F77" s="109"/>
      <c r="G77" s="504"/>
      <c r="H77" s="504"/>
      <c r="I77" s="504"/>
      <c r="J77" s="504"/>
      <c r="K77" s="504"/>
      <c r="L77" s="504"/>
      <c r="M77" s="504"/>
      <c r="N77" s="504"/>
      <c r="O77" s="110"/>
      <c r="P77" s="109"/>
      <c r="Q77" s="504"/>
      <c r="R77" s="107"/>
    </row>
    <row r="78" spans="2:18" ht="9.75" customHeight="1">
      <c r="B78" s="503"/>
      <c r="C78" s="13"/>
      <c r="D78" s="13" t="s">
        <v>27</v>
      </c>
      <c r="E78" s="13"/>
      <c r="F78" s="109"/>
      <c r="G78" s="504"/>
      <c r="H78" s="504"/>
      <c r="I78" s="504"/>
      <c r="J78" s="504"/>
      <c r="K78" s="504"/>
      <c r="L78" s="504"/>
      <c r="M78" s="504"/>
      <c r="N78" s="504"/>
      <c r="O78" s="110"/>
      <c r="P78" s="109"/>
      <c r="Q78" s="504"/>
      <c r="R78" s="107"/>
    </row>
    <row r="79" spans="2:18" ht="9.75" customHeight="1">
      <c r="B79" s="503"/>
      <c r="C79" s="13"/>
      <c r="D79" s="13" t="s">
        <v>115</v>
      </c>
      <c r="E79" s="13"/>
      <c r="F79" s="109"/>
      <c r="G79" s="504"/>
      <c r="H79" s="504"/>
      <c r="I79" s="504"/>
      <c r="J79" s="504"/>
      <c r="K79" s="504"/>
      <c r="L79" s="504"/>
      <c r="M79" s="504"/>
      <c r="N79" s="504"/>
      <c r="O79" s="110"/>
      <c r="P79" s="109"/>
      <c r="Q79" s="504"/>
      <c r="R79" s="107"/>
    </row>
    <row r="80" spans="2:18" ht="9.75" customHeight="1">
      <c r="B80" s="503"/>
      <c r="C80" s="13"/>
      <c r="D80" s="13" t="s">
        <v>115</v>
      </c>
      <c r="E80" s="13"/>
      <c r="F80" s="109"/>
      <c r="G80" s="504"/>
      <c r="H80" s="504"/>
      <c r="I80" s="504"/>
      <c r="J80" s="504"/>
      <c r="K80" s="504"/>
      <c r="L80" s="504"/>
      <c r="M80" s="504"/>
      <c r="N80" s="504"/>
      <c r="O80" s="110"/>
      <c r="P80" s="109"/>
      <c r="Q80" s="504"/>
      <c r="R80" s="107"/>
    </row>
    <row r="81" spans="2:18" ht="9.75" customHeight="1">
      <c r="B81" s="503"/>
      <c r="C81" s="13"/>
      <c r="D81" s="13" t="s">
        <v>32</v>
      </c>
      <c r="E81" s="13"/>
      <c r="F81" s="109"/>
      <c r="G81" s="504"/>
      <c r="H81" s="504"/>
      <c r="I81" s="504"/>
      <c r="J81" s="504"/>
      <c r="K81" s="504"/>
      <c r="L81" s="504"/>
      <c r="M81" s="504"/>
      <c r="N81" s="504"/>
      <c r="O81" s="110"/>
      <c r="P81" s="109"/>
      <c r="Q81" s="504"/>
      <c r="R81" s="107"/>
    </row>
    <row r="82" spans="2:18" ht="9.75" customHeight="1">
      <c r="B82" s="503"/>
      <c r="C82" s="13"/>
      <c r="D82" s="13" t="s">
        <v>120</v>
      </c>
      <c r="E82" s="13"/>
      <c r="F82" s="109"/>
      <c r="G82" s="504"/>
      <c r="H82" s="504"/>
      <c r="I82" s="504"/>
      <c r="J82" s="504"/>
      <c r="K82" s="504"/>
      <c r="L82" s="504"/>
      <c r="M82" s="504"/>
      <c r="N82" s="504"/>
      <c r="O82" s="110"/>
      <c r="P82" s="109"/>
      <c r="Q82" s="504"/>
      <c r="R82" s="107"/>
    </row>
    <row r="83" spans="2:18" ht="9.75" customHeight="1">
      <c r="B83" s="503"/>
      <c r="C83" s="13"/>
      <c r="D83" s="13" t="s">
        <v>120</v>
      </c>
      <c r="E83" s="13"/>
      <c r="F83" s="109"/>
      <c r="G83" s="504"/>
      <c r="H83" s="504"/>
      <c r="I83" s="504"/>
      <c r="J83" s="504"/>
      <c r="K83" s="504"/>
      <c r="L83" s="504"/>
      <c r="M83" s="504"/>
      <c r="N83" s="504"/>
      <c r="O83" s="110"/>
      <c r="P83" s="109"/>
      <c r="Q83" s="504"/>
      <c r="R83" s="107"/>
    </row>
    <row r="84" spans="2:18" ht="9.75" customHeight="1">
      <c r="B84" s="503"/>
      <c r="C84" s="13"/>
      <c r="D84" s="13" t="s">
        <v>120</v>
      </c>
      <c r="E84" s="13"/>
      <c r="F84" s="109"/>
      <c r="G84" s="504"/>
      <c r="H84" s="504"/>
      <c r="I84" s="504"/>
      <c r="J84" s="504"/>
      <c r="K84" s="504"/>
      <c r="L84" s="504"/>
      <c r="M84" s="504"/>
      <c r="N84" s="504"/>
      <c r="O84" s="110"/>
      <c r="P84" s="109"/>
      <c r="Q84" s="504"/>
      <c r="R84" s="107"/>
    </row>
    <row r="85" spans="2:18" ht="9.75" customHeight="1">
      <c r="B85" s="503"/>
      <c r="C85" s="13"/>
      <c r="D85" s="13" t="s">
        <v>120</v>
      </c>
      <c r="E85" s="13"/>
      <c r="F85" s="109"/>
      <c r="G85" s="504"/>
      <c r="H85" s="504"/>
      <c r="I85" s="504"/>
      <c r="J85" s="504"/>
      <c r="K85" s="504"/>
      <c r="L85" s="504"/>
      <c r="M85" s="504"/>
      <c r="N85" s="504"/>
      <c r="O85" s="110"/>
      <c r="P85" s="109"/>
      <c r="Q85" s="504"/>
      <c r="R85" s="107"/>
    </row>
    <row r="86" spans="2:18" ht="9.75" customHeight="1">
      <c r="B86" s="503"/>
      <c r="C86" s="13"/>
      <c r="D86" s="13" t="s">
        <v>120</v>
      </c>
      <c r="E86" s="13"/>
      <c r="F86" s="109"/>
      <c r="G86" s="504"/>
      <c r="H86" s="504"/>
      <c r="I86" s="504"/>
      <c r="J86" s="504"/>
      <c r="K86" s="504"/>
      <c r="L86" s="504"/>
      <c r="M86" s="504"/>
      <c r="N86" s="504"/>
      <c r="O86" s="110"/>
      <c r="P86" s="109"/>
      <c r="Q86" s="504"/>
      <c r="R86" s="107"/>
    </row>
    <row r="87" spans="2:18" ht="9.75" customHeight="1">
      <c r="B87" s="503"/>
      <c r="C87" s="13"/>
      <c r="D87" s="13" t="s">
        <v>120</v>
      </c>
      <c r="E87" s="13"/>
      <c r="F87" s="109"/>
      <c r="G87" s="504"/>
      <c r="H87" s="504"/>
      <c r="I87" s="504"/>
      <c r="J87" s="504"/>
      <c r="K87" s="504"/>
      <c r="L87" s="504"/>
      <c r="M87" s="504"/>
      <c r="N87" s="504"/>
      <c r="O87" s="110"/>
      <c r="P87" s="109"/>
      <c r="Q87" s="504"/>
      <c r="R87" s="107"/>
    </row>
    <row r="88" spans="2:18" ht="9.75" customHeight="1">
      <c r="B88" s="503"/>
      <c r="C88" s="13"/>
      <c r="D88" s="13" t="s">
        <v>34</v>
      </c>
      <c r="E88" s="13">
        <v>1</v>
      </c>
      <c r="F88" s="109">
        <v>1</v>
      </c>
      <c r="G88" s="504">
        <v>1</v>
      </c>
      <c r="H88" s="504">
        <v>1</v>
      </c>
      <c r="I88" s="504">
        <v>1</v>
      </c>
      <c r="J88" s="504">
        <v>1</v>
      </c>
      <c r="K88" s="203">
        <v>1</v>
      </c>
      <c r="L88" s="203">
        <v>1</v>
      </c>
      <c r="M88" s="203">
        <v>1</v>
      </c>
      <c r="N88" s="203">
        <v>1</v>
      </c>
      <c r="O88" s="203">
        <v>1</v>
      </c>
      <c r="P88" s="109">
        <f>MIN(F88:O88)</f>
        <v>1</v>
      </c>
      <c r="Q88" s="504">
        <f>E88-P88</f>
        <v>0</v>
      </c>
      <c r="R88" s="107">
        <f>Q88/E88</f>
        <v>0</v>
      </c>
    </row>
    <row r="89" spans="2:18" ht="9.75" customHeight="1">
      <c r="B89" s="503"/>
      <c r="C89" s="13"/>
      <c r="D89" s="13" t="s">
        <v>35</v>
      </c>
      <c r="E89" s="13"/>
      <c r="F89" s="109"/>
      <c r="G89" s="504"/>
      <c r="H89" s="504"/>
      <c r="I89" s="504"/>
      <c r="J89" s="504"/>
      <c r="K89" s="504"/>
      <c r="L89" s="504"/>
      <c r="M89" s="504"/>
      <c r="N89" s="504"/>
      <c r="O89" s="110"/>
      <c r="P89" s="109"/>
      <c r="Q89" s="504"/>
      <c r="R89" s="107"/>
    </row>
    <row r="90" spans="2:18" ht="9.75" customHeight="1">
      <c r="B90" s="503"/>
      <c r="C90" s="13"/>
      <c r="D90" s="13" t="s">
        <v>36</v>
      </c>
      <c r="E90" s="13"/>
      <c r="F90" s="109"/>
      <c r="G90" s="504"/>
      <c r="H90" s="504"/>
      <c r="I90" s="504"/>
      <c r="J90" s="504"/>
      <c r="K90" s="504"/>
      <c r="L90" s="504"/>
      <c r="M90" s="504"/>
      <c r="N90" s="504"/>
      <c r="O90" s="110"/>
      <c r="P90" s="109"/>
      <c r="Q90" s="504"/>
      <c r="R90" s="107"/>
    </row>
    <row r="91" spans="2:18" ht="9.75" customHeight="1">
      <c r="B91" s="503"/>
      <c r="C91" s="13"/>
      <c r="D91" s="13" t="s">
        <v>129</v>
      </c>
      <c r="E91" s="13"/>
      <c r="F91" s="109"/>
      <c r="G91" s="504"/>
      <c r="H91" s="504"/>
      <c r="I91" s="504"/>
      <c r="J91" s="504"/>
      <c r="K91" s="504"/>
      <c r="L91" s="504"/>
      <c r="M91" s="504"/>
      <c r="N91" s="504"/>
      <c r="O91" s="110"/>
      <c r="P91" s="109"/>
      <c r="Q91" s="504"/>
      <c r="R91" s="107"/>
    </row>
    <row r="92" spans="2:18" ht="9.75" customHeight="1">
      <c r="B92" s="503" t="s">
        <v>127</v>
      </c>
      <c r="C92" s="2"/>
      <c r="D92" s="3" t="s">
        <v>38</v>
      </c>
      <c r="E92" s="3">
        <f>SUM(E76:E91)</f>
        <v>1</v>
      </c>
      <c r="F92" s="21">
        <f t="shared" ref="F92:O92" si="17">SUM(F76:F91)</f>
        <v>1</v>
      </c>
      <c r="G92" s="71">
        <f t="shared" si="17"/>
        <v>1</v>
      </c>
      <c r="H92" s="71">
        <f t="shared" si="17"/>
        <v>1</v>
      </c>
      <c r="I92" s="71">
        <f t="shared" si="17"/>
        <v>1</v>
      </c>
      <c r="J92" s="71">
        <f t="shared" si="17"/>
        <v>1</v>
      </c>
      <c r="K92" s="71">
        <f t="shared" si="17"/>
        <v>1</v>
      </c>
      <c r="L92" s="71">
        <f t="shared" si="17"/>
        <v>1</v>
      </c>
      <c r="M92" s="71">
        <f t="shared" si="17"/>
        <v>1</v>
      </c>
      <c r="N92" s="71">
        <f t="shared" si="17"/>
        <v>1</v>
      </c>
      <c r="O92" s="26">
        <f t="shared" si="17"/>
        <v>1</v>
      </c>
      <c r="P92" s="21">
        <f>MIN(F92:O92)</f>
        <v>1</v>
      </c>
      <c r="Q92" s="71">
        <f>E92-P92</f>
        <v>0</v>
      </c>
      <c r="R92" s="7">
        <f>Q92/E92</f>
        <v>0</v>
      </c>
    </row>
    <row r="93" spans="2:18" ht="9.75" customHeight="1">
      <c r="B93" s="503"/>
      <c r="C93" s="43" t="s">
        <v>130</v>
      </c>
      <c r="D93" s="43" t="s">
        <v>23</v>
      </c>
      <c r="E93" s="43"/>
      <c r="F93" s="116"/>
      <c r="G93" s="128"/>
      <c r="H93" s="128"/>
      <c r="I93" s="128"/>
      <c r="J93" s="128"/>
      <c r="K93" s="128"/>
      <c r="L93" s="128"/>
      <c r="M93" s="128"/>
      <c r="N93" s="128"/>
      <c r="O93" s="129"/>
      <c r="P93" s="116"/>
      <c r="Q93" s="128"/>
      <c r="R93" s="141"/>
    </row>
    <row r="94" spans="2:18" ht="9.75" customHeight="1">
      <c r="B94" s="503"/>
      <c r="C94" s="13"/>
      <c r="D94" s="13" t="s">
        <v>25</v>
      </c>
      <c r="E94" s="13"/>
      <c r="F94" s="109"/>
      <c r="G94" s="504"/>
      <c r="H94" s="504"/>
      <c r="I94" s="504"/>
      <c r="J94" s="504"/>
      <c r="K94" s="504"/>
      <c r="L94" s="504"/>
      <c r="M94" s="504"/>
      <c r="N94" s="504"/>
      <c r="O94" s="110"/>
      <c r="P94" s="109"/>
      <c r="Q94" s="504"/>
      <c r="R94" s="107"/>
    </row>
    <row r="95" spans="2:18" ht="9.75" customHeight="1">
      <c r="B95" s="503"/>
      <c r="C95" s="13"/>
      <c r="D95" s="13" t="s">
        <v>27</v>
      </c>
      <c r="E95" s="13"/>
      <c r="F95" s="109"/>
      <c r="G95" s="504"/>
      <c r="H95" s="504"/>
      <c r="I95" s="504"/>
      <c r="J95" s="504"/>
      <c r="K95" s="504"/>
      <c r="L95" s="504"/>
      <c r="M95" s="504"/>
      <c r="N95" s="504"/>
      <c r="O95" s="110"/>
      <c r="P95" s="109"/>
      <c r="Q95" s="504"/>
      <c r="R95" s="107"/>
    </row>
    <row r="96" spans="2:18" ht="9.75" customHeight="1">
      <c r="B96" s="503"/>
      <c r="C96" s="13"/>
      <c r="D96" s="13" t="s">
        <v>115</v>
      </c>
      <c r="E96" s="13"/>
      <c r="F96" s="109"/>
      <c r="G96" s="504"/>
      <c r="H96" s="504"/>
      <c r="I96" s="504"/>
      <c r="J96" s="504"/>
      <c r="K96" s="504"/>
      <c r="L96" s="504"/>
      <c r="M96" s="504"/>
      <c r="N96" s="504"/>
      <c r="O96" s="110"/>
      <c r="P96" s="109"/>
      <c r="Q96" s="504"/>
      <c r="R96" s="107"/>
    </row>
    <row r="97" spans="2:18" ht="9.75" customHeight="1">
      <c r="B97" s="503"/>
      <c r="C97" s="13"/>
      <c r="D97" s="13" t="s">
        <v>115</v>
      </c>
      <c r="E97" s="13"/>
      <c r="F97" s="109"/>
      <c r="G97" s="504"/>
      <c r="H97" s="504"/>
      <c r="I97" s="504"/>
      <c r="J97" s="504"/>
      <c r="K97" s="504"/>
      <c r="L97" s="504"/>
      <c r="M97" s="504"/>
      <c r="N97" s="504"/>
      <c r="O97" s="110"/>
      <c r="P97" s="109"/>
      <c r="Q97" s="504"/>
      <c r="R97" s="107"/>
    </row>
    <row r="98" spans="2:18" ht="9.75" customHeight="1">
      <c r="B98" s="503"/>
      <c r="C98" s="13"/>
      <c r="D98" s="13" t="s">
        <v>32</v>
      </c>
      <c r="E98" s="13"/>
      <c r="F98" s="109"/>
      <c r="G98" s="504"/>
      <c r="H98" s="504"/>
      <c r="I98" s="504"/>
      <c r="J98" s="504"/>
      <c r="K98" s="504"/>
      <c r="L98" s="504"/>
      <c r="M98" s="504"/>
      <c r="N98" s="504"/>
      <c r="O98" s="110"/>
      <c r="P98" s="109"/>
      <c r="Q98" s="504"/>
      <c r="R98" s="107"/>
    </row>
    <row r="99" spans="2:18" ht="9.75" customHeight="1">
      <c r="B99" s="503"/>
      <c r="C99" s="13"/>
      <c r="D99" s="13" t="s">
        <v>119</v>
      </c>
      <c r="E99" s="13">
        <v>6</v>
      </c>
      <c r="F99" s="109">
        <v>3</v>
      </c>
      <c r="G99" s="504">
        <v>2</v>
      </c>
      <c r="H99" s="504">
        <v>1</v>
      </c>
      <c r="I99" s="504">
        <v>1</v>
      </c>
      <c r="J99" s="504">
        <v>1</v>
      </c>
      <c r="K99" s="203">
        <v>1</v>
      </c>
      <c r="L99" s="203">
        <v>1</v>
      </c>
      <c r="M99" s="203">
        <v>1</v>
      </c>
      <c r="N99" s="203">
        <v>1</v>
      </c>
      <c r="O99" s="203">
        <v>1</v>
      </c>
      <c r="P99" s="121">
        <f>MIN(F99:O99)</f>
        <v>1</v>
      </c>
      <c r="Q99" s="11">
        <f>E99-P99</f>
        <v>5</v>
      </c>
      <c r="R99" s="122">
        <f>Q99/E99</f>
        <v>0.83333333333333337</v>
      </c>
    </row>
    <row r="100" spans="2:18" ht="9.75" customHeight="1">
      <c r="B100" s="503"/>
      <c r="C100" s="13"/>
      <c r="D100" s="13" t="s">
        <v>120</v>
      </c>
      <c r="E100" s="13"/>
      <c r="F100" s="109"/>
      <c r="G100" s="504"/>
      <c r="H100" s="504"/>
      <c r="I100" s="504"/>
      <c r="J100" s="504"/>
      <c r="K100" s="504"/>
      <c r="L100" s="504"/>
      <c r="M100" s="504"/>
      <c r="N100" s="504"/>
      <c r="O100" s="110"/>
      <c r="P100" s="109"/>
      <c r="Q100" s="504"/>
      <c r="R100" s="107"/>
    </row>
    <row r="101" spans="2:18" ht="9.75" customHeight="1">
      <c r="B101" s="503"/>
      <c r="C101" s="13"/>
      <c r="D101" s="13" t="s">
        <v>120</v>
      </c>
      <c r="E101" s="13"/>
      <c r="F101" s="109"/>
      <c r="G101" s="504"/>
      <c r="H101" s="504"/>
      <c r="I101" s="504"/>
      <c r="J101" s="504"/>
      <c r="K101" s="504"/>
      <c r="L101" s="504"/>
      <c r="M101" s="504"/>
      <c r="N101" s="504"/>
      <c r="O101" s="110"/>
      <c r="P101" s="109"/>
      <c r="Q101" s="504"/>
      <c r="R101" s="107"/>
    </row>
    <row r="102" spans="2:18" ht="9.75" customHeight="1">
      <c r="B102" s="503"/>
      <c r="C102" s="13"/>
      <c r="D102" s="13" t="s">
        <v>120</v>
      </c>
      <c r="E102" s="13"/>
      <c r="F102" s="109"/>
      <c r="G102" s="504"/>
      <c r="H102" s="504"/>
      <c r="I102" s="504"/>
      <c r="J102" s="504"/>
      <c r="K102" s="504"/>
      <c r="L102" s="504"/>
      <c r="M102" s="504"/>
      <c r="N102" s="504"/>
      <c r="O102" s="110"/>
      <c r="P102" s="109"/>
      <c r="Q102" s="504"/>
      <c r="R102" s="107"/>
    </row>
    <row r="103" spans="2:18" ht="9.75" customHeight="1">
      <c r="B103" s="503"/>
      <c r="C103" s="13"/>
      <c r="D103" s="13" t="s">
        <v>120</v>
      </c>
      <c r="E103" s="13"/>
      <c r="F103" s="109"/>
      <c r="G103" s="504"/>
      <c r="H103" s="504"/>
      <c r="I103" s="504"/>
      <c r="J103" s="504"/>
      <c r="K103" s="504"/>
      <c r="L103" s="504"/>
      <c r="M103" s="504"/>
      <c r="N103" s="504"/>
      <c r="O103" s="110"/>
      <c r="P103" s="109"/>
      <c r="Q103" s="504"/>
      <c r="R103" s="107"/>
    </row>
    <row r="104" spans="2:18" ht="9.75" customHeight="1">
      <c r="B104" s="503"/>
      <c r="C104" s="13"/>
      <c r="D104" s="13" t="s">
        <v>120</v>
      </c>
      <c r="E104" s="13"/>
      <c r="F104" s="109"/>
      <c r="G104" s="504"/>
      <c r="H104" s="504"/>
      <c r="I104" s="504"/>
      <c r="J104" s="504"/>
      <c r="K104" s="504"/>
      <c r="L104" s="504"/>
      <c r="M104" s="504"/>
      <c r="N104" s="504"/>
      <c r="O104" s="110"/>
      <c r="P104" s="109"/>
      <c r="Q104" s="504"/>
      <c r="R104" s="107"/>
    </row>
    <row r="105" spans="2:18" ht="9.75" customHeight="1">
      <c r="B105" s="503"/>
      <c r="C105" s="13"/>
      <c r="D105" s="13" t="s">
        <v>34</v>
      </c>
      <c r="E105" s="13">
        <v>1</v>
      </c>
      <c r="F105" s="109">
        <v>0</v>
      </c>
      <c r="G105" s="504">
        <v>0</v>
      </c>
      <c r="H105" s="504">
        <v>0</v>
      </c>
      <c r="I105" s="504">
        <v>0</v>
      </c>
      <c r="J105" s="504">
        <v>0</v>
      </c>
      <c r="K105" s="203">
        <v>0</v>
      </c>
      <c r="L105" s="203">
        <v>0</v>
      </c>
      <c r="M105" s="203">
        <v>0</v>
      </c>
      <c r="N105" s="203">
        <v>0</v>
      </c>
      <c r="O105" s="203">
        <v>0</v>
      </c>
      <c r="P105" s="121">
        <f>MIN(F105:O105)</f>
        <v>0</v>
      </c>
      <c r="Q105" s="11">
        <f>E105-P105</f>
        <v>1</v>
      </c>
      <c r="R105" s="122">
        <f>Q105/E105</f>
        <v>1</v>
      </c>
    </row>
    <row r="106" spans="2:18" ht="9.75" customHeight="1">
      <c r="B106" s="503"/>
      <c r="C106" s="13"/>
      <c r="D106" s="13" t="s">
        <v>35</v>
      </c>
      <c r="E106" s="13"/>
      <c r="F106" s="109"/>
      <c r="G106" s="504"/>
      <c r="H106" s="504"/>
      <c r="I106" s="504"/>
      <c r="J106" s="504"/>
      <c r="K106" s="504"/>
      <c r="L106" s="504"/>
      <c r="M106" s="504"/>
      <c r="N106" s="504"/>
      <c r="O106" s="110"/>
      <c r="P106" s="109"/>
      <c r="Q106" s="504"/>
      <c r="R106" s="107"/>
    </row>
    <row r="107" spans="2:18" ht="9.75" customHeight="1">
      <c r="B107" s="503"/>
      <c r="C107" s="13"/>
      <c r="D107" s="13" t="s">
        <v>36</v>
      </c>
      <c r="E107" s="13"/>
      <c r="F107" s="109"/>
      <c r="G107" s="504"/>
      <c r="H107" s="504"/>
      <c r="I107" s="504"/>
      <c r="J107" s="504"/>
      <c r="K107" s="504"/>
      <c r="L107" s="504"/>
      <c r="M107" s="504"/>
      <c r="N107" s="504"/>
      <c r="O107" s="110"/>
      <c r="P107" s="109"/>
      <c r="Q107" s="504"/>
      <c r="R107" s="107"/>
    </row>
    <row r="108" spans="2:18" ht="9.75" customHeight="1">
      <c r="B108" s="503"/>
      <c r="C108" s="13"/>
      <c r="D108" s="13" t="s">
        <v>37</v>
      </c>
      <c r="E108" s="13"/>
      <c r="F108" s="109"/>
      <c r="G108" s="504"/>
      <c r="H108" s="504"/>
      <c r="I108" s="504"/>
      <c r="J108" s="504"/>
      <c r="K108" s="504"/>
      <c r="L108" s="504"/>
      <c r="M108" s="504"/>
      <c r="N108" s="504"/>
      <c r="O108" s="110"/>
      <c r="P108" s="109"/>
      <c r="Q108" s="504"/>
      <c r="R108" s="107"/>
    </row>
    <row r="109" spans="2:18" ht="9.75" customHeight="1">
      <c r="B109" s="503" t="s">
        <v>127</v>
      </c>
      <c r="C109" s="2"/>
      <c r="D109" s="3" t="s">
        <v>38</v>
      </c>
      <c r="E109" s="3">
        <f>SUM(E93:E108)</f>
        <v>7</v>
      </c>
      <c r="F109" s="21">
        <f t="shared" ref="F109" si="18">SUM(F93:F108)</f>
        <v>3</v>
      </c>
      <c r="G109" s="71">
        <f t="shared" ref="G109" si="19">SUM(G93:G108)</f>
        <v>2</v>
      </c>
      <c r="H109" s="71">
        <f t="shared" ref="H109" si="20">SUM(H93:H108)</f>
        <v>1</v>
      </c>
      <c r="I109" s="71">
        <f t="shared" ref="I109" si="21">SUM(I93:I108)</f>
        <v>1</v>
      </c>
      <c r="J109" s="71">
        <f t="shared" ref="J109" si="22">SUM(J93:J108)</f>
        <v>1</v>
      </c>
      <c r="K109" s="71">
        <f t="shared" ref="K109" si="23">SUM(K93:K108)</f>
        <v>1</v>
      </c>
      <c r="L109" s="71">
        <f t="shared" ref="L109" si="24">SUM(L93:L108)</f>
        <v>1</v>
      </c>
      <c r="M109" s="71">
        <f t="shared" ref="M109" si="25">SUM(M93:M108)</f>
        <v>1</v>
      </c>
      <c r="N109" s="71">
        <f t="shared" ref="N109" si="26">SUM(N93:N108)</f>
        <v>1</v>
      </c>
      <c r="O109" s="26">
        <f t="shared" ref="O109" si="27">SUM(O93:O108)</f>
        <v>1</v>
      </c>
      <c r="P109" s="21">
        <f>MIN(F109:O109)</f>
        <v>1</v>
      </c>
      <c r="Q109" s="71">
        <f>E109-P109</f>
        <v>6</v>
      </c>
      <c r="R109" s="7">
        <f>Q109/E109</f>
        <v>0.8571428571428571</v>
      </c>
    </row>
    <row r="110" spans="2:18" ht="9.75" customHeight="1">
      <c r="B110" s="503"/>
      <c r="C110" s="43" t="s">
        <v>131</v>
      </c>
      <c r="D110" s="43" t="s">
        <v>23</v>
      </c>
      <c r="E110" s="43"/>
      <c r="F110" s="116"/>
      <c r="G110" s="128"/>
      <c r="H110" s="128"/>
      <c r="I110" s="128"/>
      <c r="J110" s="128"/>
      <c r="K110" s="128"/>
      <c r="L110" s="128"/>
      <c r="M110" s="128"/>
      <c r="N110" s="128"/>
      <c r="O110" s="129"/>
      <c r="P110" s="116"/>
      <c r="Q110" s="128"/>
      <c r="R110" s="141"/>
    </row>
    <row r="111" spans="2:18" ht="9.75" customHeight="1">
      <c r="B111" s="503"/>
      <c r="C111" s="13"/>
      <c r="D111" s="13" t="s">
        <v>25</v>
      </c>
      <c r="E111" s="13"/>
      <c r="F111" s="109"/>
      <c r="G111" s="504"/>
      <c r="H111" s="504"/>
      <c r="I111" s="504"/>
      <c r="J111" s="504"/>
      <c r="K111" s="504"/>
      <c r="L111" s="504"/>
      <c r="M111" s="504"/>
      <c r="N111" s="504"/>
      <c r="O111" s="110"/>
      <c r="P111" s="109"/>
      <c r="Q111" s="504"/>
      <c r="R111" s="107"/>
    </row>
    <row r="112" spans="2:18" ht="9.75" customHeight="1">
      <c r="B112" s="503"/>
      <c r="C112" s="13"/>
      <c r="D112" s="13" t="s">
        <v>27</v>
      </c>
      <c r="E112" s="13"/>
      <c r="F112" s="109"/>
      <c r="G112" s="504"/>
      <c r="H112" s="504"/>
      <c r="I112" s="504"/>
      <c r="J112" s="504"/>
      <c r="K112" s="504"/>
      <c r="L112" s="504"/>
      <c r="M112" s="504"/>
      <c r="N112" s="504"/>
      <c r="O112" s="110"/>
      <c r="P112" s="109"/>
      <c r="Q112" s="504"/>
      <c r="R112" s="107"/>
    </row>
    <row r="113" spans="2:18" ht="9.75" customHeight="1">
      <c r="B113" s="503"/>
      <c r="C113" s="13"/>
      <c r="D113" s="13" t="s">
        <v>115</v>
      </c>
      <c r="E113" s="13"/>
      <c r="F113" s="109"/>
      <c r="G113" s="504"/>
      <c r="H113" s="504"/>
      <c r="I113" s="504"/>
      <c r="J113" s="504"/>
      <c r="K113" s="504"/>
      <c r="L113" s="504"/>
      <c r="M113" s="504"/>
      <c r="N113" s="504"/>
      <c r="O113" s="110"/>
      <c r="P113" s="109"/>
      <c r="Q113" s="504"/>
      <c r="R113" s="107"/>
    </row>
    <row r="114" spans="2:18" ht="9.75" customHeight="1">
      <c r="B114" s="503"/>
      <c r="C114" s="13"/>
      <c r="D114" s="13" t="s">
        <v>115</v>
      </c>
      <c r="E114" s="13"/>
      <c r="F114" s="109"/>
      <c r="G114" s="504"/>
      <c r="H114" s="504"/>
      <c r="I114" s="504"/>
      <c r="J114" s="504"/>
      <c r="K114" s="504"/>
      <c r="L114" s="504"/>
      <c r="M114" s="504"/>
      <c r="N114" s="504"/>
      <c r="O114" s="110"/>
      <c r="P114" s="109"/>
      <c r="Q114" s="504"/>
      <c r="R114" s="107"/>
    </row>
    <row r="115" spans="2:18" ht="9.75" customHeight="1">
      <c r="B115" s="503"/>
      <c r="C115" s="13"/>
      <c r="D115" s="13" t="s">
        <v>32</v>
      </c>
      <c r="E115" s="13"/>
      <c r="F115" s="109"/>
      <c r="G115" s="504"/>
      <c r="H115" s="504"/>
      <c r="I115" s="504"/>
      <c r="J115" s="504"/>
      <c r="K115" s="504"/>
      <c r="L115" s="504"/>
      <c r="M115" s="504"/>
      <c r="N115" s="504"/>
      <c r="O115" s="110"/>
      <c r="P115" s="109"/>
      <c r="Q115" s="504"/>
      <c r="R115" s="107"/>
    </row>
    <row r="116" spans="2:18" ht="9.75" customHeight="1">
      <c r="B116" s="503"/>
      <c r="C116" s="13"/>
      <c r="D116" s="13" t="s">
        <v>119</v>
      </c>
      <c r="E116" s="13">
        <f>19+8</f>
        <v>27</v>
      </c>
      <c r="F116" s="109">
        <f>E116-8</f>
        <v>19</v>
      </c>
      <c r="G116" s="504">
        <f>E116-14</f>
        <v>13</v>
      </c>
      <c r="H116" s="504">
        <f>7+9-5</f>
        <v>11</v>
      </c>
      <c r="I116" s="504">
        <f>2+4</f>
        <v>6</v>
      </c>
      <c r="J116" s="504">
        <v>2</v>
      </c>
      <c r="K116" s="11">
        <v>3</v>
      </c>
      <c r="L116" s="11">
        <v>4</v>
      </c>
      <c r="M116" s="11">
        <v>5</v>
      </c>
      <c r="N116" s="11">
        <v>5</v>
      </c>
      <c r="O116" s="136">
        <v>11</v>
      </c>
      <c r="P116" s="109">
        <f>MIN(F116:O116)</f>
        <v>2</v>
      </c>
      <c r="Q116" s="504">
        <f>E116-P116</f>
        <v>25</v>
      </c>
      <c r="R116" s="107">
        <f>Q116/E116</f>
        <v>0.92592592592592593</v>
      </c>
    </row>
    <row r="117" spans="2:18" ht="9.75" customHeight="1">
      <c r="B117" s="503"/>
      <c r="C117" s="13"/>
      <c r="D117" s="13" t="s">
        <v>132</v>
      </c>
      <c r="E117" s="13"/>
      <c r="F117" s="109"/>
      <c r="G117" s="504"/>
      <c r="H117" s="504"/>
      <c r="I117" s="504"/>
      <c r="J117" s="504"/>
      <c r="K117" s="11"/>
      <c r="L117" s="11"/>
      <c r="M117" s="11"/>
      <c r="N117" s="11"/>
      <c r="O117" s="136"/>
      <c r="P117" s="109"/>
      <c r="Q117" s="504"/>
      <c r="R117" s="107"/>
    </row>
    <row r="118" spans="2:18" ht="9.75" customHeight="1">
      <c r="B118" s="503"/>
      <c r="C118" s="13"/>
      <c r="D118" s="13" t="s">
        <v>118</v>
      </c>
      <c r="E118" s="13">
        <v>4</v>
      </c>
      <c r="F118" s="109">
        <v>1</v>
      </c>
      <c r="G118" s="504">
        <v>1</v>
      </c>
      <c r="H118" s="504">
        <v>1</v>
      </c>
      <c r="I118" s="504">
        <v>1</v>
      </c>
      <c r="J118" s="504">
        <v>1</v>
      </c>
      <c r="K118" s="91">
        <v>1</v>
      </c>
      <c r="L118" s="91">
        <v>1</v>
      </c>
      <c r="M118" s="91">
        <v>2</v>
      </c>
      <c r="N118" s="91">
        <v>2</v>
      </c>
      <c r="O118" s="108">
        <v>2</v>
      </c>
      <c r="P118" s="109">
        <f>MIN(F118:O118)</f>
        <v>1</v>
      </c>
      <c r="Q118" s="504">
        <f>E118-P118</f>
        <v>3</v>
      </c>
      <c r="R118" s="107">
        <f>Q118/E118</f>
        <v>0.75</v>
      </c>
    </row>
    <row r="119" spans="2:18" ht="9.75" customHeight="1">
      <c r="B119" s="503"/>
      <c r="C119" s="13"/>
      <c r="D119" s="13" t="s">
        <v>120</v>
      </c>
      <c r="E119" s="13"/>
      <c r="F119" s="109"/>
      <c r="G119" s="504"/>
      <c r="H119" s="504"/>
      <c r="I119" s="504"/>
      <c r="J119" s="504"/>
      <c r="K119" s="32"/>
      <c r="L119" s="32"/>
      <c r="M119" s="32"/>
      <c r="N119" s="32"/>
      <c r="O119" s="142"/>
      <c r="P119" s="109"/>
      <c r="Q119" s="504"/>
      <c r="R119" s="107"/>
    </row>
    <row r="120" spans="2:18" ht="9.75" customHeight="1">
      <c r="B120" s="503"/>
      <c r="C120" s="13"/>
      <c r="D120" s="13" t="s">
        <v>120</v>
      </c>
      <c r="E120" s="13"/>
      <c r="F120" s="109"/>
      <c r="G120" s="504"/>
      <c r="H120" s="504"/>
      <c r="I120" s="504"/>
      <c r="J120" s="504"/>
      <c r="K120" s="32"/>
      <c r="L120" s="32"/>
      <c r="M120" s="32"/>
      <c r="N120" s="32"/>
      <c r="O120" s="142"/>
      <c r="P120" s="109"/>
      <c r="Q120" s="504"/>
      <c r="R120" s="107"/>
    </row>
    <row r="121" spans="2:18" ht="9.75" customHeight="1">
      <c r="B121" s="503"/>
      <c r="C121" s="13"/>
      <c r="D121" s="13" t="s">
        <v>120</v>
      </c>
      <c r="E121" s="13"/>
      <c r="F121" s="109"/>
      <c r="G121" s="504"/>
      <c r="H121" s="504"/>
      <c r="I121" s="504"/>
      <c r="J121" s="504"/>
      <c r="K121" s="32"/>
      <c r="L121" s="32"/>
      <c r="M121" s="32"/>
      <c r="N121" s="32"/>
      <c r="O121" s="142"/>
      <c r="P121" s="109"/>
      <c r="Q121" s="504"/>
      <c r="R121" s="107"/>
    </row>
    <row r="122" spans="2:18" ht="9.75" customHeight="1">
      <c r="B122" s="503"/>
      <c r="C122" s="13"/>
      <c r="D122" s="13" t="s">
        <v>34</v>
      </c>
      <c r="E122" s="13">
        <v>2</v>
      </c>
      <c r="F122" s="109">
        <v>2</v>
      </c>
      <c r="G122" s="504">
        <v>2</v>
      </c>
      <c r="H122" s="504">
        <v>1</v>
      </c>
      <c r="I122" s="504">
        <v>1</v>
      </c>
      <c r="J122" s="504">
        <v>1</v>
      </c>
      <c r="K122" s="91">
        <v>1</v>
      </c>
      <c r="L122" s="91">
        <v>1</v>
      </c>
      <c r="M122" s="91">
        <v>1</v>
      </c>
      <c r="N122" s="91">
        <v>1</v>
      </c>
      <c r="O122" s="108">
        <v>1</v>
      </c>
      <c r="P122" s="109"/>
      <c r="Q122" s="504"/>
      <c r="R122" s="107"/>
    </row>
    <row r="123" spans="2:18" ht="9.75" customHeight="1">
      <c r="B123" s="503"/>
      <c r="C123" s="13"/>
      <c r="D123" s="13" t="s">
        <v>35</v>
      </c>
      <c r="E123" s="13">
        <v>2</v>
      </c>
      <c r="F123" s="109">
        <v>0</v>
      </c>
      <c r="G123" s="504">
        <v>0</v>
      </c>
      <c r="H123" s="504">
        <v>0</v>
      </c>
      <c r="I123" s="504">
        <v>0</v>
      </c>
      <c r="J123" s="504">
        <v>0</v>
      </c>
      <c r="K123" s="11">
        <v>0</v>
      </c>
      <c r="L123" s="11">
        <v>0</v>
      </c>
      <c r="M123" s="11">
        <v>0</v>
      </c>
      <c r="N123" s="11">
        <v>0</v>
      </c>
      <c r="O123" s="136">
        <v>0</v>
      </c>
      <c r="P123" s="109">
        <f>MIN(F123:O123)</f>
        <v>0</v>
      </c>
      <c r="Q123" s="504">
        <f>E123-P123</f>
        <v>2</v>
      </c>
      <c r="R123" s="107">
        <f>Q123/E123</f>
        <v>1</v>
      </c>
    </row>
    <row r="124" spans="2:18" ht="9.75" customHeight="1">
      <c r="B124" s="503"/>
      <c r="C124" s="13"/>
      <c r="D124" s="13" t="s">
        <v>36</v>
      </c>
      <c r="E124" s="13"/>
      <c r="F124" s="109"/>
      <c r="G124" s="504"/>
      <c r="H124" s="504"/>
      <c r="I124" s="504"/>
      <c r="J124" s="504"/>
      <c r="K124" s="32"/>
      <c r="L124" s="32"/>
      <c r="M124" s="32"/>
      <c r="N124" s="32"/>
      <c r="O124" s="142"/>
      <c r="P124" s="109"/>
      <c r="Q124" s="504"/>
      <c r="R124" s="107"/>
    </row>
    <row r="125" spans="2:18" ht="9.75" customHeight="1">
      <c r="B125" s="503"/>
      <c r="C125" s="13"/>
      <c r="D125" s="13" t="s">
        <v>37</v>
      </c>
      <c r="E125" s="13">
        <v>1</v>
      </c>
      <c r="F125" s="121">
        <v>0</v>
      </c>
      <c r="G125" s="11">
        <v>0</v>
      </c>
      <c r="H125" s="11">
        <v>0</v>
      </c>
      <c r="I125" s="11">
        <v>0</v>
      </c>
      <c r="J125" s="11">
        <v>0</v>
      </c>
      <c r="K125" s="203">
        <v>0</v>
      </c>
      <c r="L125" s="203">
        <v>0</v>
      </c>
      <c r="M125" s="203">
        <v>0</v>
      </c>
      <c r="N125" s="203">
        <v>0</v>
      </c>
      <c r="O125" s="203">
        <v>0</v>
      </c>
      <c r="P125" s="103">
        <f>MIN(F125:O125)</f>
        <v>0</v>
      </c>
      <c r="Q125" s="91">
        <f>E125-P125</f>
        <v>1</v>
      </c>
      <c r="R125" s="107">
        <f>Q125/E125</f>
        <v>1</v>
      </c>
    </row>
    <row r="126" spans="2:18" ht="9.75" customHeight="1">
      <c r="B126" s="503"/>
      <c r="C126" s="13"/>
      <c r="D126" s="13" t="s">
        <v>133</v>
      </c>
      <c r="E126" s="13"/>
      <c r="F126" s="109"/>
      <c r="G126" s="504"/>
      <c r="H126" s="504"/>
      <c r="I126" s="504"/>
      <c r="J126" s="504"/>
      <c r="K126" s="504"/>
      <c r="L126" s="504"/>
      <c r="M126" s="504"/>
      <c r="N126" s="504"/>
      <c r="O126" s="110"/>
      <c r="P126" s="109"/>
      <c r="Q126" s="504"/>
      <c r="R126" s="107"/>
    </row>
    <row r="127" spans="2:18" ht="9.75" customHeight="1">
      <c r="B127" s="503" t="s">
        <v>127</v>
      </c>
      <c r="C127" s="2"/>
      <c r="D127" s="3" t="s">
        <v>38</v>
      </c>
      <c r="E127" s="3">
        <f>SUM(E110:E126)</f>
        <v>36</v>
      </c>
      <c r="F127" s="21">
        <f t="shared" ref="F127:O127" si="28">SUM(F110:F125)</f>
        <v>22</v>
      </c>
      <c r="G127" s="71">
        <f t="shared" si="28"/>
        <v>16</v>
      </c>
      <c r="H127" s="71">
        <f t="shared" si="28"/>
        <v>13</v>
      </c>
      <c r="I127" s="71">
        <f t="shared" si="28"/>
        <v>8</v>
      </c>
      <c r="J127" s="71">
        <f t="shared" si="28"/>
        <v>4</v>
      </c>
      <c r="K127" s="71">
        <f t="shared" si="28"/>
        <v>5</v>
      </c>
      <c r="L127" s="71">
        <f t="shared" si="28"/>
        <v>6</v>
      </c>
      <c r="M127" s="71">
        <f t="shared" si="28"/>
        <v>8</v>
      </c>
      <c r="N127" s="71">
        <f t="shared" si="28"/>
        <v>8</v>
      </c>
      <c r="O127" s="26">
        <f t="shared" si="28"/>
        <v>14</v>
      </c>
      <c r="P127" s="21">
        <f>MIN(F127:O127)</f>
        <v>4</v>
      </c>
      <c r="Q127" s="71">
        <f>E127-P127</f>
        <v>32</v>
      </c>
      <c r="R127" s="7">
        <f>Q127/E127</f>
        <v>0.88888888888888884</v>
      </c>
    </row>
    <row r="128" spans="2:18" ht="9.75" customHeight="1">
      <c r="B128" s="503"/>
      <c r="C128" s="43" t="s">
        <v>134</v>
      </c>
      <c r="D128" s="43" t="s">
        <v>23</v>
      </c>
      <c r="E128" s="43"/>
      <c r="F128" s="116"/>
      <c r="G128" s="128"/>
      <c r="H128" s="128"/>
      <c r="I128" s="128"/>
      <c r="J128" s="128"/>
      <c r="K128" s="128"/>
      <c r="L128" s="128"/>
      <c r="M128" s="128"/>
      <c r="N128" s="128"/>
      <c r="O128" s="129"/>
      <c r="P128" s="116"/>
      <c r="Q128" s="128"/>
      <c r="R128" s="141"/>
    </row>
    <row r="129" spans="2:18" ht="9.75" customHeight="1">
      <c r="B129" s="503"/>
      <c r="C129" s="13"/>
      <c r="D129" s="13" t="s">
        <v>25</v>
      </c>
      <c r="E129" s="13"/>
      <c r="F129" s="109"/>
      <c r="G129" s="504"/>
      <c r="H129" s="504"/>
      <c r="I129" s="504"/>
      <c r="J129" s="504"/>
      <c r="K129" s="504"/>
      <c r="L129" s="504"/>
      <c r="M129" s="504"/>
      <c r="N129" s="504"/>
      <c r="O129" s="110"/>
      <c r="P129" s="109"/>
      <c r="Q129" s="504"/>
      <c r="R129" s="107"/>
    </row>
    <row r="130" spans="2:18" ht="9.75" customHeight="1">
      <c r="B130" s="503"/>
      <c r="C130" s="13"/>
      <c r="D130" s="13" t="s">
        <v>27</v>
      </c>
      <c r="E130" s="13"/>
      <c r="F130" s="109"/>
      <c r="G130" s="504"/>
      <c r="H130" s="504"/>
      <c r="I130" s="504"/>
      <c r="J130" s="504"/>
      <c r="K130" s="504"/>
      <c r="L130" s="504"/>
      <c r="M130" s="504"/>
      <c r="N130" s="504"/>
      <c r="O130" s="110"/>
      <c r="P130" s="109"/>
      <c r="Q130" s="504"/>
      <c r="R130" s="107"/>
    </row>
    <row r="131" spans="2:18" ht="9.75" customHeight="1">
      <c r="B131" s="503"/>
      <c r="C131" s="13"/>
      <c r="D131" s="13" t="s">
        <v>115</v>
      </c>
      <c r="E131" s="13"/>
      <c r="F131" s="109"/>
      <c r="G131" s="504"/>
      <c r="H131" s="504"/>
      <c r="I131" s="504"/>
      <c r="J131" s="504"/>
      <c r="K131" s="504"/>
      <c r="L131" s="504"/>
      <c r="M131" s="504"/>
      <c r="N131" s="504"/>
      <c r="O131" s="110"/>
      <c r="P131" s="109"/>
      <c r="Q131" s="504"/>
      <c r="R131" s="107"/>
    </row>
    <row r="132" spans="2:18" ht="9.75" customHeight="1">
      <c r="B132" s="503"/>
      <c r="C132" s="13"/>
      <c r="D132" s="13" t="s">
        <v>115</v>
      </c>
      <c r="E132" s="13"/>
      <c r="F132" s="109"/>
      <c r="G132" s="504"/>
      <c r="H132" s="504"/>
      <c r="I132" s="504"/>
      <c r="J132" s="504"/>
      <c r="K132" s="504"/>
      <c r="L132" s="504"/>
      <c r="M132" s="504"/>
      <c r="N132" s="504"/>
      <c r="O132" s="110"/>
      <c r="P132" s="109"/>
      <c r="Q132" s="504"/>
      <c r="R132" s="107"/>
    </row>
    <row r="133" spans="2:18" ht="9.75" customHeight="1">
      <c r="B133" s="503"/>
      <c r="C133" s="13"/>
      <c r="D133" s="13" t="s">
        <v>32</v>
      </c>
      <c r="E133" s="13"/>
      <c r="F133" s="109"/>
      <c r="G133" s="504"/>
      <c r="H133" s="504"/>
      <c r="I133" s="504"/>
      <c r="J133" s="504"/>
      <c r="K133" s="504"/>
      <c r="L133" s="504"/>
      <c r="M133" s="504"/>
      <c r="N133" s="504"/>
      <c r="O133" s="110"/>
      <c r="P133" s="109"/>
      <c r="Q133" s="504"/>
      <c r="R133" s="107"/>
    </row>
    <row r="134" spans="2:18" ht="9.75" customHeight="1">
      <c r="B134" s="503"/>
      <c r="C134" s="13"/>
      <c r="D134" s="13" t="s">
        <v>119</v>
      </c>
      <c r="E134" s="13">
        <v>26</v>
      </c>
      <c r="F134" s="109">
        <f>E134-7</f>
        <v>19</v>
      </c>
      <c r="G134" s="504">
        <f>E134-10</f>
        <v>16</v>
      </c>
      <c r="H134" s="504">
        <f>E134-15</f>
        <v>11</v>
      </c>
      <c r="I134" s="504">
        <v>2</v>
      </c>
      <c r="J134" s="504">
        <v>3</v>
      </c>
      <c r="K134" s="11">
        <v>5</v>
      </c>
      <c r="L134" s="11">
        <v>7</v>
      </c>
      <c r="M134" s="11">
        <v>10</v>
      </c>
      <c r="N134" s="11">
        <v>12</v>
      </c>
      <c r="O134" s="136">
        <v>15</v>
      </c>
      <c r="P134" s="109">
        <f>MIN(F134:O134)</f>
        <v>2</v>
      </c>
      <c r="Q134" s="504">
        <f>E134-P134</f>
        <v>24</v>
      </c>
      <c r="R134" s="107">
        <f>Q134/E134</f>
        <v>0.92307692307692313</v>
      </c>
    </row>
    <row r="135" spans="2:18" ht="9.75" customHeight="1">
      <c r="B135" s="503"/>
      <c r="C135" s="13"/>
      <c r="D135" s="13" t="s">
        <v>120</v>
      </c>
      <c r="E135" s="13"/>
      <c r="F135" s="109"/>
      <c r="G135" s="504"/>
      <c r="H135" s="504"/>
      <c r="I135" s="504"/>
      <c r="J135" s="504"/>
      <c r="K135" s="32"/>
      <c r="L135" s="32"/>
      <c r="M135" s="32"/>
      <c r="N135" s="32"/>
      <c r="O135" s="142"/>
      <c r="P135" s="109"/>
      <c r="Q135" s="504"/>
      <c r="R135" s="107"/>
    </row>
    <row r="136" spans="2:18" ht="9.75" customHeight="1">
      <c r="B136" s="503"/>
      <c r="C136" s="13"/>
      <c r="D136" s="13" t="s">
        <v>120</v>
      </c>
      <c r="E136" s="13"/>
      <c r="F136" s="109"/>
      <c r="G136" s="504"/>
      <c r="H136" s="504"/>
      <c r="I136" s="504"/>
      <c r="J136" s="504"/>
      <c r="K136" s="32"/>
      <c r="L136" s="32"/>
      <c r="M136" s="32"/>
      <c r="N136" s="32"/>
      <c r="O136" s="142"/>
      <c r="P136" s="109"/>
      <c r="Q136" s="504"/>
      <c r="R136" s="107"/>
    </row>
    <row r="137" spans="2:18" ht="9.75" customHeight="1">
      <c r="B137" s="503"/>
      <c r="C137" s="13"/>
      <c r="D137" s="13" t="s">
        <v>120</v>
      </c>
      <c r="E137" s="13"/>
      <c r="F137" s="109"/>
      <c r="G137" s="504"/>
      <c r="H137" s="504"/>
      <c r="I137" s="504"/>
      <c r="J137" s="504"/>
      <c r="K137" s="32"/>
      <c r="L137" s="32"/>
      <c r="M137" s="32"/>
      <c r="N137" s="32"/>
      <c r="O137" s="142"/>
      <c r="P137" s="109"/>
      <c r="Q137" s="504"/>
      <c r="R137" s="107"/>
    </row>
    <row r="138" spans="2:18" ht="9.75" customHeight="1">
      <c r="B138" s="503"/>
      <c r="C138" s="13"/>
      <c r="D138" s="13" t="s">
        <v>120</v>
      </c>
      <c r="E138" s="13"/>
      <c r="F138" s="109"/>
      <c r="G138" s="504"/>
      <c r="H138" s="504"/>
      <c r="I138" s="504"/>
      <c r="J138" s="504"/>
      <c r="K138" s="32"/>
      <c r="L138" s="32"/>
      <c r="M138" s="32"/>
      <c r="N138" s="32"/>
      <c r="O138" s="142"/>
      <c r="P138" s="109"/>
      <c r="Q138" s="504"/>
      <c r="R138" s="107"/>
    </row>
    <row r="139" spans="2:18" ht="9.75" customHeight="1">
      <c r="B139" s="503"/>
      <c r="C139" s="13"/>
      <c r="D139" s="13" t="s">
        <v>120</v>
      </c>
      <c r="E139" s="13"/>
      <c r="F139" s="109"/>
      <c r="G139" s="504"/>
      <c r="H139" s="504"/>
      <c r="I139" s="504"/>
      <c r="J139" s="504"/>
      <c r="K139" s="32"/>
      <c r="L139" s="32"/>
      <c r="M139" s="32"/>
      <c r="N139" s="32"/>
      <c r="O139" s="142"/>
      <c r="P139" s="109"/>
      <c r="Q139" s="504"/>
      <c r="R139" s="107"/>
    </row>
    <row r="140" spans="2:18" ht="9.75" customHeight="1">
      <c r="B140" s="503"/>
      <c r="C140" s="13"/>
      <c r="D140" s="13" t="s">
        <v>34</v>
      </c>
      <c r="E140" s="13">
        <v>2</v>
      </c>
      <c r="F140" s="109">
        <v>2</v>
      </c>
      <c r="G140" s="504">
        <v>2</v>
      </c>
      <c r="H140" s="504">
        <v>1</v>
      </c>
      <c r="I140" s="504">
        <v>1</v>
      </c>
      <c r="J140" s="504">
        <v>1</v>
      </c>
      <c r="K140" s="504">
        <v>1</v>
      </c>
      <c r="L140" s="504">
        <v>1</v>
      </c>
      <c r="M140" s="504">
        <v>1</v>
      </c>
      <c r="N140" s="504">
        <v>1</v>
      </c>
      <c r="O140" s="136">
        <v>1</v>
      </c>
      <c r="P140" s="109">
        <f>MIN(F140:O140)</f>
        <v>1</v>
      </c>
      <c r="Q140" s="504">
        <f>E140-P140</f>
        <v>1</v>
      </c>
      <c r="R140" s="107">
        <f>Q140/E140</f>
        <v>0.5</v>
      </c>
    </row>
    <row r="141" spans="2:18" ht="9.75" customHeight="1">
      <c r="B141" s="503"/>
      <c r="C141" s="13"/>
      <c r="D141" s="13" t="s">
        <v>35</v>
      </c>
      <c r="E141" s="13"/>
      <c r="F141" s="109"/>
      <c r="G141" s="504"/>
      <c r="H141" s="504"/>
      <c r="I141" s="504"/>
      <c r="J141" s="504"/>
      <c r="K141" s="32"/>
      <c r="L141" s="32"/>
      <c r="M141" s="32"/>
      <c r="N141" s="32"/>
      <c r="O141" s="142"/>
      <c r="P141" s="109"/>
      <c r="Q141" s="504"/>
      <c r="R141" s="107"/>
    </row>
    <row r="142" spans="2:18" ht="9.75" customHeight="1">
      <c r="B142" s="503"/>
      <c r="C142" s="13"/>
      <c r="D142" s="13" t="s">
        <v>36</v>
      </c>
      <c r="E142" s="13"/>
      <c r="F142" s="109"/>
      <c r="G142" s="504"/>
      <c r="H142" s="504"/>
      <c r="I142" s="504"/>
      <c r="J142" s="504"/>
      <c r="K142" s="32"/>
      <c r="L142" s="32"/>
      <c r="M142" s="32"/>
      <c r="N142" s="32"/>
      <c r="O142" s="142"/>
      <c r="P142" s="109"/>
      <c r="Q142" s="504"/>
      <c r="R142" s="107"/>
    </row>
    <row r="143" spans="2:18" ht="9.75" customHeight="1">
      <c r="B143" s="503"/>
      <c r="C143" s="13"/>
      <c r="D143" s="13" t="s">
        <v>37</v>
      </c>
      <c r="E143" s="13">
        <v>1</v>
      </c>
      <c r="F143" s="109">
        <v>0</v>
      </c>
      <c r="G143" s="504">
        <v>0</v>
      </c>
      <c r="H143" s="504">
        <v>0</v>
      </c>
      <c r="I143" s="504">
        <v>0</v>
      </c>
      <c r="J143" s="504">
        <v>0</v>
      </c>
      <c r="K143" s="143">
        <v>0</v>
      </c>
      <c r="L143" s="143">
        <v>0</v>
      </c>
      <c r="M143" s="143">
        <v>0</v>
      </c>
      <c r="N143" s="143">
        <v>0</v>
      </c>
      <c r="O143" s="144">
        <v>0</v>
      </c>
      <c r="P143" s="109">
        <f t="shared" ref="P143:P144" si="29">MIN(F143:O143)</f>
        <v>0</v>
      </c>
      <c r="Q143" s="504">
        <f t="shared" ref="Q143:Q144" si="30">E143-P143</f>
        <v>1</v>
      </c>
      <c r="R143" s="107">
        <f t="shared" ref="R143:R144" si="31">Q143/E143</f>
        <v>1</v>
      </c>
    </row>
    <row r="144" spans="2:18" ht="9.75" customHeight="1">
      <c r="B144" s="503" t="s">
        <v>127</v>
      </c>
      <c r="C144" s="2"/>
      <c r="D144" s="3" t="s">
        <v>38</v>
      </c>
      <c r="E144" s="3">
        <f t="shared" ref="E144:O144" si="32">SUM(E128:E143)</f>
        <v>29</v>
      </c>
      <c r="F144" s="21">
        <f t="shared" si="32"/>
        <v>21</v>
      </c>
      <c r="G144" s="71">
        <f t="shared" si="32"/>
        <v>18</v>
      </c>
      <c r="H144" s="71">
        <f t="shared" si="32"/>
        <v>12</v>
      </c>
      <c r="I144" s="71">
        <f t="shared" si="32"/>
        <v>3</v>
      </c>
      <c r="J144" s="71">
        <f t="shared" si="32"/>
        <v>4</v>
      </c>
      <c r="K144" s="71">
        <f t="shared" si="32"/>
        <v>6</v>
      </c>
      <c r="L144" s="71">
        <f t="shared" si="32"/>
        <v>8</v>
      </c>
      <c r="M144" s="71">
        <f t="shared" si="32"/>
        <v>11</v>
      </c>
      <c r="N144" s="71">
        <f t="shared" si="32"/>
        <v>13</v>
      </c>
      <c r="O144" s="26">
        <f t="shared" si="32"/>
        <v>16</v>
      </c>
      <c r="P144" s="21">
        <f t="shared" si="29"/>
        <v>3</v>
      </c>
      <c r="Q144" s="71">
        <f t="shared" si="30"/>
        <v>26</v>
      </c>
      <c r="R144" s="7">
        <f t="shared" si="31"/>
        <v>0.89655172413793105</v>
      </c>
    </row>
    <row r="145" spans="3:18" ht="9.75" customHeight="1">
      <c r="C145" s="43" t="s">
        <v>135</v>
      </c>
      <c r="D145" s="43" t="s">
        <v>23</v>
      </c>
      <c r="E145" s="43"/>
      <c r="F145" s="116"/>
      <c r="G145" s="128"/>
      <c r="H145" s="128"/>
      <c r="I145" s="128"/>
      <c r="J145" s="128"/>
      <c r="K145" s="128"/>
      <c r="L145" s="128"/>
      <c r="M145" s="128"/>
      <c r="N145" s="128"/>
      <c r="O145" s="129"/>
      <c r="P145" s="116"/>
      <c r="Q145" s="128"/>
      <c r="R145" s="141"/>
    </row>
    <row r="146" spans="3:18" ht="9.75" customHeight="1">
      <c r="C146" s="13"/>
      <c r="D146" s="13" t="s">
        <v>25</v>
      </c>
      <c r="E146" s="13"/>
      <c r="F146" s="109"/>
      <c r="G146" s="504"/>
      <c r="H146" s="504"/>
      <c r="I146" s="504"/>
      <c r="J146" s="504"/>
      <c r="K146" s="504"/>
      <c r="L146" s="504"/>
      <c r="M146" s="504"/>
      <c r="N146" s="504"/>
      <c r="O146" s="110"/>
      <c r="P146" s="109"/>
      <c r="Q146" s="504"/>
      <c r="R146" s="107"/>
    </row>
    <row r="147" spans="3:18" ht="9.75" customHeight="1">
      <c r="C147" s="13"/>
      <c r="D147" s="13" t="s">
        <v>27</v>
      </c>
      <c r="E147" s="13"/>
      <c r="F147" s="109"/>
      <c r="G147" s="504"/>
      <c r="H147" s="504"/>
      <c r="I147" s="504"/>
      <c r="J147" s="504"/>
      <c r="K147" s="504"/>
      <c r="L147" s="504"/>
      <c r="M147" s="504"/>
      <c r="N147" s="504"/>
      <c r="O147" s="110"/>
      <c r="P147" s="109"/>
      <c r="Q147" s="504"/>
      <c r="R147" s="107"/>
    </row>
    <row r="148" spans="3:18" ht="9.75" customHeight="1">
      <c r="C148" s="13"/>
      <c r="D148" s="13" t="s">
        <v>115</v>
      </c>
      <c r="E148" s="13"/>
      <c r="F148" s="109"/>
      <c r="G148" s="504"/>
      <c r="H148" s="504"/>
      <c r="I148" s="504"/>
      <c r="J148" s="504"/>
      <c r="K148" s="504"/>
      <c r="L148" s="504"/>
      <c r="M148" s="504"/>
      <c r="N148" s="504"/>
      <c r="O148" s="110"/>
      <c r="P148" s="109"/>
      <c r="Q148" s="504"/>
      <c r="R148" s="107"/>
    </row>
    <row r="149" spans="3:18" ht="9.75" customHeight="1">
      <c r="C149" s="13"/>
      <c r="D149" s="13" t="s">
        <v>115</v>
      </c>
      <c r="E149" s="13"/>
      <c r="F149" s="109"/>
      <c r="G149" s="504"/>
      <c r="H149" s="504"/>
      <c r="I149" s="504"/>
      <c r="J149" s="504"/>
      <c r="K149" s="504"/>
      <c r="L149" s="504"/>
      <c r="M149" s="504"/>
      <c r="N149" s="504"/>
      <c r="O149" s="110"/>
      <c r="P149" s="109"/>
      <c r="Q149" s="504"/>
      <c r="R149" s="107"/>
    </row>
    <row r="150" spans="3:18" ht="9.75" customHeight="1">
      <c r="C150" s="13"/>
      <c r="D150" s="13" t="s">
        <v>32</v>
      </c>
      <c r="E150" s="13"/>
      <c r="F150" s="109"/>
      <c r="G150" s="504"/>
      <c r="H150" s="504"/>
      <c r="I150" s="504"/>
      <c r="J150" s="504"/>
      <c r="K150" s="504"/>
      <c r="L150" s="504"/>
      <c r="M150" s="504"/>
      <c r="N150" s="504"/>
      <c r="O150" s="110"/>
      <c r="P150" s="109"/>
      <c r="Q150" s="504"/>
      <c r="R150" s="107"/>
    </row>
    <row r="151" spans="3:18" ht="9.75" customHeight="1">
      <c r="C151" s="13"/>
      <c r="D151" s="13" t="s">
        <v>120</v>
      </c>
      <c r="E151" s="13"/>
      <c r="F151" s="109"/>
      <c r="G151" s="504"/>
      <c r="H151" s="504"/>
      <c r="I151" s="504"/>
      <c r="J151" s="504"/>
      <c r="K151" s="504"/>
      <c r="L151" s="504"/>
      <c r="M151" s="504"/>
      <c r="N151" s="504"/>
      <c r="O151" s="110"/>
      <c r="P151" s="109"/>
      <c r="Q151" s="504"/>
      <c r="R151" s="107"/>
    </row>
    <row r="152" spans="3:18" ht="9.75" customHeight="1">
      <c r="C152" s="13"/>
      <c r="D152" s="13" t="s">
        <v>120</v>
      </c>
      <c r="E152" s="13"/>
      <c r="F152" s="109"/>
      <c r="G152" s="504"/>
      <c r="H152" s="504"/>
      <c r="I152" s="504"/>
      <c r="J152" s="504"/>
      <c r="K152" s="504"/>
      <c r="L152" s="504"/>
      <c r="M152" s="504"/>
      <c r="N152" s="504"/>
      <c r="O152" s="110"/>
      <c r="P152" s="109"/>
      <c r="Q152" s="504"/>
      <c r="R152" s="107"/>
    </row>
    <row r="153" spans="3:18" ht="9.75" customHeight="1">
      <c r="C153" s="13"/>
      <c r="D153" s="13" t="s">
        <v>120</v>
      </c>
      <c r="E153" s="13"/>
      <c r="F153" s="109"/>
      <c r="G153" s="504"/>
      <c r="H153" s="504"/>
      <c r="I153" s="504"/>
      <c r="J153" s="504"/>
      <c r="K153" s="504"/>
      <c r="L153" s="504"/>
      <c r="M153" s="504"/>
      <c r="N153" s="504"/>
      <c r="O153" s="110"/>
      <c r="P153" s="109"/>
      <c r="Q153" s="504"/>
      <c r="R153" s="107"/>
    </row>
    <row r="154" spans="3:18" ht="9.75" customHeight="1">
      <c r="C154" s="13"/>
      <c r="D154" s="13" t="s">
        <v>120</v>
      </c>
      <c r="E154" s="13"/>
      <c r="F154" s="109"/>
      <c r="G154" s="504"/>
      <c r="H154" s="504"/>
      <c r="I154" s="504"/>
      <c r="J154" s="504"/>
      <c r="K154" s="504"/>
      <c r="L154" s="504"/>
      <c r="M154" s="504"/>
      <c r="N154" s="504"/>
      <c r="O154" s="110"/>
      <c r="P154" s="109"/>
      <c r="Q154" s="504"/>
      <c r="R154" s="107"/>
    </row>
    <row r="155" spans="3:18" ht="9.75" customHeight="1">
      <c r="C155" s="13"/>
      <c r="D155" s="13" t="s">
        <v>120</v>
      </c>
      <c r="E155" s="13"/>
      <c r="F155" s="109"/>
      <c r="G155" s="504"/>
      <c r="H155" s="504"/>
      <c r="I155" s="504"/>
      <c r="J155" s="504"/>
      <c r="K155" s="504"/>
      <c r="L155" s="504"/>
      <c r="M155" s="504"/>
      <c r="N155" s="504"/>
      <c r="O155" s="110"/>
      <c r="P155" s="109"/>
      <c r="Q155" s="504"/>
      <c r="R155" s="107"/>
    </row>
    <row r="156" spans="3:18" ht="9.75" customHeight="1">
      <c r="C156" s="13"/>
      <c r="D156" s="13" t="s">
        <v>120</v>
      </c>
      <c r="E156" s="13"/>
      <c r="F156" s="109"/>
      <c r="G156" s="504"/>
      <c r="H156" s="504"/>
      <c r="I156" s="504"/>
      <c r="J156" s="504"/>
      <c r="K156" s="504"/>
      <c r="L156" s="504"/>
      <c r="M156" s="504"/>
      <c r="N156" s="504"/>
      <c r="O156" s="110"/>
      <c r="P156" s="109"/>
      <c r="Q156" s="504"/>
      <c r="R156" s="107"/>
    </row>
    <row r="157" spans="3:18" ht="9.75" customHeight="1">
      <c r="C157" s="13"/>
      <c r="D157" s="13" t="s">
        <v>34</v>
      </c>
      <c r="E157" s="13"/>
      <c r="F157" s="109"/>
      <c r="G157" s="504"/>
      <c r="H157" s="504"/>
      <c r="I157" s="504"/>
      <c r="J157" s="504"/>
      <c r="K157" s="504"/>
      <c r="L157" s="504"/>
      <c r="M157" s="504"/>
      <c r="N157" s="504"/>
      <c r="O157" s="110"/>
      <c r="P157" s="109"/>
      <c r="Q157" s="504"/>
      <c r="R157" s="107"/>
    </row>
    <row r="158" spans="3:18" ht="9.75" customHeight="1">
      <c r="C158" s="13"/>
      <c r="D158" s="13" t="s">
        <v>35</v>
      </c>
      <c r="E158" s="13"/>
      <c r="F158" s="109"/>
      <c r="G158" s="504"/>
      <c r="H158" s="504"/>
      <c r="I158" s="504"/>
      <c r="J158" s="504"/>
      <c r="K158" s="504"/>
      <c r="L158" s="504"/>
      <c r="M158" s="504"/>
      <c r="N158" s="504"/>
      <c r="O158" s="110"/>
      <c r="P158" s="109"/>
      <c r="Q158" s="504"/>
      <c r="R158" s="107"/>
    </row>
    <row r="159" spans="3:18" ht="9.75" customHeight="1">
      <c r="C159" s="13"/>
      <c r="D159" s="13" t="s">
        <v>36</v>
      </c>
      <c r="E159" s="13">
        <v>2</v>
      </c>
      <c r="F159" s="109">
        <v>2</v>
      </c>
      <c r="G159" s="504">
        <v>2</v>
      </c>
      <c r="H159" s="504">
        <v>1</v>
      </c>
      <c r="I159" s="504">
        <v>1</v>
      </c>
      <c r="J159" s="504">
        <v>1</v>
      </c>
      <c r="K159" s="11">
        <v>1</v>
      </c>
      <c r="L159" s="11">
        <v>1</v>
      </c>
      <c r="M159" s="11">
        <v>1</v>
      </c>
      <c r="N159" s="11">
        <v>1</v>
      </c>
      <c r="O159" s="136">
        <v>1</v>
      </c>
      <c r="P159" s="109">
        <f>MIN(F159:O159)</f>
        <v>1</v>
      </c>
      <c r="Q159" s="504">
        <f>E159-P159</f>
        <v>1</v>
      </c>
      <c r="R159" s="107">
        <f>Q159/E159</f>
        <v>0.5</v>
      </c>
    </row>
    <row r="160" spans="3:18" ht="9.75" customHeight="1">
      <c r="C160" s="13"/>
      <c r="D160" s="13" t="s">
        <v>37</v>
      </c>
      <c r="E160" s="13"/>
      <c r="F160" s="109"/>
      <c r="G160" s="504"/>
      <c r="H160" s="504"/>
      <c r="I160" s="504"/>
      <c r="J160" s="504"/>
      <c r="K160" s="504"/>
      <c r="L160" s="504"/>
      <c r="M160" s="504"/>
      <c r="N160" s="504"/>
      <c r="O160" s="110"/>
      <c r="P160" s="109"/>
      <c r="Q160" s="504"/>
      <c r="R160" s="107"/>
    </row>
    <row r="161" spans="2:18" ht="9.75" customHeight="1">
      <c r="B161" s="503" t="s">
        <v>127</v>
      </c>
      <c r="C161" s="2"/>
      <c r="D161" s="3" t="s">
        <v>38</v>
      </c>
      <c r="E161" s="3">
        <f t="shared" ref="E161:O161" si="33">SUM(E145:E160)</f>
        <v>2</v>
      </c>
      <c r="F161" s="21">
        <f t="shared" si="33"/>
        <v>2</v>
      </c>
      <c r="G161" s="71">
        <f t="shared" si="33"/>
        <v>2</v>
      </c>
      <c r="H161" s="71">
        <f t="shared" si="33"/>
        <v>1</v>
      </c>
      <c r="I161" s="71">
        <f t="shared" si="33"/>
        <v>1</v>
      </c>
      <c r="J161" s="71">
        <f t="shared" si="33"/>
        <v>1</v>
      </c>
      <c r="K161" s="71">
        <f t="shared" si="33"/>
        <v>1</v>
      </c>
      <c r="L161" s="71">
        <f t="shared" si="33"/>
        <v>1</v>
      </c>
      <c r="M161" s="71">
        <f t="shared" si="33"/>
        <v>1</v>
      </c>
      <c r="N161" s="71">
        <f t="shared" si="33"/>
        <v>1</v>
      </c>
      <c r="O161" s="26">
        <f t="shared" si="33"/>
        <v>1</v>
      </c>
      <c r="P161" s="21">
        <f>MIN(F161:O161)</f>
        <v>1</v>
      </c>
      <c r="Q161" s="71">
        <f>E161-P161</f>
        <v>1</v>
      </c>
      <c r="R161" s="7">
        <f>Q161/E161</f>
        <v>0.5</v>
      </c>
    </row>
    <row r="162" spans="2:18" ht="9.75" customHeight="1">
      <c r="B162" s="503"/>
      <c r="C162" s="43" t="s">
        <v>136</v>
      </c>
      <c r="D162" s="43" t="s">
        <v>23</v>
      </c>
      <c r="E162" s="43"/>
      <c r="F162" s="116"/>
      <c r="G162" s="128"/>
      <c r="H162" s="128"/>
      <c r="I162" s="128"/>
      <c r="J162" s="128"/>
      <c r="K162" s="128"/>
      <c r="L162" s="128"/>
      <c r="M162" s="128"/>
      <c r="N162" s="128"/>
      <c r="O162" s="129"/>
      <c r="P162" s="116"/>
      <c r="Q162" s="128"/>
      <c r="R162" s="141"/>
    </row>
    <row r="163" spans="2:18" ht="9.75" customHeight="1">
      <c r="B163" s="503"/>
      <c r="C163" s="13"/>
      <c r="D163" s="13" t="s">
        <v>25</v>
      </c>
      <c r="E163" s="13"/>
      <c r="F163" s="109"/>
      <c r="G163" s="504"/>
      <c r="H163" s="504"/>
      <c r="I163" s="504"/>
      <c r="J163" s="504"/>
      <c r="K163" s="504"/>
      <c r="L163" s="504"/>
      <c r="M163" s="504"/>
      <c r="N163" s="504"/>
      <c r="O163" s="110"/>
      <c r="P163" s="109"/>
      <c r="Q163" s="504"/>
      <c r="R163" s="107"/>
    </row>
    <row r="164" spans="2:18" ht="9.75" customHeight="1">
      <c r="B164" s="503"/>
      <c r="C164" s="13"/>
      <c r="D164" s="13" t="s">
        <v>27</v>
      </c>
      <c r="E164" s="13"/>
      <c r="F164" s="109"/>
      <c r="G164" s="504"/>
      <c r="H164" s="504"/>
      <c r="I164" s="504"/>
      <c r="J164" s="504"/>
      <c r="K164" s="504"/>
      <c r="L164" s="504"/>
      <c r="M164" s="504"/>
      <c r="N164" s="504"/>
      <c r="O164" s="110"/>
      <c r="P164" s="109"/>
      <c r="Q164" s="504"/>
      <c r="R164" s="107"/>
    </row>
    <row r="165" spans="2:18" ht="9.75" customHeight="1">
      <c r="B165" s="503"/>
      <c r="C165" s="13"/>
      <c r="D165" s="13" t="s">
        <v>115</v>
      </c>
      <c r="E165" s="13"/>
      <c r="F165" s="109"/>
      <c r="G165" s="504"/>
      <c r="H165" s="504"/>
      <c r="I165" s="504"/>
      <c r="J165" s="504"/>
      <c r="K165" s="504"/>
      <c r="L165" s="504"/>
      <c r="M165" s="504"/>
      <c r="N165" s="504"/>
      <c r="O165" s="110"/>
      <c r="P165" s="109"/>
      <c r="Q165" s="504"/>
      <c r="R165" s="107"/>
    </row>
    <row r="166" spans="2:18" ht="9.75" customHeight="1">
      <c r="B166" s="503"/>
      <c r="C166" s="13"/>
      <c r="D166" s="13" t="s">
        <v>115</v>
      </c>
      <c r="E166" s="13"/>
      <c r="F166" s="109"/>
      <c r="G166" s="504"/>
      <c r="H166" s="504"/>
      <c r="I166" s="504"/>
      <c r="J166" s="504"/>
      <c r="K166" s="504"/>
      <c r="L166" s="504"/>
      <c r="M166" s="504"/>
      <c r="N166" s="504"/>
      <c r="O166" s="110"/>
      <c r="P166" s="109"/>
      <c r="Q166" s="504"/>
      <c r="R166" s="107"/>
    </row>
    <row r="167" spans="2:18" ht="9.75" customHeight="1">
      <c r="B167" s="503"/>
      <c r="C167" s="13"/>
      <c r="D167" s="13" t="s">
        <v>32</v>
      </c>
      <c r="E167" s="13"/>
      <c r="F167" s="109"/>
      <c r="G167" s="504"/>
      <c r="H167" s="504"/>
      <c r="I167" s="504"/>
      <c r="J167" s="504"/>
      <c r="K167" s="504"/>
      <c r="L167" s="504"/>
      <c r="M167" s="504"/>
      <c r="N167" s="504"/>
      <c r="O167" s="110"/>
      <c r="P167" s="109"/>
      <c r="Q167" s="504"/>
      <c r="R167" s="107"/>
    </row>
    <row r="168" spans="2:18" ht="9.75" customHeight="1">
      <c r="B168" s="503"/>
      <c r="C168" s="13"/>
      <c r="D168" s="13" t="s">
        <v>119</v>
      </c>
      <c r="E168" s="13">
        <v>23</v>
      </c>
      <c r="F168" s="109">
        <v>20</v>
      </c>
      <c r="G168" s="504">
        <f>E168-5</f>
        <v>18</v>
      </c>
      <c r="H168" s="504">
        <v>13</v>
      </c>
      <c r="I168" s="504">
        <f>E168-15</f>
        <v>8</v>
      </c>
      <c r="J168" s="504">
        <v>5</v>
      </c>
      <c r="K168" s="11">
        <v>7</v>
      </c>
      <c r="L168" s="11">
        <v>10</v>
      </c>
      <c r="M168" s="11">
        <v>11</v>
      </c>
      <c r="N168" s="11">
        <v>15</v>
      </c>
      <c r="O168" s="136">
        <v>17</v>
      </c>
      <c r="P168" s="109">
        <f>MIN(F168:O168)</f>
        <v>5</v>
      </c>
      <c r="Q168" s="504">
        <f>E168-P168</f>
        <v>18</v>
      </c>
      <c r="R168" s="107">
        <f>Q168/E168</f>
        <v>0.78260869565217395</v>
      </c>
    </row>
    <row r="169" spans="2:18" ht="9.75" customHeight="1">
      <c r="B169" s="503"/>
      <c r="C169" s="13"/>
      <c r="D169" s="13" t="s">
        <v>120</v>
      </c>
      <c r="E169" s="13"/>
      <c r="F169" s="109"/>
      <c r="G169" s="504"/>
      <c r="H169" s="504"/>
      <c r="I169" s="504"/>
      <c r="J169" s="504"/>
      <c r="K169" s="32"/>
      <c r="L169" s="32"/>
      <c r="M169" s="32"/>
      <c r="N169" s="32"/>
      <c r="O169" s="142"/>
      <c r="P169" s="109"/>
      <c r="Q169" s="504"/>
      <c r="R169" s="107"/>
    </row>
    <row r="170" spans="2:18" ht="9.75" customHeight="1">
      <c r="B170" s="503"/>
      <c r="C170" s="13"/>
      <c r="D170" s="13" t="s">
        <v>120</v>
      </c>
      <c r="E170" s="13"/>
      <c r="F170" s="109"/>
      <c r="G170" s="504"/>
      <c r="H170" s="504"/>
      <c r="I170" s="504"/>
      <c r="J170" s="504"/>
      <c r="K170" s="32"/>
      <c r="L170" s="32"/>
      <c r="M170" s="32"/>
      <c r="N170" s="32"/>
      <c r="O170" s="142"/>
      <c r="P170" s="109"/>
      <c r="Q170" s="504"/>
      <c r="R170" s="107"/>
    </row>
    <row r="171" spans="2:18" ht="9.75" customHeight="1">
      <c r="B171" s="503"/>
      <c r="C171" s="13"/>
      <c r="D171" s="13" t="s">
        <v>120</v>
      </c>
      <c r="E171" s="13"/>
      <c r="F171" s="109"/>
      <c r="G171" s="504"/>
      <c r="H171" s="504"/>
      <c r="I171" s="504"/>
      <c r="J171" s="504"/>
      <c r="K171" s="32"/>
      <c r="L171" s="32"/>
      <c r="M171" s="32"/>
      <c r="N171" s="32"/>
      <c r="O171" s="142"/>
      <c r="P171" s="109"/>
      <c r="Q171" s="504"/>
      <c r="R171" s="107"/>
    </row>
    <row r="172" spans="2:18" ht="9.75" customHeight="1">
      <c r="B172" s="503"/>
      <c r="C172" s="13"/>
      <c r="D172" s="13" t="s">
        <v>120</v>
      </c>
      <c r="E172" s="13"/>
      <c r="F172" s="109"/>
      <c r="G172" s="504"/>
      <c r="H172" s="504"/>
      <c r="I172" s="504"/>
      <c r="J172" s="504"/>
      <c r="K172" s="32"/>
      <c r="L172" s="32"/>
      <c r="M172" s="32"/>
      <c r="N172" s="32"/>
      <c r="O172" s="142"/>
      <c r="P172" s="109"/>
      <c r="Q172" s="504"/>
      <c r="R172" s="107"/>
    </row>
    <row r="173" spans="2:18" ht="9.75" customHeight="1">
      <c r="B173" s="503"/>
      <c r="C173" s="13"/>
      <c r="D173" s="13" t="s">
        <v>120</v>
      </c>
      <c r="E173" s="13"/>
      <c r="F173" s="109"/>
      <c r="G173" s="504"/>
      <c r="H173" s="504"/>
      <c r="I173" s="504"/>
      <c r="J173" s="504"/>
      <c r="K173" s="32"/>
      <c r="L173" s="32"/>
      <c r="M173" s="32"/>
      <c r="N173" s="32"/>
      <c r="O173" s="142"/>
      <c r="P173" s="109"/>
      <c r="Q173" s="504"/>
      <c r="R173" s="107"/>
    </row>
    <row r="174" spans="2:18" ht="9.75" customHeight="1">
      <c r="B174" s="503"/>
      <c r="C174" s="13"/>
      <c r="D174" s="13" t="s">
        <v>34</v>
      </c>
      <c r="E174" s="13">
        <v>1</v>
      </c>
      <c r="F174" s="109">
        <v>1</v>
      </c>
      <c r="G174" s="504">
        <v>1</v>
      </c>
      <c r="H174" s="504">
        <v>1</v>
      </c>
      <c r="I174" s="504">
        <v>1</v>
      </c>
      <c r="J174" s="504">
        <v>1</v>
      </c>
      <c r="K174" s="203">
        <v>1</v>
      </c>
      <c r="L174" s="203">
        <v>1</v>
      </c>
      <c r="M174" s="203">
        <v>1</v>
      </c>
      <c r="N174" s="203">
        <v>1</v>
      </c>
      <c r="O174" s="203">
        <v>1</v>
      </c>
      <c r="P174" s="109">
        <f>MIN(F174:O174)</f>
        <v>1</v>
      </c>
      <c r="Q174" s="504">
        <f>E174-P174</f>
        <v>0</v>
      </c>
      <c r="R174" s="107">
        <f>Q174/E174</f>
        <v>0</v>
      </c>
    </row>
    <row r="175" spans="2:18" ht="9.75" customHeight="1">
      <c r="B175" s="503"/>
      <c r="C175" s="13"/>
      <c r="D175" s="13" t="s">
        <v>35</v>
      </c>
      <c r="E175" s="13"/>
      <c r="F175" s="109"/>
      <c r="G175" s="504"/>
      <c r="H175" s="504"/>
      <c r="I175" s="504"/>
      <c r="J175" s="504"/>
      <c r="K175" s="504"/>
      <c r="L175" s="504"/>
      <c r="M175" s="504"/>
      <c r="N175" s="504"/>
      <c r="O175" s="110"/>
      <c r="P175" s="109"/>
      <c r="Q175" s="504"/>
      <c r="R175" s="107"/>
    </row>
    <row r="176" spans="2:18" ht="9.75" customHeight="1">
      <c r="B176" s="503"/>
      <c r="C176" s="13"/>
      <c r="D176" s="13" t="s">
        <v>36</v>
      </c>
      <c r="E176" s="13"/>
      <c r="F176" s="109"/>
      <c r="G176" s="504"/>
      <c r="H176" s="504"/>
      <c r="I176" s="504"/>
      <c r="J176" s="504"/>
      <c r="K176" s="504"/>
      <c r="L176" s="504"/>
      <c r="M176" s="504"/>
      <c r="N176" s="504"/>
      <c r="O176" s="110"/>
      <c r="P176" s="109"/>
      <c r="Q176" s="504"/>
      <c r="R176" s="107"/>
    </row>
    <row r="177" spans="2:18" ht="9.75" customHeight="1">
      <c r="B177" s="503"/>
      <c r="C177" s="13"/>
      <c r="D177" s="13" t="s">
        <v>37</v>
      </c>
      <c r="E177" s="13"/>
      <c r="F177" s="109"/>
      <c r="G177" s="504"/>
      <c r="H177" s="504"/>
      <c r="I177" s="504"/>
      <c r="J177" s="504"/>
      <c r="K177" s="504"/>
      <c r="L177" s="504"/>
      <c r="M177" s="504"/>
      <c r="N177" s="504"/>
      <c r="O177" s="110"/>
      <c r="P177" s="109"/>
      <c r="Q177" s="504"/>
      <c r="R177" s="107"/>
    </row>
    <row r="178" spans="2:18" ht="9.75" customHeight="1">
      <c r="B178" s="503" t="s">
        <v>127</v>
      </c>
      <c r="C178" s="2"/>
      <c r="D178" s="3" t="s">
        <v>38</v>
      </c>
      <c r="E178" s="3">
        <f t="shared" ref="E178:O178" si="34">SUM(E162:E177)</f>
        <v>24</v>
      </c>
      <c r="F178" s="21">
        <f t="shared" si="34"/>
        <v>21</v>
      </c>
      <c r="G178" s="71">
        <f t="shared" si="34"/>
        <v>19</v>
      </c>
      <c r="H178" s="71">
        <f t="shared" si="34"/>
        <v>14</v>
      </c>
      <c r="I178" s="71">
        <f t="shared" si="34"/>
        <v>9</v>
      </c>
      <c r="J178" s="71">
        <f t="shared" si="34"/>
        <v>6</v>
      </c>
      <c r="K178" s="71">
        <f t="shared" si="34"/>
        <v>8</v>
      </c>
      <c r="L178" s="71">
        <f t="shared" si="34"/>
        <v>11</v>
      </c>
      <c r="M178" s="71">
        <f t="shared" si="34"/>
        <v>12</v>
      </c>
      <c r="N178" s="71">
        <f t="shared" si="34"/>
        <v>16</v>
      </c>
      <c r="O178" s="26">
        <f t="shared" si="34"/>
        <v>18</v>
      </c>
      <c r="P178" s="21">
        <f>MIN(F178:O178)</f>
        <v>6</v>
      </c>
      <c r="Q178" s="71">
        <f>E178-P178</f>
        <v>18</v>
      </c>
      <c r="R178" s="7">
        <f>Q178/E178</f>
        <v>0.75</v>
      </c>
    </row>
    <row r="179" spans="2:18" ht="9.75" customHeight="1">
      <c r="B179" s="503"/>
      <c r="C179" s="33" t="s">
        <v>137</v>
      </c>
      <c r="D179" s="43" t="s">
        <v>23</v>
      </c>
      <c r="E179" s="43"/>
      <c r="F179" s="116"/>
      <c r="G179" s="128"/>
      <c r="H179" s="128"/>
      <c r="I179" s="128"/>
      <c r="J179" s="128"/>
      <c r="K179" s="128"/>
      <c r="L179" s="128"/>
      <c r="M179" s="128"/>
      <c r="N179" s="128"/>
      <c r="O179" s="129"/>
      <c r="P179" s="116"/>
      <c r="Q179" s="128"/>
      <c r="R179" s="141"/>
    </row>
    <row r="180" spans="2:18" ht="9.75" customHeight="1">
      <c r="B180" s="503"/>
      <c r="C180" s="58" t="s">
        <v>38</v>
      </c>
      <c r="D180" s="58" t="s">
        <v>25</v>
      </c>
      <c r="E180" s="58">
        <v>13</v>
      </c>
      <c r="F180" s="109">
        <v>13</v>
      </c>
      <c r="G180" s="504">
        <f>E180-5</f>
        <v>8</v>
      </c>
      <c r="H180" s="504">
        <f>E180-7</f>
        <v>6</v>
      </c>
      <c r="I180" s="504">
        <f>E180-9</f>
        <v>4</v>
      </c>
      <c r="J180" s="504">
        <v>4</v>
      </c>
      <c r="K180" s="11">
        <v>3</v>
      </c>
      <c r="L180" s="11">
        <v>7</v>
      </c>
      <c r="M180" s="11">
        <v>6</v>
      </c>
      <c r="N180" s="11">
        <v>7</v>
      </c>
      <c r="O180" s="136">
        <v>7</v>
      </c>
      <c r="P180" s="109">
        <f>MIN(F180:O180)</f>
        <v>3</v>
      </c>
      <c r="Q180" s="504">
        <f>E180-P180</f>
        <v>10</v>
      </c>
      <c r="R180" s="107">
        <f>Q180/E180</f>
        <v>0.76923076923076927</v>
      </c>
    </row>
    <row r="181" spans="2:18" ht="9.75" customHeight="1">
      <c r="B181" s="503"/>
      <c r="C181" s="58" t="s">
        <v>138</v>
      </c>
      <c r="D181" s="13" t="s">
        <v>27</v>
      </c>
      <c r="E181" s="13"/>
      <c r="F181" s="109"/>
      <c r="G181" s="504"/>
      <c r="H181" s="504"/>
      <c r="I181" s="504"/>
      <c r="J181" s="504"/>
      <c r="K181" s="32"/>
      <c r="L181" s="32"/>
      <c r="M181" s="32"/>
      <c r="N181" s="32"/>
      <c r="O181" s="142"/>
      <c r="P181" s="109"/>
      <c r="Q181" s="504"/>
      <c r="R181" s="107"/>
    </row>
    <row r="182" spans="2:18" ht="9.75" customHeight="1">
      <c r="B182" s="503"/>
      <c r="C182" s="58" t="s">
        <v>139</v>
      </c>
      <c r="D182" s="13" t="s">
        <v>115</v>
      </c>
      <c r="E182" s="13"/>
      <c r="F182" s="109"/>
      <c r="G182" s="504"/>
      <c r="H182" s="504"/>
      <c r="I182" s="504"/>
      <c r="J182" s="504"/>
      <c r="K182" s="32"/>
      <c r="L182" s="32"/>
      <c r="M182" s="32"/>
      <c r="N182" s="32"/>
      <c r="O182" s="142"/>
      <c r="P182" s="109"/>
      <c r="Q182" s="504"/>
      <c r="R182" s="107"/>
    </row>
    <row r="183" spans="2:18" ht="9.75" customHeight="1">
      <c r="B183" s="503"/>
      <c r="C183" s="13"/>
      <c r="D183" s="13" t="s">
        <v>115</v>
      </c>
      <c r="E183" s="13"/>
      <c r="F183" s="109"/>
      <c r="G183" s="504"/>
      <c r="H183" s="504"/>
      <c r="I183" s="504"/>
      <c r="J183" s="504"/>
      <c r="K183" s="32"/>
      <c r="L183" s="32"/>
      <c r="M183" s="32"/>
      <c r="N183" s="32"/>
      <c r="O183" s="142"/>
      <c r="P183" s="109"/>
      <c r="Q183" s="504"/>
      <c r="R183" s="107"/>
    </row>
    <row r="184" spans="2:18" ht="9.75" customHeight="1">
      <c r="B184" s="503"/>
      <c r="C184" s="13"/>
      <c r="D184" s="13" t="s">
        <v>32</v>
      </c>
      <c r="E184" s="13"/>
      <c r="F184" s="109"/>
      <c r="G184" s="504"/>
      <c r="H184" s="504"/>
      <c r="I184" s="504"/>
      <c r="J184" s="504"/>
      <c r="K184" s="32"/>
      <c r="L184" s="32"/>
      <c r="M184" s="32"/>
      <c r="N184" s="32"/>
      <c r="O184" s="142"/>
      <c r="P184" s="109"/>
      <c r="Q184" s="504"/>
      <c r="R184" s="107"/>
    </row>
    <row r="185" spans="2:18" ht="9.75" customHeight="1">
      <c r="B185" s="503"/>
      <c r="C185" s="13"/>
      <c r="D185" s="13" t="s">
        <v>140</v>
      </c>
      <c r="E185" s="13">
        <v>4</v>
      </c>
      <c r="F185" s="109">
        <v>4</v>
      </c>
      <c r="G185" s="504">
        <v>3</v>
      </c>
      <c r="H185" s="504">
        <v>2</v>
      </c>
      <c r="I185" s="504">
        <v>1</v>
      </c>
      <c r="J185" s="504">
        <v>1</v>
      </c>
      <c r="K185" s="11">
        <v>1</v>
      </c>
      <c r="L185" s="11">
        <v>1</v>
      </c>
      <c r="M185" s="11">
        <v>1</v>
      </c>
      <c r="N185" s="11">
        <v>1</v>
      </c>
      <c r="O185" s="136">
        <v>1</v>
      </c>
      <c r="P185" s="109">
        <f>MIN(F185:O185)</f>
        <v>1</v>
      </c>
      <c r="Q185" s="504">
        <f>E185-P185</f>
        <v>3</v>
      </c>
      <c r="R185" s="107">
        <f>Q185/E185</f>
        <v>0.75</v>
      </c>
    </row>
    <row r="186" spans="2:18" ht="9.75" customHeight="1">
      <c r="B186" s="503"/>
      <c r="C186" s="13"/>
      <c r="D186" s="13" t="s">
        <v>120</v>
      </c>
      <c r="E186" s="13"/>
      <c r="F186" s="109"/>
      <c r="G186" s="504"/>
      <c r="H186" s="504"/>
      <c r="I186" s="504"/>
      <c r="J186" s="504"/>
      <c r="K186" s="32"/>
      <c r="L186" s="32"/>
      <c r="M186" s="32"/>
      <c r="N186" s="32"/>
      <c r="O186" s="142"/>
      <c r="P186" s="109"/>
      <c r="Q186" s="504"/>
      <c r="R186" s="107"/>
    </row>
    <row r="187" spans="2:18" ht="9.75" customHeight="1">
      <c r="B187" s="503"/>
      <c r="C187" s="13"/>
      <c r="D187" s="13" t="s">
        <v>120</v>
      </c>
      <c r="E187" s="13"/>
      <c r="F187" s="109"/>
      <c r="G187" s="504"/>
      <c r="H187" s="504"/>
      <c r="I187" s="504"/>
      <c r="J187" s="504"/>
      <c r="K187" s="32"/>
      <c r="L187" s="32"/>
      <c r="M187" s="32"/>
      <c r="N187" s="32"/>
      <c r="O187" s="142"/>
      <c r="P187" s="109"/>
      <c r="Q187" s="504"/>
      <c r="R187" s="107"/>
    </row>
    <row r="188" spans="2:18" ht="9.75" customHeight="1">
      <c r="B188" s="503"/>
      <c r="C188" s="13"/>
      <c r="D188" s="13" t="s">
        <v>120</v>
      </c>
      <c r="E188" s="13"/>
      <c r="F188" s="109"/>
      <c r="G188" s="504"/>
      <c r="H188" s="504"/>
      <c r="I188" s="504"/>
      <c r="J188" s="504"/>
      <c r="K188" s="32"/>
      <c r="L188" s="32"/>
      <c r="M188" s="32"/>
      <c r="N188" s="32"/>
      <c r="O188" s="142"/>
      <c r="P188" s="109"/>
      <c r="Q188" s="504"/>
      <c r="R188" s="107"/>
    </row>
    <row r="189" spans="2:18" ht="9.75" customHeight="1">
      <c r="B189" s="503"/>
      <c r="C189" s="13"/>
      <c r="D189" s="13" t="s">
        <v>120</v>
      </c>
      <c r="E189" s="13"/>
      <c r="F189" s="109"/>
      <c r="G189" s="504"/>
      <c r="H189" s="504"/>
      <c r="I189" s="504"/>
      <c r="J189" s="504"/>
      <c r="K189" s="32"/>
      <c r="L189" s="32"/>
      <c r="M189" s="32"/>
      <c r="N189" s="32"/>
      <c r="O189" s="142"/>
      <c r="P189" s="109"/>
      <c r="Q189" s="504"/>
      <c r="R189" s="107"/>
    </row>
    <row r="190" spans="2:18" ht="9.75" customHeight="1">
      <c r="B190" s="503"/>
      <c r="C190" s="13"/>
      <c r="D190" s="13" t="s">
        <v>120</v>
      </c>
      <c r="E190" s="13"/>
      <c r="F190" s="109"/>
      <c r="G190" s="504"/>
      <c r="H190" s="504"/>
      <c r="I190" s="504"/>
      <c r="J190" s="504"/>
      <c r="K190" s="32"/>
      <c r="L190" s="32"/>
      <c r="M190" s="32"/>
      <c r="N190" s="32"/>
      <c r="O190" s="142"/>
      <c r="P190" s="109"/>
      <c r="Q190" s="504"/>
      <c r="R190" s="107"/>
    </row>
    <row r="191" spans="2:18" ht="9.75" customHeight="1">
      <c r="B191" s="503"/>
      <c r="C191" s="13"/>
      <c r="D191" s="13" t="s">
        <v>34</v>
      </c>
      <c r="E191" s="13">
        <v>2</v>
      </c>
      <c r="F191" s="109">
        <v>0</v>
      </c>
      <c r="G191" s="504">
        <v>0</v>
      </c>
      <c r="H191" s="504">
        <v>0</v>
      </c>
      <c r="I191" s="504">
        <v>0</v>
      </c>
      <c r="J191" s="504">
        <v>0</v>
      </c>
      <c r="K191" s="11">
        <v>0</v>
      </c>
      <c r="L191" s="11">
        <v>0</v>
      </c>
      <c r="M191" s="11">
        <v>0</v>
      </c>
      <c r="N191" s="11">
        <v>0</v>
      </c>
      <c r="O191" s="136">
        <v>0</v>
      </c>
      <c r="P191" s="109">
        <f>MIN(F191:O191)</f>
        <v>0</v>
      </c>
      <c r="Q191" s="504">
        <f>E191-P191</f>
        <v>2</v>
      </c>
      <c r="R191" s="107">
        <f>Q191/E191</f>
        <v>1</v>
      </c>
    </row>
    <row r="192" spans="2:18" ht="9.75" customHeight="1">
      <c r="B192" s="503"/>
      <c r="C192" s="13"/>
      <c r="D192" s="13" t="s">
        <v>35</v>
      </c>
      <c r="E192" s="13"/>
      <c r="F192" s="109"/>
      <c r="G192" s="504"/>
      <c r="H192" s="504"/>
      <c r="I192" s="504"/>
      <c r="J192" s="504"/>
      <c r="K192" s="32"/>
      <c r="L192" s="32"/>
      <c r="M192" s="32"/>
      <c r="N192" s="32"/>
      <c r="O192" s="142"/>
      <c r="P192" s="109"/>
      <c r="Q192" s="504"/>
      <c r="R192" s="107"/>
    </row>
    <row r="193" spans="2:18" ht="9.75" customHeight="1">
      <c r="B193" s="503"/>
      <c r="C193" s="13"/>
      <c r="D193" s="13" t="s">
        <v>36</v>
      </c>
      <c r="E193" s="13"/>
      <c r="F193" s="109"/>
      <c r="G193" s="504"/>
      <c r="H193" s="504"/>
      <c r="I193" s="504"/>
      <c r="J193" s="504"/>
      <c r="K193" s="32"/>
      <c r="L193" s="32"/>
      <c r="M193" s="32"/>
      <c r="N193" s="32"/>
      <c r="O193" s="142"/>
      <c r="P193" s="109"/>
      <c r="Q193" s="504"/>
      <c r="R193" s="107"/>
    </row>
    <row r="194" spans="2:18" ht="9.75" customHeight="1">
      <c r="B194" s="503"/>
      <c r="C194" s="13"/>
      <c r="D194" s="13" t="s">
        <v>37</v>
      </c>
      <c r="E194" s="13">
        <v>1</v>
      </c>
      <c r="F194" s="109">
        <v>1</v>
      </c>
      <c r="G194" s="504">
        <v>1</v>
      </c>
      <c r="H194" s="504">
        <v>1</v>
      </c>
      <c r="I194" s="504">
        <v>1</v>
      </c>
      <c r="J194" s="504">
        <v>1</v>
      </c>
      <c r="K194" s="203">
        <v>1</v>
      </c>
      <c r="L194" s="203">
        <v>1</v>
      </c>
      <c r="M194" s="203">
        <v>1</v>
      </c>
      <c r="N194" s="203">
        <v>1</v>
      </c>
      <c r="O194" s="203">
        <v>1</v>
      </c>
      <c r="P194" s="109">
        <f t="shared" ref="P194:P195" si="35">MIN(F194:O194)</f>
        <v>1</v>
      </c>
      <c r="Q194" s="504">
        <f t="shared" ref="Q194:Q195" si="36">E194-P194</f>
        <v>0</v>
      </c>
      <c r="R194" s="107">
        <f t="shared" ref="R194:R195" si="37">Q194/E194</f>
        <v>0</v>
      </c>
    </row>
    <row r="195" spans="2:18" ht="9.75" customHeight="1">
      <c r="B195" s="503" t="s">
        <v>127</v>
      </c>
      <c r="C195" s="2"/>
      <c r="D195" s="3" t="s">
        <v>38</v>
      </c>
      <c r="E195" s="3">
        <f t="shared" ref="E195:O195" si="38">SUM(E179:E194)</f>
        <v>20</v>
      </c>
      <c r="F195" s="21">
        <f t="shared" si="38"/>
        <v>18</v>
      </c>
      <c r="G195" s="71">
        <f t="shared" si="38"/>
        <v>12</v>
      </c>
      <c r="H195" s="71">
        <f t="shared" si="38"/>
        <v>9</v>
      </c>
      <c r="I195" s="71">
        <f t="shared" si="38"/>
        <v>6</v>
      </c>
      <c r="J195" s="71">
        <f t="shared" si="38"/>
        <v>6</v>
      </c>
      <c r="K195" s="71">
        <f t="shared" si="38"/>
        <v>5</v>
      </c>
      <c r="L195" s="71">
        <f t="shared" si="38"/>
        <v>9</v>
      </c>
      <c r="M195" s="71">
        <f t="shared" si="38"/>
        <v>8</v>
      </c>
      <c r="N195" s="71">
        <f t="shared" si="38"/>
        <v>9</v>
      </c>
      <c r="O195" s="26">
        <f t="shared" si="38"/>
        <v>9</v>
      </c>
      <c r="P195" s="21">
        <f t="shared" si="35"/>
        <v>5</v>
      </c>
      <c r="Q195" s="71">
        <f t="shared" si="36"/>
        <v>15</v>
      </c>
      <c r="R195" s="7">
        <f t="shared" si="37"/>
        <v>0.75</v>
      </c>
    </row>
    <row r="196" spans="2:18" ht="9.75" customHeight="1">
      <c r="B196" s="503"/>
      <c r="C196" s="43" t="s">
        <v>141</v>
      </c>
      <c r="D196" s="43" t="s">
        <v>23</v>
      </c>
      <c r="E196" s="43"/>
      <c r="F196" s="116"/>
      <c r="G196" s="128"/>
      <c r="H196" s="128"/>
      <c r="I196" s="128"/>
      <c r="J196" s="128"/>
      <c r="K196" s="128"/>
      <c r="L196" s="128"/>
      <c r="M196" s="128"/>
      <c r="N196" s="128"/>
      <c r="O196" s="129"/>
      <c r="P196" s="116"/>
      <c r="Q196" s="128"/>
      <c r="R196" s="141"/>
    </row>
    <row r="197" spans="2:18" ht="9.75" customHeight="1">
      <c r="B197" s="503"/>
      <c r="C197" s="13"/>
      <c r="D197" s="13" t="s">
        <v>25</v>
      </c>
      <c r="E197" s="13">
        <v>12</v>
      </c>
      <c r="F197" s="109">
        <f>E197-3</f>
        <v>9</v>
      </c>
      <c r="G197" s="504">
        <v>8</v>
      </c>
      <c r="H197" s="504">
        <f>E197-7</f>
        <v>5</v>
      </c>
      <c r="I197" s="504">
        <v>5</v>
      </c>
      <c r="J197" s="504">
        <v>5</v>
      </c>
      <c r="K197" s="11">
        <v>5</v>
      </c>
      <c r="L197" s="11">
        <v>5</v>
      </c>
      <c r="M197" s="11">
        <f>E197-5</f>
        <v>7</v>
      </c>
      <c r="N197" s="11">
        <f>E197-3</f>
        <v>9</v>
      </c>
      <c r="O197" s="136">
        <v>10</v>
      </c>
      <c r="P197" s="109">
        <f>MIN(F197:O197)</f>
        <v>5</v>
      </c>
      <c r="Q197" s="504">
        <f>E197-P197</f>
        <v>7</v>
      </c>
      <c r="R197" s="107">
        <f>Q197/E197</f>
        <v>0.58333333333333337</v>
      </c>
    </row>
    <row r="198" spans="2:18" ht="9.75" customHeight="1">
      <c r="B198" s="503"/>
      <c r="C198" s="13"/>
      <c r="D198" s="13" t="s">
        <v>27</v>
      </c>
      <c r="E198" s="13"/>
      <c r="F198" s="109"/>
      <c r="G198" s="504"/>
      <c r="H198" s="504"/>
      <c r="I198" s="504"/>
      <c r="J198" s="504"/>
      <c r="K198" s="32"/>
      <c r="L198" s="32"/>
      <c r="M198" s="32"/>
      <c r="N198" s="32"/>
      <c r="O198" s="142"/>
      <c r="P198" s="109"/>
      <c r="Q198" s="504"/>
      <c r="R198" s="107"/>
    </row>
    <row r="199" spans="2:18" ht="9.75" customHeight="1">
      <c r="B199" s="503"/>
      <c r="C199" s="13"/>
      <c r="D199" s="13" t="s">
        <v>115</v>
      </c>
      <c r="E199" s="13"/>
      <c r="F199" s="109"/>
      <c r="G199" s="504"/>
      <c r="H199" s="504"/>
      <c r="I199" s="504"/>
      <c r="J199" s="504"/>
      <c r="K199" s="32"/>
      <c r="L199" s="32"/>
      <c r="M199" s="32"/>
      <c r="N199" s="32"/>
      <c r="O199" s="142"/>
      <c r="P199" s="109"/>
      <c r="Q199" s="504"/>
      <c r="R199" s="107"/>
    </row>
    <row r="200" spans="2:18" ht="9.75" customHeight="1">
      <c r="B200" s="503"/>
      <c r="C200" s="13"/>
      <c r="D200" s="13" t="s">
        <v>115</v>
      </c>
      <c r="E200" s="13"/>
      <c r="F200" s="109"/>
      <c r="G200" s="504"/>
      <c r="H200" s="504"/>
      <c r="I200" s="504"/>
      <c r="J200" s="504"/>
      <c r="K200" s="32"/>
      <c r="L200" s="32"/>
      <c r="M200" s="32"/>
      <c r="N200" s="32"/>
      <c r="O200" s="142"/>
      <c r="P200" s="109"/>
      <c r="Q200" s="504"/>
      <c r="R200" s="107"/>
    </row>
    <row r="201" spans="2:18" ht="9.75" customHeight="1">
      <c r="B201" s="503"/>
      <c r="C201" s="13"/>
      <c r="D201" s="13" t="s">
        <v>32</v>
      </c>
      <c r="E201" s="13"/>
      <c r="F201" s="109"/>
      <c r="G201" s="504"/>
      <c r="H201" s="504"/>
      <c r="I201" s="504"/>
      <c r="J201" s="504"/>
      <c r="K201" s="32"/>
      <c r="L201" s="32"/>
      <c r="M201" s="32"/>
      <c r="N201" s="32"/>
      <c r="O201" s="142"/>
      <c r="P201" s="109"/>
      <c r="Q201" s="504"/>
      <c r="R201" s="107"/>
    </row>
    <row r="202" spans="2:18" ht="9.75" customHeight="1">
      <c r="B202" s="503"/>
      <c r="C202" s="13"/>
      <c r="D202" s="13" t="s">
        <v>120</v>
      </c>
      <c r="E202" s="13"/>
      <c r="F202" s="109"/>
      <c r="G202" s="504"/>
      <c r="H202" s="504"/>
      <c r="I202" s="504"/>
      <c r="J202" s="504"/>
      <c r="K202" s="32"/>
      <c r="L202" s="32"/>
      <c r="M202" s="32"/>
      <c r="N202" s="32"/>
      <c r="O202" s="142"/>
      <c r="P202" s="109"/>
      <c r="Q202" s="504"/>
      <c r="R202" s="107"/>
    </row>
    <row r="203" spans="2:18" ht="9.75" customHeight="1">
      <c r="B203" s="503"/>
      <c r="C203" s="13"/>
      <c r="D203" s="13" t="s">
        <v>120</v>
      </c>
      <c r="E203" s="13"/>
      <c r="F203" s="109"/>
      <c r="G203" s="504"/>
      <c r="H203" s="504"/>
      <c r="I203" s="504"/>
      <c r="J203" s="504"/>
      <c r="K203" s="32"/>
      <c r="L203" s="32"/>
      <c r="M203" s="32"/>
      <c r="N203" s="32"/>
      <c r="O203" s="142"/>
      <c r="P203" s="109"/>
      <c r="Q203" s="504"/>
      <c r="R203" s="107"/>
    </row>
    <row r="204" spans="2:18" ht="9.75" customHeight="1">
      <c r="B204" s="503"/>
      <c r="C204" s="13"/>
      <c r="D204" s="13" t="s">
        <v>120</v>
      </c>
      <c r="E204" s="13"/>
      <c r="F204" s="109"/>
      <c r="G204" s="504"/>
      <c r="H204" s="504"/>
      <c r="I204" s="504"/>
      <c r="J204" s="504"/>
      <c r="K204" s="32"/>
      <c r="L204" s="32"/>
      <c r="M204" s="32"/>
      <c r="N204" s="32"/>
      <c r="O204" s="142"/>
      <c r="P204" s="109"/>
      <c r="Q204" s="504"/>
      <c r="R204" s="107"/>
    </row>
    <row r="205" spans="2:18" ht="9.75" customHeight="1">
      <c r="B205" s="503"/>
      <c r="C205" s="13"/>
      <c r="D205" s="13" t="s">
        <v>120</v>
      </c>
      <c r="E205" s="13"/>
      <c r="F205" s="109"/>
      <c r="G205" s="504"/>
      <c r="H205" s="504"/>
      <c r="I205" s="504"/>
      <c r="J205" s="504"/>
      <c r="K205" s="32"/>
      <c r="L205" s="32"/>
      <c r="M205" s="32"/>
      <c r="N205" s="32"/>
      <c r="O205" s="142"/>
      <c r="P205" s="109"/>
      <c r="Q205" s="504"/>
      <c r="R205" s="107"/>
    </row>
    <row r="206" spans="2:18" ht="9.75" customHeight="1">
      <c r="B206" s="503"/>
      <c r="C206" s="13"/>
      <c r="D206" s="13" t="s">
        <v>120</v>
      </c>
      <c r="E206" s="13"/>
      <c r="F206" s="109"/>
      <c r="G206" s="504"/>
      <c r="H206" s="504"/>
      <c r="I206" s="504"/>
      <c r="J206" s="504"/>
      <c r="K206" s="32"/>
      <c r="L206" s="32"/>
      <c r="M206" s="32"/>
      <c r="N206" s="32"/>
      <c r="O206" s="142"/>
      <c r="P206" s="109"/>
      <c r="Q206" s="504"/>
      <c r="R206" s="107"/>
    </row>
    <row r="207" spans="2:18" ht="9.75" customHeight="1">
      <c r="B207" s="503"/>
      <c r="C207" s="13"/>
      <c r="D207" s="13" t="s">
        <v>120</v>
      </c>
      <c r="E207" s="13"/>
      <c r="F207" s="109"/>
      <c r="G207" s="504"/>
      <c r="H207" s="504"/>
      <c r="I207" s="504"/>
      <c r="J207" s="504"/>
      <c r="K207" s="32"/>
      <c r="L207" s="32"/>
      <c r="M207" s="32"/>
      <c r="N207" s="32"/>
      <c r="O207" s="142"/>
      <c r="P207" s="109"/>
      <c r="Q207" s="504"/>
      <c r="R207" s="107"/>
    </row>
    <row r="208" spans="2:18" ht="9.75" customHeight="1">
      <c r="B208" s="503"/>
      <c r="C208" s="13"/>
      <c r="D208" s="13" t="s">
        <v>34</v>
      </c>
      <c r="E208" s="13">
        <v>1</v>
      </c>
      <c r="F208" s="109">
        <v>1</v>
      </c>
      <c r="G208" s="504">
        <v>1</v>
      </c>
      <c r="H208" s="504">
        <v>1</v>
      </c>
      <c r="I208" s="504">
        <v>1</v>
      </c>
      <c r="J208" s="504">
        <v>1</v>
      </c>
      <c r="K208" s="504">
        <v>1</v>
      </c>
      <c r="L208" s="504">
        <v>1</v>
      </c>
      <c r="M208" s="504">
        <v>1</v>
      </c>
      <c r="N208" s="504">
        <v>1</v>
      </c>
      <c r="O208" s="136">
        <v>1</v>
      </c>
      <c r="P208" s="109">
        <f>MIN(F208:O208)</f>
        <v>1</v>
      </c>
      <c r="Q208" s="504">
        <f>E208-P208</f>
        <v>0</v>
      </c>
      <c r="R208" s="107">
        <f>Q208/E208</f>
        <v>0</v>
      </c>
    </row>
    <row r="209" spans="2:18" ht="9.75" customHeight="1">
      <c r="B209" s="503"/>
      <c r="C209" s="13"/>
      <c r="D209" s="13" t="s">
        <v>35</v>
      </c>
      <c r="E209" s="13"/>
      <c r="F209" s="109"/>
      <c r="G209" s="504"/>
      <c r="H209" s="504"/>
      <c r="I209" s="504"/>
      <c r="J209" s="504"/>
      <c r="K209" s="504"/>
      <c r="L209" s="504"/>
      <c r="M209" s="504"/>
      <c r="N209" s="504"/>
      <c r="O209" s="110"/>
      <c r="P209" s="109"/>
      <c r="Q209" s="504"/>
      <c r="R209" s="107"/>
    </row>
    <row r="210" spans="2:18" ht="9.75" customHeight="1">
      <c r="B210" s="503"/>
      <c r="C210" s="13"/>
      <c r="D210" s="13" t="s">
        <v>36</v>
      </c>
      <c r="E210" s="13"/>
      <c r="F210" s="109"/>
      <c r="G210" s="504"/>
      <c r="H210" s="504"/>
      <c r="I210" s="504"/>
      <c r="J210" s="504"/>
      <c r="K210" s="504"/>
      <c r="L210" s="504"/>
      <c r="M210" s="504"/>
      <c r="N210" s="504"/>
      <c r="O210" s="110"/>
      <c r="P210" s="109"/>
      <c r="Q210" s="504"/>
      <c r="R210" s="107"/>
    </row>
    <row r="211" spans="2:18" ht="9.75" customHeight="1">
      <c r="B211" s="503"/>
      <c r="C211" s="13"/>
      <c r="D211" s="13" t="s">
        <v>37</v>
      </c>
      <c r="E211" s="13"/>
      <c r="F211" s="109"/>
      <c r="G211" s="504"/>
      <c r="H211" s="504"/>
      <c r="I211" s="504"/>
      <c r="J211" s="504"/>
      <c r="K211" s="504"/>
      <c r="L211" s="504"/>
      <c r="M211" s="504"/>
      <c r="N211" s="504"/>
      <c r="O211" s="110"/>
      <c r="P211" s="109"/>
      <c r="Q211" s="504"/>
      <c r="R211" s="107"/>
    </row>
    <row r="212" spans="2:18" ht="9.75" customHeight="1">
      <c r="B212" s="503" t="s">
        <v>127</v>
      </c>
      <c r="C212" s="2"/>
      <c r="D212" s="3" t="s">
        <v>38</v>
      </c>
      <c r="E212" s="3">
        <f t="shared" ref="E212:O212" si="39">SUM(E196:E211)</f>
        <v>13</v>
      </c>
      <c r="F212" s="21">
        <f t="shared" si="39"/>
        <v>10</v>
      </c>
      <c r="G212" s="71">
        <f t="shared" si="39"/>
        <v>9</v>
      </c>
      <c r="H212" s="71">
        <f t="shared" si="39"/>
        <v>6</v>
      </c>
      <c r="I212" s="71">
        <f t="shared" si="39"/>
        <v>6</v>
      </c>
      <c r="J212" s="71">
        <f t="shared" si="39"/>
        <v>6</v>
      </c>
      <c r="K212" s="71">
        <f t="shared" si="39"/>
        <v>6</v>
      </c>
      <c r="L212" s="71">
        <f t="shared" si="39"/>
        <v>6</v>
      </c>
      <c r="M212" s="71">
        <f t="shared" si="39"/>
        <v>8</v>
      </c>
      <c r="N212" s="71">
        <f t="shared" si="39"/>
        <v>10</v>
      </c>
      <c r="O212" s="26">
        <f t="shared" si="39"/>
        <v>11</v>
      </c>
      <c r="P212" s="21">
        <f>MIN(F212:O212)</f>
        <v>6</v>
      </c>
      <c r="Q212" s="71">
        <f>E212-P212</f>
        <v>7</v>
      </c>
      <c r="R212" s="7">
        <f>Q212/E212</f>
        <v>0.53846153846153844</v>
      </c>
    </row>
    <row r="213" spans="2:18" ht="9.75" customHeight="1">
      <c r="B213" s="503"/>
      <c r="C213" s="43" t="s">
        <v>142</v>
      </c>
      <c r="D213" s="43" t="s">
        <v>23</v>
      </c>
      <c r="E213" s="43"/>
      <c r="F213" s="116"/>
      <c r="G213" s="128"/>
      <c r="H213" s="128"/>
      <c r="I213" s="128"/>
      <c r="J213" s="128"/>
      <c r="K213" s="128"/>
      <c r="L213" s="128"/>
      <c r="M213" s="128"/>
      <c r="N213" s="128"/>
      <c r="O213" s="129"/>
      <c r="P213" s="116"/>
      <c r="Q213" s="128"/>
      <c r="R213" s="141"/>
    </row>
    <row r="214" spans="2:18" ht="9.75" customHeight="1">
      <c r="B214" s="503"/>
      <c r="C214" s="13"/>
      <c r="D214" s="13" t="s">
        <v>25</v>
      </c>
      <c r="E214" s="13">
        <v>12</v>
      </c>
      <c r="F214" s="109">
        <f>E214-3</f>
        <v>9</v>
      </c>
      <c r="G214" s="504">
        <f>E214-4</f>
        <v>8</v>
      </c>
      <c r="H214" s="504">
        <f>E214-5</f>
        <v>7</v>
      </c>
      <c r="I214" s="504">
        <f>E214-6</f>
        <v>6</v>
      </c>
      <c r="J214" s="504">
        <f>E214-7</f>
        <v>5</v>
      </c>
      <c r="K214" s="11">
        <f>E214-5</f>
        <v>7</v>
      </c>
      <c r="L214" s="11">
        <f>E214-3</f>
        <v>9</v>
      </c>
      <c r="M214" s="11">
        <f>E214-2</f>
        <v>10</v>
      </c>
      <c r="N214" s="11">
        <f>E214-2</f>
        <v>10</v>
      </c>
      <c r="O214" s="136">
        <v>11</v>
      </c>
      <c r="P214" s="109">
        <f>MIN(F214:O214)</f>
        <v>5</v>
      </c>
      <c r="Q214" s="504">
        <f>E214-P214</f>
        <v>7</v>
      </c>
      <c r="R214" s="107">
        <f>Q214/E214</f>
        <v>0.58333333333333337</v>
      </c>
    </row>
    <row r="215" spans="2:18" ht="9.75" customHeight="1">
      <c r="B215" s="503"/>
      <c r="C215" s="13"/>
      <c r="D215" s="13" t="s">
        <v>27</v>
      </c>
      <c r="E215" s="13"/>
      <c r="F215" s="109"/>
      <c r="G215" s="504"/>
      <c r="H215" s="504"/>
      <c r="I215" s="504"/>
      <c r="J215" s="504"/>
      <c r="K215" s="32"/>
      <c r="L215" s="32"/>
      <c r="M215" s="32"/>
      <c r="N215" s="32"/>
      <c r="O215" s="142"/>
      <c r="P215" s="109"/>
      <c r="Q215" s="504"/>
      <c r="R215" s="107"/>
    </row>
    <row r="216" spans="2:18" ht="9.75" customHeight="1">
      <c r="B216" s="503"/>
      <c r="C216" s="13"/>
      <c r="D216" s="13" t="s">
        <v>115</v>
      </c>
      <c r="E216" s="13"/>
      <c r="F216" s="109"/>
      <c r="G216" s="504"/>
      <c r="H216" s="504"/>
      <c r="I216" s="504"/>
      <c r="J216" s="504"/>
      <c r="K216" s="32"/>
      <c r="L216" s="32"/>
      <c r="M216" s="32"/>
      <c r="N216" s="32"/>
      <c r="O216" s="142"/>
      <c r="P216" s="109"/>
      <c r="Q216" s="504"/>
      <c r="R216" s="107"/>
    </row>
    <row r="217" spans="2:18" ht="9.75" customHeight="1">
      <c r="B217" s="503"/>
      <c r="C217" s="13"/>
      <c r="D217" s="13" t="s">
        <v>115</v>
      </c>
      <c r="E217" s="13"/>
      <c r="F217" s="109"/>
      <c r="G217" s="504"/>
      <c r="H217" s="504"/>
      <c r="I217" s="504"/>
      <c r="J217" s="504"/>
      <c r="K217" s="32"/>
      <c r="L217" s="32"/>
      <c r="M217" s="32"/>
      <c r="N217" s="32"/>
      <c r="O217" s="142"/>
      <c r="P217" s="109"/>
      <c r="Q217" s="504"/>
      <c r="R217" s="107"/>
    </row>
    <row r="218" spans="2:18" ht="9.75" customHeight="1">
      <c r="B218" s="503"/>
      <c r="C218" s="13"/>
      <c r="D218" s="13" t="s">
        <v>32</v>
      </c>
      <c r="E218" s="13"/>
      <c r="F218" s="109"/>
      <c r="G218" s="504"/>
      <c r="H218" s="504"/>
      <c r="I218" s="504"/>
      <c r="J218" s="504"/>
      <c r="K218" s="32"/>
      <c r="L218" s="32"/>
      <c r="M218" s="32"/>
      <c r="N218" s="32"/>
      <c r="O218" s="142"/>
      <c r="P218" s="109"/>
      <c r="Q218" s="504"/>
      <c r="R218" s="107"/>
    </row>
    <row r="219" spans="2:18" ht="9.75" customHeight="1">
      <c r="B219" s="503"/>
      <c r="C219" s="13"/>
      <c r="D219" s="13" t="s">
        <v>118</v>
      </c>
      <c r="E219" s="13">
        <v>2</v>
      </c>
      <c r="F219" s="109">
        <v>1</v>
      </c>
      <c r="G219" s="504">
        <v>1</v>
      </c>
      <c r="H219" s="504">
        <v>1</v>
      </c>
      <c r="I219" s="504">
        <v>2</v>
      </c>
      <c r="J219" s="504">
        <v>2</v>
      </c>
      <c r="K219" s="11">
        <v>2</v>
      </c>
      <c r="L219" s="11">
        <v>2</v>
      </c>
      <c r="M219" s="11">
        <v>2</v>
      </c>
      <c r="N219" s="11">
        <v>2</v>
      </c>
      <c r="O219" s="136">
        <v>2</v>
      </c>
      <c r="P219" s="109">
        <f>MIN(F219:O219)</f>
        <v>1</v>
      </c>
      <c r="Q219" s="504">
        <f>E219-P219</f>
        <v>1</v>
      </c>
      <c r="R219" s="107">
        <f>Q219/E219</f>
        <v>0.5</v>
      </c>
    </row>
    <row r="220" spans="2:18" ht="9.75" customHeight="1">
      <c r="B220" s="503"/>
      <c r="C220" s="13"/>
      <c r="D220" s="13" t="s">
        <v>120</v>
      </c>
      <c r="E220" s="13"/>
      <c r="F220" s="109"/>
      <c r="G220" s="504"/>
      <c r="H220" s="504"/>
      <c r="I220" s="504"/>
      <c r="J220" s="504"/>
      <c r="K220" s="32"/>
      <c r="L220" s="32"/>
      <c r="M220" s="32"/>
      <c r="N220" s="32"/>
      <c r="O220" s="142"/>
      <c r="P220" s="109"/>
      <c r="Q220" s="504"/>
      <c r="R220" s="107"/>
    </row>
    <row r="221" spans="2:18" ht="9.75" customHeight="1">
      <c r="B221" s="503"/>
      <c r="C221" s="13"/>
      <c r="D221" s="13" t="s">
        <v>120</v>
      </c>
      <c r="E221" s="13"/>
      <c r="F221" s="109"/>
      <c r="G221" s="504"/>
      <c r="H221" s="504"/>
      <c r="I221" s="504"/>
      <c r="J221" s="504"/>
      <c r="K221" s="32"/>
      <c r="L221" s="32"/>
      <c r="M221" s="32"/>
      <c r="N221" s="32"/>
      <c r="O221" s="142"/>
      <c r="P221" s="109"/>
      <c r="Q221" s="504"/>
      <c r="R221" s="107"/>
    </row>
    <row r="222" spans="2:18" ht="9.75" customHeight="1">
      <c r="B222" s="503"/>
      <c r="C222" s="13"/>
      <c r="D222" s="13" t="s">
        <v>120</v>
      </c>
      <c r="E222" s="13"/>
      <c r="F222" s="109"/>
      <c r="G222" s="504"/>
      <c r="H222" s="504"/>
      <c r="I222" s="504"/>
      <c r="J222" s="504"/>
      <c r="K222" s="32"/>
      <c r="L222" s="32"/>
      <c r="M222" s="32"/>
      <c r="N222" s="32"/>
      <c r="O222" s="142"/>
      <c r="P222" s="109"/>
      <c r="Q222" s="504"/>
      <c r="R222" s="107"/>
    </row>
    <row r="223" spans="2:18" ht="9.75" customHeight="1">
      <c r="B223" s="503"/>
      <c r="C223" s="13"/>
      <c r="D223" s="13" t="s">
        <v>120</v>
      </c>
      <c r="E223" s="13"/>
      <c r="F223" s="109"/>
      <c r="G223" s="504"/>
      <c r="H223" s="504"/>
      <c r="I223" s="504"/>
      <c r="J223" s="504"/>
      <c r="K223" s="32"/>
      <c r="L223" s="32"/>
      <c r="M223" s="32"/>
      <c r="N223" s="32"/>
      <c r="O223" s="142"/>
      <c r="P223" s="109"/>
      <c r="Q223" s="504"/>
      <c r="R223" s="107"/>
    </row>
    <row r="224" spans="2:18" ht="9.75" customHeight="1">
      <c r="B224" s="503"/>
      <c r="C224" s="13"/>
      <c r="D224" s="13" t="s">
        <v>120</v>
      </c>
      <c r="E224" s="13"/>
      <c r="F224" s="109"/>
      <c r="G224" s="504"/>
      <c r="H224" s="504"/>
      <c r="I224" s="504"/>
      <c r="J224" s="504"/>
      <c r="K224" s="32"/>
      <c r="L224" s="32"/>
      <c r="M224" s="32"/>
      <c r="N224" s="32"/>
      <c r="O224" s="142"/>
      <c r="P224" s="109"/>
      <c r="Q224" s="504"/>
      <c r="R224" s="107"/>
    </row>
    <row r="225" spans="2:18" ht="9.75" customHeight="1">
      <c r="B225" s="503"/>
      <c r="C225" s="13"/>
      <c r="D225" s="13" t="s">
        <v>34</v>
      </c>
      <c r="E225" s="13">
        <v>1</v>
      </c>
      <c r="F225" s="109">
        <v>1</v>
      </c>
      <c r="G225" s="504">
        <v>1</v>
      </c>
      <c r="H225" s="504">
        <v>1</v>
      </c>
      <c r="I225" s="504">
        <v>1</v>
      </c>
      <c r="J225" s="504">
        <v>1</v>
      </c>
      <c r="K225" s="203">
        <v>1</v>
      </c>
      <c r="L225" s="203">
        <v>1</v>
      </c>
      <c r="M225" s="203">
        <v>1</v>
      </c>
      <c r="N225" s="203">
        <v>1</v>
      </c>
      <c r="O225" s="203">
        <v>1</v>
      </c>
      <c r="P225" s="109">
        <f>MIN(F225:O225)</f>
        <v>1</v>
      </c>
      <c r="Q225" s="504">
        <f>E225-P225</f>
        <v>0</v>
      </c>
      <c r="R225" s="107">
        <f>Q225/E225</f>
        <v>0</v>
      </c>
    </row>
    <row r="226" spans="2:18" ht="9.75" customHeight="1">
      <c r="B226" s="503"/>
      <c r="C226" s="13"/>
      <c r="D226" s="13" t="s">
        <v>35</v>
      </c>
      <c r="E226" s="13"/>
      <c r="F226" s="109"/>
      <c r="G226" s="504"/>
      <c r="H226" s="504"/>
      <c r="I226" s="504"/>
      <c r="J226" s="504"/>
      <c r="K226" s="504"/>
      <c r="L226" s="504"/>
      <c r="M226" s="504"/>
      <c r="N226" s="504"/>
      <c r="O226" s="110"/>
      <c r="P226" s="109"/>
      <c r="Q226" s="504"/>
      <c r="R226" s="107"/>
    </row>
    <row r="227" spans="2:18" ht="9.75" customHeight="1">
      <c r="B227" s="503"/>
      <c r="C227" s="13"/>
      <c r="D227" s="13" t="s">
        <v>36</v>
      </c>
      <c r="E227" s="13"/>
      <c r="F227" s="109"/>
      <c r="G227" s="504"/>
      <c r="H227" s="504"/>
      <c r="I227" s="504"/>
      <c r="J227" s="504"/>
      <c r="K227" s="504"/>
      <c r="L227" s="504"/>
      <c r="M227" s="504"/>
      <c r="N227" s="504"/>
      <c r="O227" s="110"/>
      <c r="P227" s="109"/>
      <c r="Q227" s="504"/>
      <c r="R227" s="107"/>
    </row>
    <row r="228" spans="2:18" ht="9.75" customHeight="1">
      <c r="B228" s="503"/>
      <c r="C228" s="13"/>
      <c r="D228" s="13" t="s">
        <v>37</v>
      </c>
      <c r="E228" s="13"/>
      <c r="F228" s="109"/>
      <c r="G228" s="504"/>
      <c r="H228" s="504"/>
      <c r="I228" s="504"/>
      <c r="J228" s="504"/>
      <c r="K228" s="504"/>
      <c r="L228" s="504"/>
      <c r="M228" s="504"/>
      <c r="N228" s="504"/>
      <c r="O228" s="110"/>
      <c r="P228" s="109"/>
      <c r="Q228" s="504"/>
      <c r="R228" s="107"/>
    </row>
    <row r="229" spans="2:18" ht="9.75" customHeight="1">
      <c r="B229" s="503" t="s">
        <v>127</v>
      </c>
      <c r="C229" s="2"/>
      <c r="D229" s="3" t="s">
        <v>38</v>
      </c>
      <c r="E229" s="3">
        <f t="shared" ref="E229:O229" si="40">SUM(E213:E228)</f>
        <v>15</v>
      </c>
      <c r="F229" s="21">
        <f t="shared" si="40"/>
        <v>11</v>
      </c>
      <c r="G229" s="71">
        <f t="shared" si="40"/>
        <v>10</v>
      </c>
      <c r="H229" s="71">
        <f t="shared" si="40"/>
        <v>9</v>
      </c>
      <c r="I229" s="71">
        <f t="shared" si="40"/>
        <v>9</v>
      </c>
      <c r="J229" s="71">
        <f t="shared" si="40"/>
        <v>8</v>
      </c>
      <c r="K229" s="71">
        <f t="shared" si="40"/>
        <v>10</v>
      </c>
      <c r="L229" s="71">
        <f t="shared" si="40"/>
        <v>12</v>
      </c>
      <c r="M229" s="71">
        <f t="shared" si="40"/>
        <v>13</v>
      </c>
      <c r="N229" s="71">
        <f t="shared" si="40"/>
        <v>13</v>
      </c>
      <c r="O229" s="26">
        <f t="shared" si="40"/>
        <v>14</v>
      </c>
      <c r="P229" s="21">
        <f>MIN(F229:O229)</f>
        <v>8</v>
      </c>
      <c r="Q229" s="71">
        <f>E229-P229</f>
        <v>7</v>
      </c>
      <c r="R229" s="7">
        <f>Q229/E229</f>
        <v>0.46666666666666667</v>
      </c>
    </row>
    <row r="230" spans="2:18" ht="9.75" customHeight="1">
      <c r="B230" s="503"/>
      <c r="C230" s="43" t="s">
        <v>143</v>
      </c>
      <c r="D230" s="43" t="s">
        <v>23</v>
      </c>
      <c r="E230" s="43"/>
      <c r="F230" s="116"/>
      <c r="G230" s="128"/>
      <c r="H230" s="128"/>
      <c r="I230" s="128"/>
      <c r="J230" s="128"/>
      <c r="K230" s="128"/>
      <c r="L230" s="128"/>
      <c r="M230" s="393"/>
      <c r="N230" s="128"/>
      <c r="O230" s="129"/>
      <c r="P230" s="116"/>
      <c r="Q230" s="128"/>
      <c r="R230" s="141"/>
    </row>
    <row r="231" spans="2:18" ht="9.75" customHeight="1">
      <c r="B231" s="503"/>
      <c r="C231" s="13"/>
      <c r="D231" s="13" t="s">
        <v>25</v>
      </c>
      <c r="E231" s="13">
        <v>69</v>
      </c>
      <c r="F231" s="109">
        <f>E231-1</f>
        <v>68</v>
      </c>
      <c r="G231" s="504">
        <f>E231-2</f>
        <v>67</v>
      </c>
      <c r="H231" s="504">
        <f>E231-3</f>
        <v>66</v>
      </c>
      <c r="I231" s="504">
        <f>E231-5</f>
        <v>64</v>
      </c>
      <c r="J231" s="504">
        <f>E231-8</f>
        <v>61</v>
      </c>
      <c r="K231" s="11">
        <f>E231-5</f>
        <v>64</v>
      </c>
      <c r="L231" s="396">
        <f>E231-4</f>
        <v>65</v>
      </c>
      <c r="M231" s="203">
        <v>65</v>
      </c>
      <c r="N231" s="396">
        <v>66</v>
      </c>
      <c r="O231" s="136">
        <v>67</v>
      </c>
      <c r="P231" s="109">
        <f t="shared" ref="P231:P233" si="41">MIN(F231:O231)</f>
        <v>61</v>
      </c>
      <c r="Q231" s="504">
        <f t="shared" ref="Q231:Q233" si="42">E231-P231</f>
        <v>8</v>
      </c>
      <c r="R231" s="107">
        <f t="shared" ref="R231:R233" si="43">Q231/E231</f>
        <v>0.11594202898550725</v>
      </c>
    </row>
    <row r="232" spans="2:18" ht="9.75" customHeight="1">
      <c r="B232" s="503"/>
      <c r="C232" s="13"/>
      <c r="D232" s="13" t="s">
        <v>27</v>
      </c>
      <c r="E232" s="13">
        <v>26</v>
      </c>
      <c r="F232" s="109">
        <v>23</v>
      </c>
      <c r="G232" s="504">
        <v>23</v>
      </c>
      <c r="H232" s="504">
        <v>23</v>
      </c>
      <c r="I232" s="504">
        <v>23</v>
      </c>
      <c r="J232" s="504">
        <v>23</v>
      </c>
      <c r="K232" s="11">
        <v>23</v>
      </c>
      <c r="L232" s="11">
        <v>23</v>
      </c>
      <c r="M232" s="396">
        <v>23</v>
      </c>
      <c r="N232" s="11">
        <v>23</v>
      </c>
      <c r="O232" s="136">
        <v>23</v>
      </c>
      <c r="P232" s="109">
        <f t="shared" si="41"/>
        <v>23</v>
      </c>
      <c r="Q232" s="504">
        <f t="shared" si="42"/>
        <v>3</v>
      </c>
      <c r="R232" s="107">
        <f t="shared" si="43"/>
        <v>0.11538461538461539</v>
      </c>
    </row>
    <row r="233" spans="2:18" ht="9.75" customHeight="1">
      <c r="B233" s="503"/>
      <c r="C233" s="13"/>
      <c r="D233" s="13" t="s">
        <v>144</v>
      </c>
      <c r="E233" s="13">
        <v>4</v>
      </c>
      <c r="F233" s="109">
        <v>4</v>
      </c>
      <c r="G233" s="504">
        <v>4</v>
      </c>
      <c r="H233" s="504">
        <v>4</v>
      </c>
      <c r="I233" s="504">
        <v>4</v>
      </c>
      <c r="J233" s="504">
        <v>4</v>
      </c>
      <c r="K233" s="11">
        <v>4</v>
      </c>
      <c r="L233" s="11">
        <v>4</v>
      </c>
      <c r="M233" s="11">
        <v>4</v>
      </c>
      <c r="N233" s="11">
        <v>4</v>
      </c>
      <c r="O233" s="136">
        <v>4</v>
      </c>
      <c r="P233" s="109">
        <f t="shared" si="41"/>
        <v>4</v>
      </c>
      <c r="Q233" s="504">
        <f t="shared" si="42"/>
        <v>0</v>
      </c>
      <c r="R233" s="107">
        <f t="shared" si="43"/>
        <v>0</v>
      </c>
    </row>
    <row r="234" spans="2:18" ht="9.75" customHeight="1">
      <c r="B234" s="503"/>
      <c r="C234" s="30"/>
      <c r="D234" s="13" t="s">
        <v>115</v>
      </c>
      <c r="E234" s="13"/>
      <c r="F234" s="109"/>
      <c r="G234" s="504"/>
      <c r="H234" s="504"/>
      <c r="I234" s="504"/>
      <c r="J234" s="504"/>
      <c r="K234" s="32"/>
      <c r="L234" s="32"/>
      <c r="M234" s="32"/>
      <c r="N234" s="32"/>
      <c r="O234" s="142"/>
      <c r="P234" s="109"/>
      <c r="Q234" s="504"/>
      <c r="R234" s="107"/>
    </row>
    <row r="235" spans="2:18" ht="9.75" customHeight="1">
      <c r="B235" s="503"/>
      <c r="C235" s="30"/>
      <c r="D235" s="13" t="s">
        <v>32</v>
      </c>
      <c r="E235" s="13"/>
      <c r="F235" s="109"/>
      <c r="G235" s="504"/>
      <c r="H235" s="504"/>
      <c r="I235" s="504"/>
      <c r="J235" s="504"/>
      <c r="K235" s="32"/>
      <c r="L235" s="32"/>
      <c r="M235" s="32"/>
      <c r="N235" s="32"/>
      <c r="O235" s="142"/>
      <c r="P235" s="109"/>
      <c r="Q235" s="504"/>
      <c r="R235" s="107"/>
    </row>
    <row r="236" spans="2:18" ht="9.75" customHeight="1">
      <c r="B236" s="503"/>
      <c r="C236" s="30"/>
      <c r="D236" s="13" t="s">
        <v>118</v>
      </c>
      <c r="E236" s="13">
        <v>2</v>
      </c>
      <c r="F236" s="109">
        <v>2</v>
      </c>
      <c r="G236" s="504">
        <v>1</v>
      </c>
      <c r="H236" s="504">
        <v>1</v>
      </c>
      <c r="I236" s="504">
        <v>1</v>
      </c>
      <c r="J236" s="504">
        <v>2</v>
      </c>
      <c r="K236" s="203">
        <v>2</v>
      </c>
      <c r="L236" s="203">
        <v>2</v>
      </c>
      <c r="M236" s="203">
        <v>2</v>
      </c>
      <c r="N236" s="203">
        <v>2</v>
      </c>
      <c r="O236" s="203">
        <v>2</v>
      </c>
      <c r="P236" s="109">
        <f>MIN(F236:O236)</f>
        <v>1</v>
      </c>
      <c r="Q236" s="504">
        <f>E236-P236</f>
        <v>1</v>
      </c>
      <c r="R236" s="107">
        <f>Q236/E236</f>
        <v>0.5</v>
      </c>
    </row>
    <row r="237" spans="2:18" ht="9.75" customHeight="1">
      <c r="B237" s="503"/>
      <c r="C237" s="30"/>
      <c r="D237" s="13" t="s">
        <v>120</v>
      </c>
      <c r="E237" s="13"/>
      <c r="F237" s="109"/>
      <c r="G237" s="504"/>
      <c r="H237" s="504"/>
      <c r="I237" s="504"/>
      <c r="J237" s="504"/>
      <c r="K237" s="32"/>
      <c r="L237" s="32"/>
      <c r="M237" s="32"/>
      <c r="N237" s="32"/>
      <c r="O237" s="142"/>
      <c r="P237" s="109"/>
      <c r="Q237" s="504"/>
      <c r="R237" s="107"/>
    </row>
    <row r="238" spans="2:18" ht="9.75" customHeight="1">
      <c r="B238" s="503"/>
      <c r="C238" s="30"/>
      <c r="D238" s="13" t="s">
        <v>120</v>
      </c>
      <c r="E238" s="13"/>
      <c r="F238" s="109"/>
      <c r="G238" s="504"/>
      <c r="H238" s="504"/>
      <c r="I238" s="504"/>
      <c r="J238" s="504"/>
      <c r="K238" s="32"/>
      <c r="L238" s="32"/>
      <c r="M238" s="32"/>
      <c r="N238" s="32"/>
      <c r="O238" s="142"/>
      <c r="P238" s="109"/>
      <c r="Q238" s="504"/>
      <c r="R238" s="107"/>
    </row>
    <row r="239" spans="2:18" ht="9.75" customHeight="1">
      <c r="B239" s="503"/>
      <c r="C239" s="30"/>
      <c r="D239" s="13" t="s">
        <v>120</v>
      </c>
      <c r="E239" s="13"/>
      <c r="F239" s="109"/>
      <c r="G239" s="504"/>
      <c r="H239" s="504"/>
      <c r="I239" s="504"/>
      <c r="J239" s="504"/>
      <c r="K239" s="32"/>
      <c r="L239" s="32"/>
      <c r="M239" s="32"/>
      <c r="N239" s="32"/>
      <c r="O239" s="142"/>
      <c r="P239" s="109"/>
      <c r="Q239" s="504"/>
      <c r="R239" s="107"/>
    </row>
    <row r="240" spans="2:18" ht="9.75" customHeight="1">
      <c r="B240" s="503"/>
      <c r="C240" s="30"/>
      <c r="D240" s="13" t="s">
        <v>120</v>
      </c>
      <c r="E240" s="13"/>
      <c r="F240" s="109"/>
      <c r="G240" s="504"/>
      <c r="H240" s="504"/>
      <c r="I240" s="504"/>
      <c r="J240" s="504"/>
      <c r="K240" s="32"/>
      <c r="L240" s="32"/>
      <c r="M240" s="32"/>
      <c r="N240" s="32"/>
      <c r="O240" s="142"/>
      <c r="P240" s="109"/>
      <c r="Q240" s="504"/>
      <c r="R240" s="107"/>
    </row>
    <row r="241" spans="2:18" ht="9.75" customHeight="1">
      <c r="B241" s="503"/>
      <c r="C241" s="30"/>
      <c r="D241" s="13" t="s">
        <v>120</v>
      </c>
      <c r="E241" s="13"/>
      <c r="F241" s="109"/>
      <c r="G241" s="504"/>
      <c r="H241" s="504"/>
      <c r="I241" s="504"/>
      <c r="J241" s="504"/>
      <c r="K241" s="32"/>
      <c r="L241" s="32"/>
      <c r="M241" s="32"/>
      <c r="N241" s="32"/>
      <c r="O241" s="142"/>
      <c r="P241" s="109"/>
      <c r="Q241" s="504"/>
      <c r="R241" s="107"/>
    </row>
    <row r="242" spans="2:18" ht="9.75" customHeight="1">
      <c r="B242" s="503"/>
      <c r="C242" s="30"/>
      <c r="D242" s="13" t="s">
        <v>34</v>
      </c>
      <c r="E242" s="13">
        <v>4</v>
      </c>
      <c r="F242" s="109">
        <v>4</v>
      </c>
      <c r="G242" s="504">
        <v>4</v>
      </c>
      <c r="H242" s="504">
        <v>4</v>
      </c>
      <c r="I242" s="504">
        <v>4</v>
      </c>
      <c r="J242" s="504">
        <v>4</v>
      </c>
      <c r="K242" s="11">
        <v>4</v>
      </c>
      <c r="L242" s="11">
        <v>4</v>
      </c>
      <c r="M242" s="11">
        <v>4</v>
      </c>
      <c r="N242" s="11">
        <v>4</v>
      </c>
      <c r="O242" s="136">
        <v>4</v>
      </c>
      <c r="P242" s="109">
        <f>MIN(F242:O242)</f>
        <v>4</v>
      </c>
      <c r="Q242" s="504">
        <f>E242-P242</f>
        <v>0</v>
      </c>
      <c r="R242" s="107">
        <f>Q242/E242</f>
        <v>0</v>
      </c>
    </row>
    <row r="243" spans="2:18" ht="9.75" customHeight="1">
      <c r="B243" s="503"/>
      <c r="C243" s="30"/>
      <c r="D243" s="13" t="s">
        <v>35</v>
      </c>
      <c r="E243" s="13"/>
      <c r="F243" s="109"/>
      <c r="G243" s="504"/>
      <c r="H243" s="504"/>
      <c r="I243" s="504"/>
      <c r="J243" s="504"/>
      <c r="K243" s="504"/>
      <c r="L243" s="504"/>
      <c r="M243" s="504"/>
      <c r="N243" s="504"/>
      <c r="O243" s="110"/>
      <c r="P243" s="109"/>
      <c r="Q243" s="504"/>
      <c r="R243" s="107"/>
    </row>
    <row r="244" spans="2:18" ht="9.75" customHeight="1">
      <c r="B244" s="503"/>
      <c r="C244" s="30"/>
      <c r="D244" s="13" t="s">
        <v>36</v>
      </c>
      <c r="E244" s="13"/>
      <c r="F244" s="109"/>
      <c r="G244" s="504"/>
      <c r="H244" s="504"/>
      <c r="I244" s="504"/>
      <c r="J244" s="504"/>
      <c r="K244" s="504"/>
      <c r="L244" s="504"/>
      <c r="M244" s="504"/>
      <c r="N244" s="504"/>
      <c r="O244" s="110"/>
      <c r="P244" s="109"/>
      <c r="Q244" s="504"/>
      <c r="R244" s="107"/>
    </row>
    <row r="245" spans="2:18" ht="9.75" customHeight="1">
      <c r="B245" s="503"/>
      <c r="C245" s="13"/>
      <c r="D245" s="13" t="s">
        <v>37</v>
      </c>
      <c r="E245" s="13"/>
      <c r="F245" s="109"/>
      <c r="G245" s="504"/>
      <c r="H245" s="504"/>
      <c r="I245" s="504"/>
      <c r="J245" s="504"/>
      <c r="K245" s="504"/>
      <c r="L245" s="504"/>
      <c r="M245" s="504"/>
      <c r="N245" s="504"/>
      <c r="O245" s="110"/>
      <c r="P245" s="109"/>
      <c r="Q245" s="504"/>
      <c r="R245" s="107"/>
    </row>
    <row r="246" spans="2:18" ht="9.75" customHeight="1">
      <c r="B246" s="503" t="s">
        <v>127</v>
      </c>
      <c r="C246" s="2"/>
      <c r="D246" s="3" t="s">
        <v>38</v>
      </c>
      <c r="E246" s="3">
        <f t="shared" ref="E246:O246" si="44">SUM(E230:E245)</f>
        <v>105</v>
      </c>
      <c r="F246" s="21">
        <f t="shared" si="44"/>
        <v>101</v>
      </c>
      <c r="G246" s="71">
        <f t="shared" si="44"/>
        <v>99</v>
      </c>
      <c r="H246" s="71">
        <f t="shared" si="44"/>
        <v>98</v>
      </c>
      <c r="I246" s="71">
        <f t="shared" si="44"/>
        <v>96</v>
      </c>
      <c r="J246" s="71">
        <f t="shared" si="44"/>
        <v>94</v>
      </c>
      <c r="K246" s="71">
        <f t="shared" si="44"/>
        <v>97</v>
      </c>
      <c r="L246" s="71">
        <f t="shared" si="44"/>
        <v>98</v>
      </c>
      <c r="M246" s="71">
        <f>SUM(M231:M245)</f>
        <v>98</v>
      </c>
      <c r="N246" s="71">
        <f t="shared" si="44"/>
        <v>99</v>
      </c>
      <c r="O246" s="26">
        <f t="shared" si="44"/>
        <v>100</v>
      </c>
      <c r="P246" s="21">
        <f>MIN(F246:O246)</f>
        <v>94</v>
      </c>
      <c r="Q246" s="71">
        <f>E246-P246</f>
        <v>11</v>
      </c>
      <c r="R246" s="7">
        <f>Q246/E246</f>
        <v>0.10476190476190476</v>
      </c>
    </row>
    <row r="247" spans="2:18" ht="9.75" customHeight="1">
      <c r="B247" s="503"/>
      <c r="C247" s="43" t="s">
        <v>145</v>
      </c>
      <c r="D247" s="204" t="s">
        <v>23</v>
      </c>
      <c r="E247" s="204"/>
      <c r="F247" s="205"/>
      <c r="G247" s="206"/>
      <c r="H247" s="206"/>
      <c r="I247" s="206"/>
      <c r="J247" s="206"/>
      <c r="K247" s="206"/>
      <c r="L247" s="206"/>
      <c r="M247" s="206"/>
      <c r="N247" s="206"/>
      <c r="O247" s="207"/>
      <c r="P247" s="205"/>
      <c r="Q247" s="206"/>
      <c r="R247" s="208"/>
    </row>
    <row r="248" spans="2:18" ht="9.75" customHeight="1">
      <c r="B248" s="503"/>
      <c r="C248" s="13"/>
      <c r="D248" s="209" t="s">
        <v>25</v>
      </c>
      <c r="E248" s="209"/>
      <c r="F248" s="210"/>
      <c r="G248" s="211"/>
      <c r="H248" s="211"/>
      <c r="I248" s="211"/>
      <c r="J248" s="211"/>
      <c r="K248" s="211"/>
      <c r="L248" s="211"/>
      <c r="M248" s="211"/>
      <c r="N248" s="211"/>
      <c r="O248" s="212"/>
      <c r="P248" s="210"/>
      <c r="Q248" s="211"/>
      <c r="R248" s="213"/>
    </row>
    <row r="249" spans="2:18" ht="9.75" customHeight="1">
      <c r="B249" s="503"/>
      <c r="C249" s="13"/>
      <c r="D249" s="209" t="s">
        <v>27</v>
      </c>
      <c r="E249" s="209"/>
      <c r="F249" s="210"/>
      <c r="G249" s="211"/>
      <c r="H249" s="211"/>
      <c r="I249" s="211"/>
      <c r="J249" s="211"/>
      <c r="K249" s="211"/>
      <c r="L249" s="211"/>
      <c r="M249" s="211"/>
      <c r="N249" s="211"/>
      <c r="O249" s="212"/>
      <c r="P249" s="210"/>
      <c r="Q249" s="211"/>
      <c r="R249" s="213"/>
    </row>
    <row r="250" spans="2:18" ht="9.75" customHeight="1">
      <c r="B250" s="503"/>
      <c r="C250" s="13"/>
      <c r="D250" s="209" t="s">
        <v>115</v>
      </c>
      <c r="E250" s="209"/>
      <c r="F250" s="210"/>
      <c r="G250" s="211"/>
      <c r="H250" s="211"/>
      <c r="I250" s="211"/>
      <c r="J250" s="211"/>
      <c r="K250" s="211"/>
      <c r="L250" s="211"/>
      <c r="M250" s="211"/>
      <c r="N250" s="211"/>
      <c r="O250" s="212"/>
      <c r="P250" s="210"/>
      <c r="Q250" s="211"/>
      <c r="R250" s="213"/>
    </row>
    <row r="251" spans="2:18" ht="9.75" customHeight="1">
      <c r="B251" s="503"/>
      <c r="C251" s="13"/>
      <c r="D251" s="209" t="s">
        <v>115</v>
      </c>
      <c r="E251" s="209"/>
      <c r="F251" s="210"/>
      <c r="G251" s="211"/>
      <c r="H251" s="211"/>
      <c r="I251" s="211"/>
      <c r="J251" s="211"/>
      <c r="K251" s="211"/>
      <c r="L251" s="211"/>
      <c r="M251" s="211"/>
      <c r="N251" s="211"/>
      <c r="O251" s="212"/>
      <c r="P251" s="210"/>
      <c r="Q251" s="211"/>
      <c r="R251" s="213"/>
    </row>
    <row r="252" spans="2:18" ht="9.75" customHeight="1">
      <c r="B252" s="503"/>
      <c r="C252" s="13"/>
      <c r="D252" s="209" t="s">
        <v>32</v>
      </c>
      <c r="E252" s="209"/>
      <c r="F252" s="210"/>
      <c r="G252" s="211"/>
      <c r="H252" s="211"/>
      <c r="I252" s="211"/>
      <c r="J252" s="211"/>
      <c r="K252" s="211"/>
      <c r="L252" s="211"/>
      <c r="M252" s="211"/>
      <c r="N252" s="211"/>
      <c r="O252" s="212"/>
      <c r="P252" s="210"/>
      <c r="Q252" s="211"/>
      <c r="R252" s="213"/>
    </row>
    <row r="253" spans="2:18" ht="9.75" customHeight="1">
      <c r="B253" s="503"/>
      <c r="C253" s="13"/>
      <c r="D253" s="209" t="s">
        <v>120</v>
      </c>
      <c r="E253" s="209"/>
      <c r="F253" s="210"/>
      <c r="G253" s="211"/>
      <c r="H253" s="211"/>
      <c r="I253" s="211"/>
      <c r="J253" s="211"/>
      <c r="K253" s="211"/>
      <c r="L253" s="211"/>
      <c r="M253" s="211"/>
      <c r="N253" s="211"/>
      <c r="O253" s="212"/>
      <c r="P253" s="210"/>
      <c r="Q253" s="211"/>
      <c r="R253" s="213"/>
    </row>
    <row r="254" spans="2:18" ht="9.75" customHeight="1">
      <c r="B254" s="503"/>
      <c r="C254" s="13"/>
      <c r="D254" s="209" t="s">
        <v>120</v>
      </c>
      <c r="E254" s="209"/>
      <c r="F254" s="210"/>
      <c r="G254" s="211"/>
      <c r="H254" s="211"/>
      <c r="I254" s="211"/>
      <c r="J254" s="211"/>
      <c r="K254" s="211"/>
      <c r="L254" s="211"/>
      <c r="M254" s="211"/>
      <c r="N254" s="211"/>
      <c r="O254" s="212"/>
      <c r="P254" s="210"/>
      <c r="Q254" s="211"/>
      <c r="R254" s="213"/>
    </row>
    <row r="255" spans="2:18" ht="9.75" customHeight="1">
      <c r="B255" s="503"/>
      <c r="C255" s="13"/>
      <c r="D255" s="209" t="s">
        <v>120</v>
      </c>
      <c r="E255" s="209"/>
      <c r="F255" s="210"/>
      <c r="G255" s="211"/>
      <c r="H255" s="211"/>
      <c r="I255" s="211"/>
      <c r="J255" s="211"/>
      <c r="K255" s="211"/>
      <c r="L255" s="211"/>
      <c r="M255" s="211"/>
      <c r="N255" s="211"/>
      <c r="O255" s="212"/>
      <c r="P255" s="210"/>
      <c r="Q255" s="211"/>
      <c r="R255" s="213"/>
    </row>
    <row r="256" spans="2:18" ht="9.75" customHeight="1">
      <c r="B256" s="503"/>
      <c r="C256" s="13"/>
      <c r="D256" s="209" t="s">
        <v>120</v>
      </c>
      <c r="E256" s="209"/>
      <c r="F256" s="210"/>
      <c r="G256" s="211"/>
      <c r="H256" s="211"/>
      <c r="I256" s="211"/>
      <c r="J256" s="211"/>
      <c r="K256" s="211"/>
      <c r="L256" s="211"/>
      <c r="M256" s="211"/>
      <c r="N256" s="211"/>
      <c r="O256" s="212"/>
      <c r="P256" s="210"/>
      <c r="Q256" s="211"/>
      <c r="R256" s="213"/>
    </row>
    <row r="257" spans="2:18" ht="9.75" customHeight="1">
      <c r="B257" s="503"/>
      <c r="C257" s="13"/>
      <c r="D257" s="209" t="s">
        <v>120</v>
      </c>
      <c r="E257" s="209"/>
      <c r="F257" s="210"/>
      <c r="G257" s="211"/>
      <c r="H257" s="211"/>
      <c r="I257" s="211"/>
      <c r="J257" s="211"/>
      <c r="K257" s="211"/>
      <c r="L257" s="211"/>
      <c r="M257" s="211"/>
      <c r="N257" s="211"/>
      <c r="O257" s="212"/>
      <c r="P257" s="210"/>
      <c r="Q257" s="211"/>
      <c r="R257" s="213"/>
    </row>
    <row r="258" spans="2:18" ht="9.75" customHeight="1">
      <c r="B258" s="503"/>
      <c r="C258" s="13"/>
      <c r="D258" s="209" t="s">
        <v>120</v>
      </c>
      <c r="E258" s="209"/>
      <c r="F258" s="210"/>
      <c r="G258" s="211"/>
      <c r="H258" s="211"/>
      <c r="I258" s="211"/>
      <c r="J258" s="211"/>
      <c r="K258" s="211"/>
      <c r="L258" s="211"/>
      <c r="M258" s="211"/>
      <c r="N258" s="211"/>
      <c r="O258" s="212"/>
      <c r="P258" s="210"/>
      <c r="Q258" s="211"/>
      <c r="R258" s="213"/>
    </row>
    <row r="259" spans="2:18" ht="9.75" customHeight="1">
      <c r="B259" s="503"/>
      <c r="C259" s="13"/>
      <c r="D259" s="209" t="s">
        <v>34</v>
      </c>
      <c r="E259" s="209"/>
      <c r="F259" s="210"/>
      <c r="G259" s="211"/>
      <c r="H259" s="211"/>
      <c r="I259" s="211"/>
      <c r="J259" s="211"/>
      <c r="K259" s="211"/>
      <c r="L259" s="211"/>
      <c r="M259" s="211"/>
      <c r="N259" s="211"/>
      <c r="O259" s="212"/>
      <c r="P259" s="210"/>
      <c r="Q259" s="211"/>
      <c r="R259" s="213"/>
    </row>
    <row r="260" spans="2:18" ht="9.75" customHeight="1">
      <c r="B260" s="503"/>
      <c r="C260" s="13"/>
      <c r="D260" s="209" t="s">
        <v>35</v>
      </c>
      <c r="E260" s="209"/>
      <c r="F260" s="210"/>
      <c r="G260" s="211"/>
      <c r="H260" s="211"/>
      <c r="I260" s="211"/>
      <c r="J260" s="211"/>
      <c r="K260" s="211"/>
      <c r="L260" s="211"/>
      <c r="M260" s="211"/>
      <c r="N260" s="211"/>
      <c r="O260" s="212"/>
      <c r="P260" s="210"/>
      <c r="Q260" s="211"/>
      <c r="R260" s="213"/>
    </row>
    <row r="261" spans="2:18" ht="9.75" customHeight="1">
      <c r="B261" s="503"/>
      <c r="C261" s="13"/>
      <c r="D261" s="209" t="s">
        <v>36</v>
      </c>
      <c r="E261" s="209"/>
      <c r="F261" s="210"/>
      <c r="G261" s="211"/>
      <c r="H261" s="211"/>
      <c r="I261" s="211"/>
      <c r="J261" s="211"/>
      <c r="K261" s="211"/>
      <c r="L261" s="211"/>
      <c r="M261" s="211"/>
      <c r="N261" s="211"/>
      <c r="O261" s="212"/>
      <c r="P261" s="210"/>
      <c r="Q261" s="211"/>
      <c r="R261" s="213"/>
    </row>
    <row r="262" spans="2:18" ht="9.75" customHeight="1">
      <c r="B262" s="503"/>
      <c r="C262" s="13"/>
      <c r="D262" s="209" t="s">
        <v>37</v>
      </c>
      <c r="E262" s="209">
        <v>1</v>
      </c>
      <c r="F262" s="210">
        <v>0</v>
      </c>
      <c r="G262" s="211">
        <v>0</v>
      </c>
      <c r="H262" s="211">
        <v>0</v>
      </c>
      <c r="I262" s="211">
        <v>0</v>
      </c>
      <c r="J262" s="211">
        <v>0</v>
      </c>
      <c r="K262" s="214">
        <v>0</v>
      </c>
      <c r="L262" s="214">
        <v>0</v>
      </c>
      <c r="M262" s="214">
        <v>0</v>
      </c>
      <c r="N262" s="214">
        <v>0</v>
      </c>
      <c r="O262" s="215">
        <v>0</v>
      </c>
      <c r="P262" s="109">
        <f>MIN(F262:O262)</f>
        <v>0</v>
      </c>
      <c r="Q262" s="504">
        <f>E262-P262</f>
        <v>1</v>
      </c>
      <c r="R262" s="107">
        <f>Q262/E262</f>
        <v>1</v>
      </c>
    </row>
    <row r="263" spans="2:18" ht="9.75" customHeight="1">
      <c r="B263" s="503" t="s">
        <v>127</v>
      </c>
      <c r="C263" s="2"/>
      <c r="D263" s="3" t="s">
        <v>38</v>
      </c>
      <c r="E263" s="3">
        <f t="shared" ref="E263:O263" si="45">SUM(E247:E262)</f>
        <v>1</v>
      </c>
      <c r="F263" s="21">
        <f t="shared" si="45"/>
        <v>0</v>
      </c>
      <c r="G263" s="71">
        <f t="shared" si="45"/>
        <v>0</v>
      </c>
      <c r="H263" s="71">
        <f t="shared" si="45"/>
        <v>0</v>
      </c>
      <c r="I263" s="71">
        <f t="shared" si="45"/>
        <v>0</v>
      </c>
      <c r="J263" s="71">
        <f t="shared" si="45"/>
        <v>0</v>
      </c>
      <c r="K263" s="71">
        <f t="shared" si="45"/>
        <v>0</v>
      </c>
      <c r="L263" s="71">
        <f t="shared" si="45"/>
        <v>0</v>
      </c>
      <c r="M263" s="71">
        <f t="shared" si="45"/>
        <v>0</v>
      </c>
      <c r="N263" s="71">
        <f t="shared" si="45"/>
        <v>0</v>
      </c>
      <c r="O263" s="26">
        <f t="shared" si="45"/>
        <v>0</v>
      </c>
      <c r="P263" s="21">
        <f>MIN(F263:O263)</f>
        <v>0</v>
      </c>
      <c r="Q263" s="71">
        <f>E263-P263</f>
        <v>1</v>
      </c>
      <c r="R263" s="7">
        <f>Q263/E263</f>
        <v>1</v>
      </c>
    </row>
    <row r="264" spans="2:18" ht="9.75" customHeight="1">
      <c r="B264" s="503"/>
      <c r="C264" s="43" t="s">
        <v>146</v>
      </c>
      <c r="D264" s="43" t="s">
        <v>23</v>
      </c>
      <c r="E264" s="13"/>
      <c r="F264" s="109"/>
      <c r="G264" s="504"/>
      <c r="H264" s="504"/>
      <c r="I264" s="504"/>
      <c r="J264" s="504"/>
      <c r="K264" s="504"/>
      <c r="L264" s="504"/>
      <c r="M264" s="504"/>
      <c r="N264" s="504"/>
      <c r="O264" s="110"/>
      <c r="P264" s="109"/>
      <c r="Q264" s="504"/>
      <c r="R264" s="107"/>
    </row>
    <row r="265" spans="2:18" ht="9.75" customHeight="1">
      <c r="B265" s="503"/>
      <c r="C265" s="13"/>
      <c r="D265" s="13" t="s">
        <v>25</v>
      </c>
      <c r="E265" s="13"/>
      <c r="F265" s="109"/>
      <c r="G265" s="504"/>
      <c r="H265" s="504"/>
      <c r="I265" s="504"/>
      <c r="J265" s="504"/>
      <c r="K265" s="504"/>
      <c r="L265" s="504"/>
      <c r="M265" s="504"/>
      <c r="N265" s="504"/>
      <c r="O265" s="110"/>
      <c r="P265" s="109"/>
      <c r="Q265" s="504"/>
      <c r="R265" s="107"/>
    </row>
    <row r="266" spans="2:18" ht="9.75" customHeight="1">
      <c r="B266" s="503"/>
      <c r="C266" s="13"/>
      <c r="D266" s="13" t="s">
        <v>27</v>
      </c>
      <c r="E266" s="13"/>
      <c r="F266" s="109"/>
      <c r="G266" s="504"/>
      <c r="H266" s="504"/>
      <c r="I266" s="504"/>
      <c r="J266" s="504"/>
      <c r="K266" s="11"/>
      <c r="L266" s="11"/>
      <c r="M266" s="11"/>
      <c r="N266" s="11"/>
      <c r="O266" s="136"/>
      <c r="P266" s="109"/>
      <c r="Q266" s="504"/>
      <c r="R266" s="107"/>
    </row>
    <row r="267" spans="2:18" ht="9.75" customHeight="1">
      <c r="B267" s="503"/>
      <c r="C267" s="13"/>
      <c r="D267" s="13" t="s">
        <v>115</v>
      </c>
      <c r="E267" s="13"/>
      <c r="F267" s="109"/>
      <c r="G267" s="504"/>
      <c r="H267" s="504"/>
      <c r="I267" s="504"/>
      <c r="J267" s="504"/>
      <c r="K267" s="32"/>
      <c r="L267" s="32"/>
      <c r="M267" s="32"/>
      <c r="N267" s="32"/>
      <c r="O267" s="142"/>
      <c r="P267" s="109"/>
      <c r="Q267" s="504"/>
      <c r="R267" s="107"/>
    </row>
    <row r="268" spans="2:18" ht="9.75" customHeight="1">
      <c r="B268" s="503"/>
      <c r="C268" s="13"/>
      <c r="D268" s="13" t="s">
        <v>115</v>
      </c>
      <c r="E268" s="13"/>
      <c r="F268" s="109"/>
      <c r="G268" s="504"/>
      <c r="H268" s="504"/>
      <c r="I268" s="504"/>
      <c r="J268" s="504"/>
      <c r="K268" s="32"/>
      <c r="L268" s="32"/>
      <c r="M268" s="32"/>
      <c r="N268" s="32"/>
      <c r="O268" s="142"/>
      <c r="P268" s="109"/>
      <c r="Q268" s="504"/>
      <c r="R268" s="107"/>
    </row>
    <row r="269" spans="2:18" ht="9.75" customHeight="1">
      <c r="B269" s="503"/>
      <c r="C269" s="13"/>
      <c r="D269" s="13" t="s">
        <v>32</v>
      </c>
      <c r="E269" s="13"/>
      <c r="F269" s="109"/>
      <c r="G269" s="504"/>
      <c r="H269" s="504"/>
      <c r="I269" s="504"/>
      <c r="J269" s="504"/>
      <c r="K269" s="32"/>
      <c r="L269" s="32"/>
      <c r="M269" s="32"/>
      <c r="N269" s="32"/>
      <c r="O269" s="142"/>
      <c r="P269" s="109"/>
      <c r="Q269" s="504"/>
      <c r="R269" s="107"/>
    </row>
    <row r="270" spans="2:18" ht="9.75" customHeight="1">
      <c r="B270" s="503"/>
      <c r="C270" s="13"/>
      <c r="D270" s="13" t="s">
        <v>147</v>
      </c>
      <c r="E270" s="13">
        <v>60</v>
      </c>
      <c r="F270" s="109">
        <f>E270-5</f>
        <v>55</v>
      </c>
      <c r="G270" s="504">
        <f>E270-11</f>
        <v>49</v>
      </c>
      <c r="H270" s="504">
        <f>E270-15</f>
        <v>45</v>
      </c>
      <c r="I270" s="504">
        <f>E270-27</f>
        <v>33</v>
      </c>
      <c r="J270" s="504">
        <v>30</v>
      </c>
      <c r="K270" s="11">
        <f>E270-25</f>
        <v>35</v>
      </c>
      <c r="L270" s="11">
        <f>E270-20</f>
        <v>40</v>
      </c>
      <c r="M270" s="11">
        <f>E270-14</f>
        <v>46</v>
      </c>
      <c r="N270" s="11">
        <v>50</v>
      </c>
      <c r="O270" s="136">
        <f>E270-7</f>
        <v>53</v>
      </c>
      <c r="P270" s="109">
        <f>MIN(F270:O270)</f>
        <v>30</v>
      </c>
      <c r="Q270" s="504">
        <f>E270-P270</f>
        <v>30</v>
      </c>
      <c r="R270" s="107">
        <f>Q270/E270</f>
        <v>0.5</v>
      </c>
    </row>
    <row r="271" spans="2:18" ht="9.75" customHeight="1">
      <c r="B271" s="503"/>
      <c r="C271" s="13"/>
      <c r="D271" s="13" t="s">
        <v>120</v>
      </c>
      <c r="E271" s="13"/>
      <c r="F271" s="109"/>
      <c r="G271" s="504"/>
      <c r="H271" s="504"/>
      <c r="I271" s="504"/>
      <c r="J271" s="504"/>
      <c r="K271" s="32"/>
      <c r="L271" s="32"/>
      <c r="M271" s="32"/>
      <c r="N271" s="32"/>
      <c r="O271" s="142"/>
      <c r="P271" s="109"/>
      <c r="Q271" s="504"/>
      <c r="R271" s="107"/>
    </row>
    <row r="272" spans="2:18" ht="9.75" customHeight="1">
      <c r="B272" s="503"/>
      <c r="C272" s="13"/>
      <c r="D272" s="13" t="s">
        <v>120</v>
      </c>
      <c r="E272" s="13"/>
      <c r="F272" s="109"/>
      <c r="G272" s="504"/>
      <c r="H272" s="504"/>
      <c r="I272" s="504"/>
      <c r="J272" s="504"/>
      <c r="K272" s="32"/>
      <c r="L272" s="32"/>
      <c r="M272" s="32"/>
      <c r="N272" s="32"/>
      <c r="O272" s="142"/>
      <c r="P272" s="109"/>
      <c r="Q272" s="504"/>
      <c r="R272" s="107"/>
    </row>
    <row r="273" spans="2:18" ht="9.75" customHeight="1">
      <c r="B273" s="503"/>
      <c r="C273" s="13"/>
      <c r="D273" s="13" t="s">
        <v>120</v>
      </c>
      <c r="E273" s="13"/>
      <c r="F273" s="109"/>
      <c r="G273" s="504"/>
      <c r="H273" s="504"/>
      <c r="I273" s="504"/>
      <c r="J273" s="504"/>
      <c r="K273" s="32"/>
      <c r="L273" s="32"/>
      <c r="M273" s="32"/>
      <c r="N273" s="32"/>
      <c r="O273" s="142"/>
      <c r="P273" s="109"/>
      <c r="Q273" s="504"/>
      <c r="R273" s="107"/>
    </row>
    <row r="274" spans="2:18" ht="9.75" customHeight="1">
      <c r="B274" s="503"/>
      <c r="C274" s="13"/>
      <c r="D274" s="13" t="s">
        <v>120</v>
      </c>
      <c r="E274" s="13"/>
      <c r="F274" s="109"/>
      <c r="G274" s="504"/>
      <c r="H274" s="504"/>
      <c r="I274" s="504"/>
      <c r="J274" s="504"/>
      <c r="K274" s="32"/>
      <c r="L274" s="32"/>
      <c r="M274" s="32"/>
      <c r="N274" s="32"/>
      <c r="O274" s="142"/>
      <c r="P274" s="109"/>
      <c r="Q274" s="504"/>
      <c r="R274" s="107"/>
    </row>
    <row r="275" spans="2:18" ht="9.75" customHeight="1">
      <c r="B275" s="503"/>
      <c r="C275" s="13"/>
      <c r="D275" s="13" t="s">
        <v>120</v>
      </c>
      <c r="E275" s="13"/>
      <c r="F275" s="109"/>
      <c r="G275" s="504"/>
      <c r="H275" s="504"/>
      <c r="I275" s="504"/>
      <c r="J275" s="504"/>
      <c r="K275" s="32"/>
      <c r="L275" s="32"/>
      <c r="M275" s="32"/>
      <c r="N275" s="32"/>
      <c r="O275" s="142"/>
      <c r="P275" s="109"/>
      <c r="Q275" s="504"/>
      <c r="R275" s="107"/>
    </row>
    <row r="276" spans="2:18" ht="9.75" customHeight="1">
      <c r="B276" s="503"/>
      <c r="C276" s="13"/>
      <c r="D276" s="13" t="s">
        <v>34</v>
      </c>
      <c r="E276" s="13">
        <v>2</v>
      </c>
      <c r="F276" s="109">
        <v>2</v>
      </c>
      <c r="G276" s="504">
        <v>2</v>
      </c>
      <c r="H276" s="504">
        <v>2</v>
      </c>
      <c r="I276" s="504">
        <v>2</v>
      </c>
      <c r="J276" s="504">
        <v>2</v>
      </c>
      <c r="K276" s="11">
        <v>2</v>
      </c>
      <c r="L276" s="11">
        <v>2</v>
      </c>
      <c r="M276" s="11">
        <v>2</v>
      </c>
      <c r="N276" s="11">
        <v>2</v>
      </c>
      <c r="O276" s="136">
        <v>2</v>
      </c>
      <c r="P276" s="109">
        <f>MIN(F276:O276)</f>
        <v>2</v>
      </c>
      <c r="Q276" s="504">
        <f>E276-P276</f>
        <v>0</v>
      </c>
      <c r="R276" s="107">
        <f>Q276/E276</f>
        <v>0</v>
      </c>
    </row>
    <row r="277" spans="2:18" ht="9.75" customHeight="1">
      <c r="B277" s="503"/>
      <c r="C277" s="30"/>
      <c r="D277" s="13" t="s">
        <v>35</v>
      </c>
      <c r="E277" s="13"/>
      <c r="F277" s="109"/>
      <c r="G277" s="504"/>
      <c r="H277" s="504"/>
      <c r="I277" s="504"/>
      <c r="J277" s="504"/>
      <c r="K277" s="504"/>
      <c r="L277" s="504"/>
      <c r="M277" s="504"/>
      <c r="N277" s="504"/>
      <c r="O277" s="110"/>
      <c r="P277" s="109"/>
      <c r="Q277" s="504"/>
      <c r="R277" s="107"/>
    </row>
    <row r="278" spans="2:18" ht="9.75" customHeight="1">
      <c r="B278" s="503"/>
      <c r="C278" s="30"/>
      <c r="D278" s="13" t="s">
        <v>36</v>
      </c>
      <c r="E278" s="13"/>
      <c r="F278" s="109"/>
      <c r="G278" s="504"/>
      <c r="H278" s="504"/>
      <c r="I278" s="504"/>
      <c r="J278" s="504"/>
      <c r="K278" s="504"/>
      <c r="L278" s="504"/>
      <c r="M278" s="504"/>
      <c r="N278" s="504"/>
      <c r="O278" s="110"/>
      <c r="P278" s="109"/>
      <c r="Q278" s="504"/>
      <c r="R278" s="107"/>
    </row>
    <row r="279" spans="2:18" ht="9.75" customHeight="1">
      <c r="B279" s="503"/>
      <c r="C279" s="30"/>
      <c r="D279" s="13" t="s">
        <v>37</v>
      </c>
      <c r="E279" s="13"/>
      <c r="F279" s="109"/>
      <c r="G279" s="504"/>
      <c r="H279" s="504"/>
      <c r="I279" s="504"/>
      <c r="J279" s="504"/>
      <c r="K279" s="504"/>
      <c r="L279" s="504"/>
      <c r="M279" s="504"/>
      <c r="N279" s="504"/>
      <c r="O279" s="110"/>
      <c r="P279" s="109"/>
      <c r="Q279" s="504"/>
      <c r="R279" s="107"/>
    </row>
    <row r="280" spans="2:18" ht="9.75" customHeight="1">
      <c r="B280" s="503" t="s">
        <v>127</v>
      </c>
      <c r="C280" s="31"/>
      <c r="D280" s="3" t="s">
        <v>38</v>
      </c>
      <c r="E280" s="3">
        <f t="shared" ref="E280:O280" si="46">SUM(E264:E279)</f>
        <v>62</v>
      </c>
      <c r="F280" s="21">
        <f t="shared" si="46"/>
        <v>57</v>
      </c>
      <c r="G280" s="71">
        <f t="shared" si="46"/>
        <v>51</v>
      </c>
      <c r="H280" s="71">
        <f t="shared" si="46"/>
        <v>47</v>
      </c>
      <c r="I280" s="71">
        <f t="shared" si="46"/>
        <v>35</v>
      </c>
      <c r="J280" s="71">
        <f t="shared" si="46"/>
        <v>32</v>
      </c>
      <c r="K280" s="71">
        <f t="shared" si="46"/>
        <v>37</v>
      </c>
      <c r="L280" s="71">
        <f t="shared" si="46"/>
        <v>42</v>
      </c>
      <c r="M280" s="71">
        <f t="shared" si="46"/>
        <v>48</v>
      </c>
      <c r="N280" s="71">
        <f t="shared" si="46"/>
        <v>52</v>
      </c>
      <c r="O280" s="26">
        <f t="shared" si="46"/>
        <v>55</v>
      </c>
      <c r="P280" s="21">
        <f>MIN(F280:O280)</f>
        <v>32</v>
      </c>
      <c r="Q280" s="71">
        <f>E280-P280</f>
        <v>30</v>
      </c>
      <c r="R280" s="7">
        <f>Q280/E280</f>
        <v>0.4838709677419355</v>
      </c>
    </row>
    <row r="281" spans="2:18" ht="9.75" customHeight="1">
      <c r="B281" s="503"/>
      <c r="C281" s="397" t="s">
        <v>148</v>
      </c>
      <c r="D281" s="397" t="s">
        <v>23</v>
      </c>
      <c r="E281" s="397"/>
      <c r="F281" s="398"/>
      <c r="G281" s="399"/>
      <c r="H281" s="399"/>
      <c r="I281" s="399"/>
      <c r="J281" s="399"/>
      <c r="K281" s="399"/>
      <c r="L281" s="399"/>
      <c r="M281" s="399"/>
      <c r="N281" s="399"/>
      <c r="O281" s="400"/>
      <c r="P281" s="398"/>
      <c r="Q281" s="399"/>
      <c r="R281" s="401"/>
    </row>
    <row r="282" spans="2:18" ht="9.75" customHeight="1">
      <c r="B282" s="503"/>
      <c r="C282" s="402"/>
      <c r="D282" s="402" t="s">
        <v>25</v>
      </c>
      <c r="E282" s="402"/>
      <c r="F282" s="403"/>
      <c r="G282" s="404"/>
      <c r="H282" s="404"/>
      <c r="I282" s="404"/>
      <c r="J282" s="404"/>
      <c r="K282" s="404"/>
      <c r="L282" s="404"/>
      <c r="M282" s="404"/>
      <c r="N282" s="404"/>
      <c r="O282" s="405"/>
      <c r="P282" s="403"/>
      <c r="Q282" s="404"/>
      <c r="R282" s="406"/>
    </row>
    <row r="283" spans="2:18" ht="9.75" customHeight="1">
      <c r="B283" s="503"/>
      <c r="C283" s="402"/>
      <c r="D283" s="402" t="s">
        <v>27</v>
      </c>
      <c r="E283" s="402"/>
      <c r="F283" s="403"/>
      <c r="G283" s="404"/>
      <c r="H283" s="404"/>
      <c r="I283" s="404"/>
      <c r="J283" s="404"/>
      <c r="K283" s="404"/>
      <c r="L283" s="404"/>
      <c r="M283" s="404"/>
      <c r="N283" s="404"/>
      <c r="O283" s="405"/>
      <c r="P283" s="403"/>
      <c r="Q283" s="404"/>
      <c r="R283" s="406"/>
    </row>
    <row r="284" spans="2:18" ht="9.75" customHeight="1">
      <c r="B284" s="503"/>
      <c r="C284" s="402"/>
      <c r="D284" s="402" t="s">
        <v>115</v>
      </c>
      <c r="E284" s="402"/>
      <c r="F284" s="403"/>
      <c r="G284" s="404"/>
      <c r="H284" s="404"/>
      <c r="I284" s="404"/>
      <c r="J284" s="404"/>
      <c r="K284" s="404"/>
      <c r="L284" s="404"/>
      <c r="M284" s="404"/>
      <c r="N284" s="404"/>
      <c r="O284" s="405"/>
      <c r="P284" s="403"/>
      <c r="Q284" s="404"/>
      <c r="R284" s="406"/>
    </row>
    <row r="285" spans="2:18" ht="9.75" customHeight="1">
      <c r="B285" s="503"/>
      <c r="C285" s="402"/>
      <c r="D285" s="402" t="s">
        <v>115</v>
      </c>
      <c r="E285" s="402"/>
      <c r="F285" s="403"/>
      <c r="G285" s="404"/>
      <c r="H285" s="404"/>
      <c r="I285" s="404"/>
      <c r="J285" s="404"/>
      <c r="K285" s="404"/>
      <c r="L285" s="404"/>
      <c r="M285" s="404"/>
      <c r="N285" s="404"/>
      <c r="O285" s="405"/>
      <c r="P285" s="403"/>
      <c r="Q285" s="404"/>
      <c r="R285" s="406"/>
    </row>
    <row r="286" spans="2:18" ht="9.75" customHeight="1">
      <c r="B286" s="503"/>
      <c r="C286" s="402"/>
      <c r="D286" s="402" t="s">
        <v>32</v>
      </c>
      <c r="E286" s="402"/>
      <c r="F286" s="403"/>
      <c r="G286" s="404"/>
      <c r="H286" s="404"/>
      <c r="I286" s="404"/>
      <c r="J286" s="404"/>
      <c r="K286" s="404"/>
      <c r="L286" s="404"/>
      <c r="M286" s="404"/>
      <c r="N286" s="404"/>
      <c r="O286" s="405"/>
      <c r="P286" s="403"/>
      <c r="Q286" s="404"/>
      <c r="R286" s="406"/>
    </row>
    <row r="287" spans="2:18" ht="9.75" customHeight="1">
      <c r="B287" s="503"/>
      <c r="C287" s="402"/>
      <c r="D287" s="402" t="s">
        <v>149</v>
      </c>
      <c r="E287" s="402">
        <v>258</v>
      </c>
      <c r="F287" s="403">
        <f>E287-17</f>
        <v>241</v>
      </c>
      <c r="G287" s="404">
        <f>E287-30</f>
        <v>228</v>
      </c>
      <c r="H287" s="404">
        <f>E287-77</f>
        <v>181</v>
      </c>
      <c r="I287" s="412">
        <f>E287-I28914</f>
        <v>258</v>
      </c>
      <c r="J287" s="404">
        <f>E287-104</f>
        <v>154</v>
      </c>
      <c r="K287" s="407">
        <v>158</v>
      </c>
      <c r="L287" s="407">
        <f>E287-95</f>
        <v>163</v>
      </c>
      <c r="M287" s="407">
        <f>E287-90</f>
        <v>168</v>
      </c>
      <c r="N287" s="407">
        <f>E287-50</f>
        <v>208</v>
      </c>
      <c r="O287" s="408">
        <f>E287-35</f>
        <v>223</v>
      </c>
      <c r="P287" s="403">
        <f>MIN(F287:O287)</f>
        <v>154</v>
      </c>
      <c r="Q287" s="404">
        <f>E287-P287</f>
        <v>104</v>
      </c>
      <c r="R287" s="406">
        <f>Q287/E287</f>
        <v>0.40310077519379844</v>
      </c>
    </row>
    <row r="288" spans="2:18" ht="9.75" customHeight="1">
      <c r="B288" s="503"/>
      <c r="C288" s="402"/>
      <c r="D288" s="402" t="s">
        <v>118</v>
      </c>
      <c r="E288" s="402">
        <v>2</v>
      </c>
      <c r="F288" s="403">
        <v>2</v>
      </c>
      <c r="G288" s="404">
        <v>2</v>
      </c>
      <c r="H288" s="404">
        <v>2</v>
      </c>
      <c r="I288" s="404">
        <v>2</v>
      </c>
      <c r="J288" s="404">
        <v>2</v>
      </c>
      <c r="K288" s="407">
        <v>2</v>
      </c>
      <c r="L288" s="407">
        <v>2</v>
      </c>
      <c r="M288" s="407">
        <v>2</v>
      </c>
      <c r="N288" s="407">
        <v>2</v>
      </c>
      <c r="O288" s="408">
        <v>2</v>
      </c>
      <c r="P288" s="403">
        <f>MIN(F288:O288)</f>
        <v>2</v>
      </c>
      <c r="Q288" s="404">
        <f>E288-P288</f>
        <v>0</v>
      </c>
      <c r="R288" s="406">
        <f>Q288/E288</f>
        <v>0</v>
      </c>
    </row>
    <row r="289" spans="3:18" ht="9.75" customHeight="1">
      <c r="C289" s="402"/>
      <c r="D289" s="402" t="s">
        <v>120</v>
      </c>
      <c r="E289" s="402"/>
      <c r="F289" s="403"/>
      <c r="G289" s="404"/>
      <c r="H289" s="404"/>
      <c r="I289" s="404"/>
      <c r="J289" s="404"/>
      <c r="K289" s="409"/>
      <c r="L289" s="409"/>
      <c r="M289" s="409"/>
      <c r="N289" s="409"/>
      <c r="O289" s="410"/>
      <c r="P289" s="403"/>
      <c r="Q289" s="404"/>
      <c r="R289" s="406"/>
    </row>
    <row r="290" spans="3:18" ht="9.75" customHeight="1">
      <c r="C290" s="402"/>
      <c r="D290" s="402" t="s">
        <v>120</v>
      </c>
      <c r="E290" s="402"/>
      <c r="F290" s="403"/>
      <c r="G290" s="404"/>
      <c r="H290" s="404"/>
      <c r="I290" s="404"/>
      <c r="J290" s="404"/>
      <c r="K290" s="409"/>
      <c r="L290" s="409"/>
      <c r="M290" s="409"/>
      <c r="N290" s="409"/>
      <c r="O290" s="410"/>
      <c r="P290" s="403"/>
      <c r="Q290" s="404"/>
      <c r="R290" s="406"/>
    </row>
    <row r="291" spans="3:18" ht="9.75" customHeight="1">
      <c r="C291" s="402"/>
      <c r="D291" s="402" t="s">
        <v>120</v>
      </c>
      <c r="E291" s="402"/>
      <c r="F291" s="403"/>
      <c r="G291" s="404"/>
      <c r="H291" s="404"/>
      <c r="I291" s="404"/>
      <c r="J291" s="404"/>
      <c r="K291" s="409"/>
      <c r="L291" s="409"/>
      <c r="M291" s="409"/>
      <c r="N291" s="409"/>
      <c r="O291" s="410"/>
      <c r="P291" s="403"/>
      <c r="Q291" s="404"/>
      <c r="R291" s="406"/>
    </row>
    <row r="292" spans="3:18" ht="9.75" customHeight="1">
      <c r="C292" s="402"/>
      <c r="D292" s="402" t="s">
        <v>120</v>
      </c>
      <c r="E292" s="402"/>
      <c r="F292" s="403"/>
      <c r="G292" s="404"/>
      <c r="H292" s="404"/>
      <c r="I292" s="404"/>
      <c r="J292" s="404"/>
      <c r="K292" s="409"/>
      <c r="L292" s="409"/>
      <c r="M292" s="409"/>
      <c r="N292" s="409"/>
      <c r="O292" s="410"/>
      <c r="P292" s="403"/>
      <c r="Q292" s="404"/>
      <c r="R292" s="406"/>
    </row>
    <row r="293" spans="3:18" ht="9.75" customHeight="1">
      <c r="C293" s="402"/>
      <c r="D293" s="402" t="s">
        <v>34</v>
      </c>
      <c r="E293" s="402">
        <v>9</v>
      </c>
      <c r="F293" s="403">
        <v>5</v>
      </c>
      <c r="G293" s="404">
        <v>3</v>
      </c>
      <c r="H293" s="404">
        <v>2</v>
      </c>
      <c r="I293" s="404">
        <v>1</v>
      </c>
      <c r="J293" s="404">
        <v>0</v>
      </c>
      <c r="K293" s="407">
        <v>0</v>
      </c>
      <c r="L293" s="407">
        <v>3</v>
      </c>
      <c r="M293" s="407">
        <v>4</v>
      </c>
      <c r="N293" s="407">
        <v>5</v>
      </c>
      <c r="O293" s="408">
        <v>5</v>
      </c>
      <c r="P293" s="403">
        <f>MIN(F293:O293)</f>
        <v>0</v>
      </c>
      <c r="Q293" s="404">
        <f>E293-P293</f>
        <v>9</v>
      </c>
      <c r="R293" s="406">
        <f>Q293/E293</f>
        <v>1</v>
      </c>
    </row>
    <row r="294" spans="3:18" ht="9.75" customHeight="1">
      <c r="C294" s="402"/>
      <c r="D294" s="402" t="s">
        <v>35</v>
      </c>
      <c r="E294" s="402"/>
      <c r="F294" s="403"/>
      <c r="G294" s="404"/>
      <c r="H294" s="404"/>
      <c r="I294" s="404"/>
      <c r="J294" s="404"/>
      <c r="K294" s="404"/>
      <c r="L294" s="404"/>
      <c r="M294" s="404"/>
      <c r="N294" s="404"/>
      <c r="O294" s="405"/>
      <c r="P294" s="403"/>
      <c r="Q294" s="404"/>
      <c r="R294" s="406"/>
    </row>
    <row r="295" spans="3:18" ht="9.75" customHeight="1">
      <c r="C295" s="402"/>
      <c r="D295" s="402" t="s">
        <v>36</v>
      </c>
      <c r="E295" s="402"/>
      <c r="F295" s="403"/>
      <c r="G295" s="404"/>
      <c r="H295" s="404"/>
      <c r="I295" s="404"/>
      <c r="J295" s="404"/>
      <c r="K295" s="404"/>
      <c r="L295" s="404"/>
      <c r="M295" s="404"/>
      <c r="N295" s="404"/>
      <c r="O295" s="405"/>
      <c r="P295" s="403"/>
      <c r="Q295" s="404"/>
      <c r="R295" s="406"/>
    </row>
    <row r="296" spans="3:18" ht="9.75" customHeight="1">
      <c r="C296" s="402"/>
      <c r="D296" s="402" t="s">
        <v>37</v>
      </c>
      <c r="E296" s="402"/>
      <c r="F296" s="403"/>
      <c r="G296" s="413"/>
      <c r="H296" s="413"/>
      <c r="I296" s="413"/>
      <c r="J296" s="413"/>
      <c r="K296" s="413"/>
      <c r="L296" s="413"/>
      <c r="M296" s="413"/>
      <c r="N296" s="413"/>
      <c r="O296" s="405"/>
      <c r="P296" s="403"/>
      <c r="Q296" s="404"/>
      <c r="R296" s="406"/>
    </row>
    <row r="297" spans="3:18" ht="9.75" customHeight="1">
      <c r="C297" s="411"/>
      <c r="D297" s="414" t="s">
        <v>38</v>
      </c>
      <c r="E297" s="415">
        <f t="shared" ref="E297" si="47">SUM(E281:E296)</f>
        <v>269</v>
      </c>
      <c r="F297" s="415">
        <f t="shared" ref="F297:O297" si="48">SUM(F287:F293)</f>
        <v>248</v>
      </c>
      <c r="G297" s="416">
        <f t="shared" si="48"/>
        <v>233</v>
      </c>
      <c r="H297" s="416">
        <f t="shared" si="48"/>
        <v>185</v>
      </c>
      <c r="I297" s="416">
        <f t="shared" si="48"/>
        <v>261</v>
      </c>
      <c r="J297" s="416">
        <f t="shared" si="48"/>
        <v>156</v>
      </c>
      <c r="K297" s="416">
        <f t="shared" si="48"/>
        <v>160</v>
      </c>
      <c r="L297" s="416">
        <f t="shared" si="48"/>
        <v>168</v>
      </c>
      <c r="M297" s="416">
        <f t="shared" si="48"/>
        <v>174</v>
      </c>
      <c r="N297" s="416">
        <f t="shared" si="48"/>
        <v>215</v>
      </c>
      <c r="O297" s="417">
        <f t="shared" si="48"/>
        <v>230</v>
      </c>
      <c r="P297" s="21">
        <f>MIN(F297:O297)</f>
        <v>156</v>
      </c>
      <c r="Q297" s="71">
        <f>E297-P297</f>
        <v>113</v>
      </c>
      <c r="R297" s="7">
        <f>Q297/E297</f>
        <v>0.4200743494423792</v>
      </c>
    </row>
    <row r="298" spans="3:18" ht="9.75" customHeight="1">
      <c r="C298" s="43" t="s">
        <v>150</v>
      </c>
      <c r="D298" s="43" t="s">
        <v>23</v>
      </c>
      <c r="E298" s="43"/>
      <c r="F298" s="109"/>
      <c r="G298" s="203"/>
      <c r="H298" s="203"/>
      <c r="I298" s="203"/>
      <c r="J298" s="203"/>
      <c r="K298" s="203"/>
      <c r="L298" s="203"/>
      <c r="M298" s="203"/>
      <c r="N298" s="203"/>
      <c r="O298" s="110"/>
      <c r="P298" s="116"/>
      <c r="Q298" s="128"/>
      <c r="R298" s="141"/>
    </row>
    <row r="299" spans="3:18" ht="9.75" customHeight="1">
      <c r="C299" s="13"/>
      <c r="D299" s="13" t="s">
        <v>25</v>
      </c>
      <c r="E299" s="13"/>
      <c r="F299" s="109"/>
      <c r="G299" s="504"/>
      <c r="H299" s="504"/>
      <c r="I299" s="504"/>
      <c r="J299" s="504"/>
      <c r="K299" s="504"/>
      <c r="L299" s="504"/>
      <c r="M299" s="504"/>
      <c r="N299" s="504"/>
      <c r="O299" s="110"/>
      <c r="P299" s="109"/>
      <c r="Q299" s="504"/>
      <c r="R299" s="107"/>
    </row>
    <row r="300" spans="3:18" ht="9.75" customHeight="1">
      <c r="C300" s="13"/>
      <c r="D300" s="13" t="s">
        <v>27</v>
      </c>
      <c r="E300" s="13"/>
      <c r="F300" s="109"/>
      <c r="G300" s="504"/>
      <c r="H300" s="504"/>
      <c r="I300" s="504"/>
      <c r="J300" s="504"/>
      <c r="K300" s="11"/>
      <c r="L300" s="11"/>
      <c r="M300" s="11"/>
      <c r="N300" s="11"/>
      <c r="O300" s="136"/>
      <c r="P300" s="109"/>
      <c r="Q300" s="504"/>
      <c r="R300" s="107"/>
    </row>
    <row r="301" spans="3:18" ht="9.75" customHeight="1">
      <c r="C301" s="13"/>
      <c r="D301" s="13" t="s">
        <v>115</v>
      </c>
      <c r="E301" s="13"/>
      <c r="F301" s="109"/>
      <c r="G301" s="504"/>
      <c r="H301" s="504"/>
      <c r="I301" s="504"/>
      <c r="J301" s="504"/>
      <c r="K301" s="32"/>
      <c r="L301" s="32"/>
      <c r="M301" s="32"/>
      <c r="N301" s="32"/>
      <c r="O301" s="142"/>
      <c r="P301" s="109"/>
      <c r="Q301" s="504"/>
      <c r="R301" s="107"/>
    </row>
    <row r="302" spans="3:18" ht="9.75" customHeight="1">
      <c r="C302" s="13"/>
      <c r="D302" s="13" t="s">
        <v>115</v>
      </c>
      <c r="E302" s="13"/>
      <c r="F302" s="109"/>
      <c r="G302" s="504"/>
      <c r="H302" s="504"/>
      <c r="I302" s="504"/>
      <c r="J302" s="504"/>
      <c r="K302" s="32"/>
      <c r="L302" s="32"/>
      <c r="M302" s="32"/>
      <c r="N302" s="32"/>
      <c r="O302" s="142"/>
      <c r="P302" s="109"/>
      <c r="Q302" s="504"/>
      <c r="R302" s="107"/>
    </row>
    <row r="303" spans="3:18" ht="9.75" customHeight="1">
      <c r="C303" s="13"/>
      <c r="D303" s="13" t="s">
        <v>32</v>
      </c>
      <c r="E303" s="13"/>
      <c r="F303" s="109"/>
      <c r="G303" s="504"/>
      <c r="H303" s="504"/>
      <c r="I303" s="504"/>
      <c r="J303" s="504"/>
      <c r="K303" s="32"/>
      <c r="L303" s="32"/>
      <c r="M303" s="32"/>
      <c r="N303" s="32"/>
      <c r="O303" s="142"/>
      <c r="P303" s="109"/>
      <c r="Q303" s="504"/>
      <c r="R303" s="107"/>
    </row>
    <row r="304" spans="3:18" ht="9.75" customHeight="1">
      <c r="C304" s="13"/>
      <c r="D304" s="13" t="s">
        <v>147</v>
      </c>
      <c r="E304" s="13">
        <v>75</v>
      </c>
      <c r="F304" s="109">
        <v>75</v>
      </c>
      <c r="G304" s="504">
        <v>75</v>
      </c>
      <c r="H304" s="504">
        <v>75</v>
      </c>
      <c r="I304" s="504">
        <v>75</v>
      </c>
      <c r="J304" s="504">
        <v>75</v>
      </c>
      <c r="K304" s="11">
        <v>75</v>
      </c>
      <c r="L304" s="11">
        <v>75</v>
      </c>
      <c r="M304" s="11">
        <v>75</v>
      </c>
      <c r="N304" s="11">
        <v>75</v>
      </c>
      <c r="O304" s="136">
        <v>75</v>
      </c>
      <c r="P304" s="109">
        <f>MIN(F304:O304)</f>
        <v>75</v>
      </c>
      <c r="Q304" s="504">
        <f>E304-P304</f>
        <v>0</v>
      </c>
      <c r="R304" s="107">
        <f>Q304/E304</f>
        <v>0</v>
      </c>
    </row>
    <row r="305" spans="2:18" ht="9.75" customHeight="1">
      <c r="B305" s="503"/>
      <c r="C305" s="13"/>
      <c r="D305" s="13" t="s">
        <v>120</v>
      </c>
      <c r="E305" s="13"/>
      <c r="F305" s="109"/>
      <c r="G305" s="504"/>
      <c r="H305" s="504"/>
      <c r="I305" s="504"/>
      <c r="J305" s="504"/>
      <c r="K305" s="504"/>
      <c r="L305" s="504"/>
      <c r="M305" s="504"/>
      <c r="N305" s="504"/>
      <c r="O305" s="110"/>
      <c r="P305" s="109"/>
      <c r="Q305" s="504"/>
      <c r="R305" s="107"/>
    </row>
    <row r="306" spans="2:18" ht="9.75" customHeight="1">
      <c r="B306" s="503"/>
      <c r="C306" s="13"/>
      <c r="D306" s="13" t="s">
        <v>120</v>
      </c>
      <c r="E306" s="13"/>
      <c r="F306" s="109"/>
      <c r="G306" s="504"/>
      <c r="H306" s="504"/>
      <c r="I306" s="504"/>
      <c r="J306" s="504"/>
      <c r="K306" s="504"/>
      <c r="L306" s="504"/>
      <c r="M306" s="504"/>
      <c r="N306" s="504"/>
      <c r="O306" s="110"/>
      <c r="P306" s="109"/>
      <c r="Q306" s="504"/>
      <c r="R306" s="107"/>
    </row>
    <row r="307" spans="2:18" ht="9.75" customHeight="1">
      <c r="B307" s="503"/>
      <c r="C307" s="13"/>
      <c r="D307" s="13" t="s">
        <v>120</v>
      </c>
      <c r="E307" s="13"/>
      <c r="F307" s="109"/>
      <c r="G307" s="504"/>
      <c r="H307" s="504"/>
      <c r="I307" s="504"/>
      <c r="J307" s="504"/>
      <c r="K307" s="504"/>
      <c r="L307" s="504"/>
      <c r="M307" s="504"/>
      <c r="N307" s="504"/>
      <c r="O307" s="110"/>
      <c r="P307" s="109"/>
      <c r="Q307" s="504"/>
      <c r="R307" s="107"/>
    </row>
    <row r="308" spans="2:18" ht="9.75" customHeight="1">
      <c r="B308" s="503"/>
      <c r="C308" s="13"/>
      <c r="D308" s="13" t="s">
        <v>120</v>
      </c>
      <c r="E308" s="13"/>
      <c r="F308" s="109"/>
      <c r="G308" s="504"/>
      <c r="H308" s="504"/>
      <c r="I308" s="504"/>
      <c r="J308" s="504"/>
      <c r="K308" s="504"/>
      <c r="L308" s="504"/>
      <c r="M308" s="504"/>
      <c r="N308" s="504"/>
      <c r="O308" s="110"/>
      <c r="P308" s="109"/>
      <c r="Q308" s="504"/>
      <c r="R308" s="107"/>
    </row>
    <row r="309" spans="2:18" ht="9.75" customHeight="1">
      <c r="B309" s="503"/>
      <c r="C309" s="13"/>
      <c r="D309" s="13" t="s">
        <v>120</v>
      </c>
      <c r="E309" s="13"/>
      <c r="F309" s="109"/>
      <c r="G309" s="504"/>
      <c r="H309" s="504"/>
      <c r="I309" s="504"/>
      <c r="J309" s="504"/>
      <c r="K309" s="504"/>
      <c r="L309" s="504"/>
      <c r="M309" s="504"/>
      <c r="N309" s="504"/>
      <c r="O309" s="110"/>
      <c r="P309" s="109"/>
      <c r="Q309" s="504"/>
      <c r="R309" s="107"/>
    </row>
    <row r="310" spans="2:18" ht="9.75" customHeight="1">
      <c r="B310" s="503"/>
      <c r="C310" s="13"/>
      <c r="D310" s="13" t="s">
        <v>34</v>
      </c>
      <c r="E310" s="13"/>
      <c r="F310" s="109"/>
      <c r="G310" s="504"/>
      <c r="H310" s="504"/>
      <c r="I310" s="504"/>
      <c r="J310" s="504"/>
      <c r="K310" s="504"/>
      <c r="L310" s="504"/>
      <c r="M310" s="504"/>
      <c r="N310" s="504"/>
      <c r="O310" s="110"/>
      <c r="P310" s="109"/>
      <c r="Q310" s="504"/>
      <c r="R310" s="107"/>
    </row>
    <row r="311" spans="2:18" ht="9.75" customHeight="1">
      <c r="B311" s="503"/>
      <c r="C311" s="13"/>
      <c r="D311" s="13" t="s">
        <v>35</v>
      </c>
      <c r="E311" s="13"/>
      <c r="F311" s="109"/>
      <c r="G311" s="504"/>
      <c r="H311" s="504"/>
      <c r="I311" s="504"/>
      <c r="J311" s="504"/>
      <c r="K311" s="504"/>
      <c r="L311" s="504"/>
      <c r="M311" s="504"/>
      <c r="N311" s="504"/>
      <c r="O311" s="110"/>
      <c r="P311" s="109"/>
      <c r="Q311" s="504"/>
      <c r="R311" s="107"/>
    </row>
    <row r="312" spans="2:18" ht="9.75" customHeight="1">
      <c r="B312" s="503"/>
      <c r="C312" s="13"/>
      <c r="D312" s="13" t="s">
        <v>36</v>
      </c>
      <c r="E312" s="13"/>
      <c r="F312" s="109"/>
      <c r="G312" s="504"/>
      <c r="H312" s="504"/>
      <c r="I312" s="504"/>
      <c r="J312" s="504"/>
      <c r="K312" s="504"/>
      <c r="L312" s="504"/>
      <c r="M312" s="504"/>
      <c r="N312" s="504"/>
      <c r="O312" s="110"/>
      <c r="P312" s="109"/>
      <c r="Q312" s="504"/>
      <c r="R312" s="107"/>
    </row>
    <row r="313" spans="2:18" ht="9.75" customHeight="1">
      <c r="B313" s="503"/>
      <c r="C313" s="13"/>
      <c r="D313" s="13" t="s">
        <v>37</v>
      </c>
      <c r="E313" s="13"/>
      <c r="F313" s="109"/>
      <c r="G313" s="504"/>
      <c r="H313" s="504"/>
      <c r="I313" s="504"/>
      <c r="J313" s="504"/>
      <c r="K313" s="504"/>
      <c r="L313" s="504"/>
      <c r="M313" s="504"/>
      <c r="N313" s="504"/>
      <c r="O313" s="110"/>
      <c r="P313" s="109"/>
      <c r="Q313" s="504"/>
      <c r="R313" s="107"/>
    </row>
    <row r="314" spans="2:18" ht="9.75" customHeight="1">
      <c r="B314" s="503" t="s">
        <v>127</v>
      </c>
      <c r="C314" s="2"/>
      <c r="D314" s="3" t="s">
        <v>38</v>
      </c>
      <c r="E314" s="3">
        <f t="shared" ref="E314:O314" si="49">SUM(E298:E313)</f>
        <v>75</v>
      </c>
      <c r="F314" s="21">
        <f t="shared" si="49"/>
        <v>75</v>
      </c>
      <c r="G314" s="71">
        <f t="shared" si="49"/>
        <v>75</v>
      </c>
      <c r="H314" s="71">
        <f t="shared" si="49"/>
        <v>75</v>
      </c>
      <c r="I314" s="71">
        <f t="shared" si="49"/>
        <v>75</v>
      </c>
      <c r="J314" s="71">
        <f t="shared" si="49"/>
        <v>75</v>
      </c>
      <c r="K314" s="71">
        <f t="shared" si="49"/>
        <v>75</v>
      </c>
      <c r="L314" s="71">
        <f t="shared" si="49"/>
        <v>75</v>
      </c>
      <c r="M314" s="71">
        <f t="shared" si="49"/>
        <v>75</v>
      </c>
      <c r="N314" s="71">
        <f t="shared" si="49"/>
        <v>75</v>
      </c>
      <c r="O314" s="26">
        <f t="shared" si="49"/>
        <v>75</v>
      </c>
      <c r="P314" s="21">
        <f>MIN(F314:O314)</f>
        <v>75</v>
      </c>
      <c r="Q314" s="71">
        <f>E314-P314</f>
        <v>0</v>
      </c>
      <c r="R314" s="7">
        <f>Q314/E314</f>
        <v>0</v>
      </c>
    </row>
    <row r="315" spans="2:18" ht="10.5" customHeight="1">
      <c r="B315" s="503"/>
      <c r="C315" s="43" t="s">
        <v>151</v>
      </c>
      <c r="D315" s="43" t="s">
        <v>23</v>
      </c>
      <c r="E315" s="43"/>
      <c r="F315" s="116"/>
      <c r="G315" s="128"/>
      <c r="H315" s="128"/>
      <c r="I315" s="128"/>
      <c r="J315" s="128"/>
      <c r="K315" s="128"/>
      <c r="L315" s="128"/>
      <c r="M315" s="128"/>
      <c r="N315" s="128"/>
      <c r="O315" s="129"/>
      <c r="P315" s="116"/>
      <c r="Q315" s="128"/>
      <c r="R315" s="141"/>
    </row>
    <row r="316" spans="2:18" ht="9.75" customHeight="1">
      <c r="B316" s="503"/>
      <c r="C316" s="13"/>
      <c r="D316" s="13" t="s">
        <v>25</v>
      </c>
      <c r="E316" s="13"/>
      <c r="F316" s="109"/>
      <c r="G316" s="504"/>
      <c r="H316" s="504"/>
      <c r="I316" s="504"/>
      <c r="J316" s="504"/>
      <c r="K316" s="504"/>
      <c r="L316" s="504"/>
      <c r="M316" s="504"/>
      <c r="N316" s="504"/>
      <c r="O316" s="110"/>
      <c r="P316" s="109"/>
      <c r="Q316" s="504"/>
      <c r="R316" s="107"/>
    </row>
    <row r="317" spans="2:18" ht="9.75" customHeight="1">
      <c r="B317" s="503"/>
      <c r="C317" s="13"/>
      <c r="D317" s="13" t="s">
        <v>27</v>
      </c>
      <c r="E317" s="13"/>
      <c r="F317" s="109"/>
      <c r="G317" s="504"/>
      <c r="H317" s="504"/>
      <c r="I317" s="504"/>
      <c r="J317" s="504"/>
      <c r="K317" s="504"/>
      <c r="L317" s="504"/>
      <c r="M317" s="504"/>
      <c r="N317" s="504"/>
      <c r="O317" s="110"/>
      <c r="P317" s="109"/>
      <c r="Q317" s="504"/>
      <c r="R317" s="107"/>
    </row>
    <row r="318" spans="2:18" ht="9.75" customHeight="1">
      <c r="B318" s="503"/>
      <c r="C318" s="13"/>
      <c r="D318" s="13" t="s">
        <v>115</v>
      </c>
      <c r="E318" s="13"/>
      <c r="F318" s="109"/>
      <c r="G318" s="504"/>
      <c r="H318" s="504"/>
      <c r="I318" s="504"/>
      <c r="J318" s="504"/>
      <c r="K318" s="504"/>
      <c r="L318" s="504"/>
      <c r="M318" s="504"/>
      <c r="N318" s="504"/>
      <c r="O318" s="110"/>
      <c r="P318" s="109"/>
      <c r="Q318" s="504"/>
      <c r="R318" s="107"/>
    </row>
    <row r="319" spans="2:18" ht="9.75" customHeight="1">
      <c r="B319" s="503"/>
      <c r="C319" s="30"/>
      <c r="D319" s="13" t="s">
        <v>115</v>
      </c>
      <c r="E319" s="13"/>
      <c r="F319" s="109"/>
      <c r="G319" s="504"/>
      <c r="H319" s="504"/>
      <c r="I319" s="504"/>
      <c r="J319" s="504"/>
      <c r="K319" s="504"/>
      <c r="L319" s="504"/>
      <c r="M319" s="504"/>
      <c r="N319" s="504"/>
      <c r="O319" s="110"/>
      <c r="P319" s="109"/>
      <c r="Q319" s="504"/>
      <c r="R319" s="107"/>
    </row>
    <row r="320" spans="2:18" ht="9.75" customHeight="1">
      <c r="B320" s="503"/>
      <c r="C320" s="30"/>
      <c r="D320" s="13" t="s">
        <v>32</v>
      </c>
      <c r="E320" s="13">
        <v>1</v>
      </c>
      <c r="F320" s="109">
        <v>1</v>
      </c>
      <c r="G320" s="504">
        <v>1</v>
      </c>
      <c r="H320" s="504">
        <v>1</v>
      </c>
      <c r="I320" s="504">
        <v>1</v>
      </c>
      <c r="J320" s="504">
        <v>1</v>
      </c>
      <c r="K320" s="11">
        <v>1</v>
      </c>
      <c r="L320" s="11">
        <v>1</v>
      </c>
      <c r="M320" s="11">
        <v>1</v>
      </c>
      <c r="N320" s="11">
        <v>1</v>
      </c>
      <c r="O320" s="136">
        <v>1</v>
      </c>
      <c r="P320" s="109">
        <f>MIN(F320:O320)</f>
        <v>1</v>
      </c>
      <c r="Q320" s="504">
        <f>E320-P320</f>
        <v>0</v>
      </c>
      <c r="R320" s="107">
        <f>Q320/E320</f>
        <v>0</v>
      </c>
    </row>
    <row r="321" spans="2:18" ht="9.75" customHeight="1">
      <c r="B321" s="503"/>
      <c r="C321" s="30"/>
      <c r="D321" s="13" t="s">
        <v>120</v>
      </c>
      <c r="E321" s="13"/>
      <c r="F321" s="109"/>
      <c r="G321" s="504"/>
      <c r="H321" s="504"/>
      <c r="I321" s="504"/>
      <c r="J321" s="504"/>
      <c r="K321" s="32"/>
      <c r="L321" s="32"/>
      <c r="M321" s="32"/>
      <c r="N321" s="32"/>
      <c r="O321" s="142"/>
      <c r="P321" s="109"/>
      <c r="Q321" s="504"/>
      <c r="R321" s="107"/>
    </row>
    <row r="322" spans="2:18" ht="9.75" customHeight="1">
      <c r="B322" s="503"/>
      <c r="C322" s="30"/>
      <c r="D322" s="13" t="s">
        <v>120</v>
      </c>
      <c r="E322" s="13"/>
      <c r="F322" s="109"/>
      <c r="G322" s="504"/>
      <c r="H322" s="504"/>
      <c r="I322" s="504"/>
      <c r="J322" s="504"/>
      <c r="K322" s="32"/>
      <c r="L322" s="32"/>
      <c r="M322" s="32"/>
      <c r="N322" s="32"/>
      <c r="O322" s="142"/>
      <c r="P322" s="109"/>
      <c r="Q322" s="504"/>
      <c r="R322" s="107"/>
    </row>
    <row r="323" spans="2:18" ht="9.75" customHeight="1">
      <c r="B323" s="503"/>
      <c r="C323" s="30"/>
      <c r="D323" s="13" t="s">
        <v>120</v>
      </c>
      <c r="E323" s="13"/>
      <c r="F323" s="109"/>
      <c r="G323" s="504"/>
      <c r="H323" s="504"/>
      <c r="I323" s="504"/>
      <c r="J323" s="504"/>
      <c r="K323" s="32"/>
      <c r="L323" s="32"/>
      <c r="M323" s="32"/>
      <c r="N323" s="32"/>
      <c r="O323" s="142"/>
      <c r="P323" s="109"/>
      <c r="Q323" s="504"/>
      <c r="R323" s="107"/>
    </row>
    <row r="324" spans="2:18" ht="9.75" customHeight="1">
      <c r="B324" s="503"/>
      <c r="C324" s="30"/>
      <c r="D324" s="13" t="s">
        <v>120</v>
      </c>
      <c r="E324" s="13"/>
      <c r="F324" s="109"/>
      <c r="G324" s="504"/>
      <c r="H324" s="504"/>
      <c r="I324" s="504"/>
      <c r="J324" s="504"/>
      <c r="K324" s="32"/>
      <c r="L324" s="32"/>
      <c r="M324" s="32"/>
      <c r="N324" s="32"/>
      <c r="O324" s="142"/>
      <c r="P324" s="109"/>
      <c r="Q324" s="504"/>
      <c r="R324" s="107"/>
    </row>
    <row r="325" spans="2:18" ht="9.75" customHeight="1">
      <c r="B325" s="503"/>
      <c r="C325" s="30"/>
      <c r="D325" s="13" t="s">
        <v>120</v>
      </c>
      <c r="E325" s="13"/>
      <c r="F325" s="109"/>
      <c r="G325" s="504"/>
      <c r="H325" s="504"/>
      <c r="I325" s="504"/>
      <c r="J325" s="504"/>
      <c r="K325" s="32"/>
      <c r="L325" s="32"/>
      <c r="M325" s="32"/>
      <c r="N325" s="32"/>
      <c r="O325" s="142"/>
      <c r="P325" s="109"/>
      <c r="Q325" s="504"/>
      <c r="R325" s="107"/>
    </row>
    <row r="326" spans="2:18" ht="9.75" customHeight="1">
      <c r="B326" s="503"/>
      <c r="C326" s="30"/>
      <c r="D326" s="13" t="s">
        <v>120</v>
      </c>
      <c r="E326" s="13"/>
      <c r="F326" s="109"/>
      <c r="G326" s="504"/>
      <c r="H326" s="504"/>
      <c r="I326" s="504"/>
      <c r="J326" s="504"/>
      <c r="K326" s="32"/>
      <c r="L326" s="32"/>
      <c r="M326" s="32"/>
      <c r="N326" s="32"/>
      <c r="O326" s="142"/>
      <c r="P326" s="109"/>
      <c r="Q326" s="504"/>
      <c r="R326" s="107"/>
    </row>
    <row r="327" spans="2:18" ht="9.75" customHeight="1">
      <c r="B327" s="503"/>
      <c r="C327" s="30"/>
      <c r="D327" s="13" t="s">
        <v>34</v>
      </c>
      <c r="E327" s="13">
        <v>12</v>
      </c>
      <c r="F327" s="109">
        <v>0</v>
      </c>
      <c r="G327" s="504">
        <v>0</v>
      </c>
      <c r="H327" s="504">
        <v>0</v>
      </c>
      <c r="I327" s="504">
        <v>0</v>
      </c>
      <c r="J327" s="504">
        <v>0</v>
      </c>
      <c r="K327" s="11">
        <v>0</v>
      </c>
      <c r="L327" s="11">
        <v>0</v>
      </c>
      <c r="M327" s="11">
        <v>0</v>
      </c>
      <c r="N327" s="11">
        <v>0</v>
      </c>
      <c r="O327" s="136">
        <v>0</v>
      </c>
      <c r="P327" s="109">
        <f>MIN(F327:O327)</f>
        <v>0</v>
      </c>
      <c r="Q327" s="504">
        <f>E327-P327</f>
        <v>12</v>
      </c>
      <c r="R327" s="107">
        <f>Q327/E327</f>
        <v>1</v>
      </c>
    </row>
    <row r="328" spans="2:18" ht="9.75" customHeight="1">
      <c r="B328" s="503"/>
      <c r="C328" s="30"/>
      <c r="D328" s="13" t="s">
        <v>35</v>
      </c>
      <c r="E328" s="13"/>
      <c r="F328" s="109"/>
      <c r="G328" s="504"/>
      <c r="H328" s="504"/>
      <c r="I328" s="504"/>
      <c r="J328" s="504"/>
      <c r="K328" s="504"/>
      <c r="L328" s="504"/>
      <c r="M328" s="504"/>
      <c r="N328" s="504"/>
      <c r="O328" s="110"/>
      <c r="P328" s="109"/>
      <c r="Q328" s="504"/>
      <c r="R328" s="107"/>
    </row>
    <row r="329" spans="2:18" ht="9.75" customHeight="1">
      <c r="B329" s="503"/>
      <c r="C329" s="30"/>
      <c r="D329" s="13" t="s">
        <v>36</v>
      </c>
      <c r="E329" s="13"/>
      <c r="F329" s="109"/>
      <c r="G329" s="504"/>
      <c r="H329" s="504"/>
      <c r="I329" s="504"/>
      <c r="J329" s="504"/>
      <c r="K329" s="504"/>
      <c r="L329" s="504"/>
      <c r="M329" s="504"/>
      <c r="N329" s="504"/>
      <c r="O329" s="110"/>
      <c r="P329" s="109"/>
      <c r="Q329" s="504"/>
      <c r="R329" s="107"/>
    </row>
    <row r="330" spans="2:18" ht="9.75" customHeight="1">
      <c r="B330" s="503"/>
      <c r="C330" s="30"/>
      <c r="D330" s="13" t="s">
        <v>37</v>
      </c>
      <c r="E330" s="13"/>
      <c r="F330" s="109"/>
      <c r="G330" s="504"/>
      <c r="H330" s="504"/>
      <c r="I330" s="504"/>
      <c r="J330" s="504"/>
      <c r="K330" s="504"/>
      <c r="L330" s="504"/>
      <c r="M330" s="504"/>
      <c r="N330" s="504"/>
      <c r="O330" s="110"/>
      <c r="P330" s="109"/>
      <c r="Q330" s="504"/>
      <c r="R330" s="107"/>
    </row>
    <row r="331" spans="2:18" ht="9.75" customHeight="1">
      <c r="B331" s="503" t="s">
        <v>127</v>
      </c>
      <c r="C331" s="31"/>
      <c r="D331" s="3" t="s">
        <v>38</v>
      </c>
      <c r="E331" s="3">
        <f t="shared" ref="E331:O331" si="50">SUM(E315:E330)</f>
        <v>13</v>
      </c>
      <c r="F331" s="21">
        <f t="shared" si="50"/>
        <v>1</v>
      </c>
      <c r="G331" s="71">
        <f t="shared" si="50"/>
        <v>1</v>
      </c>
      <c r="H331" s="71">
        <f t="shared" si="50"/>
        <v>1</v>
      </c>
      <c r="I331" s="71">
        <f t="shared" si="50"/>
        <v>1</v>
      </c>
      <c r="J331" s="71">
        <f t="shared" si="50"/>
        <v>1</v>
      </c>
      <c r="K331" s="71">
        <f t="shared" si="50"/>
        <v>1</v>
      </c>
      <c r="L331" s="71">
        <f t="shared" si="50"/>
        <v>1</v>
      </c>
      <c r="M331" s="71">
        <f t="shared" si="50"/>
        <v>1</v>
      </c>
      <c r="N331" s="71">
        <f t="shared" si="50"/>
        <v>1</v>
      </c>
      <c r="O331" s="26">
        <f t="shared" si="50"/>
        <v>1</v>
      </c>
      <c r="P331" s="21">
        <f>MIN(F331:O331)</f>
        <v>1</v>
      </c>
      <c r="Q331" s="71">
        <f>E331-P331</f>
        <v>12</v>
      </c>
      <c r="R331" s="7">
        <f>Q331/E331</f>
        <v>0.92307692307692313</v>
      </c>
    </row>
    <row r="332" spans="2:18" ht="9.75" customHeight="1">
      <c r="B332" s="503"/>
      <c r="C332" s="311" t="s">
        <v>152</v>
      </c>
      <c r="D332" s="311" t="s">
        <v>23</v>
      </c>
      <c r="E332" s="311"/>
      <c r="F332" s="312"/>
      <c r="G332" s="313"/>
      <c r="H332" s="313"/>
      <c r="I332" s="313"/>
      <c r="J332" s="313"/>
      <c r="K332" s="313"/>
      <c r="L332" s="313"/>
      <c r="M332" s="313"/>
      <c r="N332" s="313"/>
      <c r="O332" s="314"/>
      <c r="P332" s="312"/>
      <c r="Q332" s="313"/>
      <c r="R332" s="315"/>
    </row>
    <row r="333" spans="2:18" ht="9.75" customHeight="1">
      <c r="B333" s="503"/>
      <c r="C333" s="316" t="s">
        <v>66</v>
      </c>
      <c r="D333" s="316" t="s">
        <v>25</v>
      </c>
      <c r="E333" s="316"/>
      <c r="F333" s="317"/>
      <c r="G333" s="318"/>
      <c r="H333" s="318"/>
      <c r="I333" s="318"/>
      <c r="J333" s="318"/>
      <c r="K333" s="319"/>
      <c r="L333" s="319"/>
      <c r="M333" s="319"/>
      <c r="N333" s="319"/>
      <c r="O333" s="320"/>
      <c r="P333" s="317"/>
      <c r="Q333" s="318"/>
      <c r="R333" s="321"/>
    </row>
    <row r="334" spans="2:18" ht="9.75" customHeight="1">
      <c r="B334" s="503"/>
      <c r="C334" s="316" t="s">
        <v>153</v>
      </c>
      <c r="D334" s="316" t="s">
        <v>27</v>
      </c>
      <c r="E334" s="316"/>
      <c r="F334" s="317"/>
      <c r="G334" s="318"/>
      <c r="H334" s="318"/>
      <c r="I334" s="318"/>
      <c r="J334" s="318"/>
      <c r="K334" s="319"/>
      <c r="L334" s="319"/>
      <c r="M334" s="319"/>
      <c r="N334" s="319"/>
      <c r="O334" s="320"/>
      <c r="P334" s="317"/>
      <c r="Q334" s="318"/>
      <c r="R334" s="321"/>
    </row>
    <row r="335" spans="2:18" ht="9.75" customHeight="1">
      <c r="B335" s="503"/>
      <c r="C335" s="316" t="s">
        <v>74</v>
      </c>
      <c r="D335" s="316" t="s">
        <v>115</v>
      </c>
      <c r="E335" s="316"/>
      <c r="F335" s="317"/>
      <c r="G335" s="318"/>
      <c r="H335" s="318"/>
      <c r="I335" s="318"/>
      <c r="J335" s="318"/>
      <c r="K335" s="319"/>
      <c r="L335" s="319"/>
      <c r="M335" s="319"/>
      <c r="N335" s="319"/>
      <c r="O335" s="320"/>
      <c r="P335" s="317"/>
      <c r="Q335" s="318"/>
      <c r="R335" s="321"/>
    </row>
    <row r="336" spans="2:18" ht="9.75" customHeight="1">
      <c r="B336" s="503"/>
      <c r="C336" s="316"/>
      <c r="D336" s="316" t="s">
        <v>115</v>
      </c>
      <c r="E336" s="316"/>
      <c r="F336" s="317"/>
      <c r="G336" s="318"/>
      <c r="H336" s="318"/>
      <c r="I336" s="318"/>
      <c r="J336" s="318"/>
      <c r="K336" s="322"/>
      <c r="L336" s="322"/>
      <c r="M336" s="322"/>
      <c r="N336" s="322"/>
      <c r="O336" s="323"/>
      <c r="P336" s="317"/>
      <c r="Q336" s="318"/>
      <c r="R336" s="321"/>
    </row>
    <row r="337" spans="3:18" ht="9.75" customHeight="1">
      <c r="C337" s="316"/>
      <c r="D337" s="316" t="s">
        <v>32</v>
      </c>
      <c r="E337" s="316"/>
      <c r="F337" s="317"/>
      <c r="G337" s="318"/>
      <c r="H337" s="318"/>
      <c r="I337" s="318"/>
      <c r="J337" s="318"/>
      <c r="K337" s="322"/>
      <c r="L337" s="322"/>
      <c r="M337" s="322"/>
      <c r="N337" s="322"/>
      <c r="O337" s="323"/>
      <c r="P337" s="317"/>
      <c r="Q337" s="318"/>
      <c r="R337" s="321"/>
    </row>
    <row r="338" spans="3:18" ht="9.75" customHeight="1">
      <c r="C338" s="316"/>
      <c r="D338" s="316" t="s">
        <v>154</v>
      </c>
      <c r="E338" s="316"/>
      <c r="F338" s="317"/>
      <c r="G338" s="318"/>
      <c r="H338" s="318"/>
      <c r="I338" s="318"/>
      <c r="J338" s="318"/>
      <c r="K338" s="319"/>
      <c r="L338" s="319"/>
      <c r="M338" s="319"/>
      <c r="N338" s="319"/>
      <c r="O338" s="320"/>
      <c r="P338" s="317"/>
      <c r="Q338" s="318"/>
      <c r="R338" s="321"/>
    </row>
    <row r="339" spans="3:18" ht="9.75" customHeight="1">
      <c r="C339" s="316"/>
      <c r="D339" s="316" t="s">
        <v>155</v>
      </c>
      <c r="E339" s="316"/>
      <c r="F339" s="317"/>
      <c r="G339" s="318"/>
      <c r="H339" s="318"/>
      <c r="I339" s="318"/>
      <c r="J339" s="318"/>
      <c r="K339" s="319"/>
      <c r="L339" s="319"/>
      <c r="M339" s="319"/>
      <c r="N339" s="319"/>
      <c r="O339" s="320"/>
      <c r="P339" s="317"/>
      <c r="Q339" s="318"/>
      <c r="R339" s="321"/>
    </row>
    <row r="340" spans="3:18" ht="9.75" customHeight="1">
      <c r="C340" s="316"/>
      <c r="D340" s="316" t="s">
        <v>120</v>
      </c>
      <c r="E340" s="316"/>
      <c r="F340" s="317"/>
      <c r="G340" s="318"/>
      <c r="H340" s="318"/>
      <c r="I340" s="318"/>
      <c r="J340" s="318"/>
      <c r="K340" s="322"/>
      <c r="L340" s="322"/>
      <c r="M340" s="322"/>
      <c r="N340" s="322"/>
      <c r="O340" s="323"/>
      <c r="P340" s="317"/>
      <c r="Q340" s="318"/>
      <c r="R340" s="321"/>
    </row>
    <row r="341" spans="3:18" ht="9.75" customHeight="1">
      <c r="C341" s="316"/>
      <c r="D341" s="316" t="s">
        <v>120</v>
      </c>
      <c r="E341" s="316"/>
      <c r="F341" s="317"/>
      <c r="G341" s="318"/>
      <c r="H341" s="318"/>
      <c r="I341" s="318"/>
      <c r="J341" s="318"/>
      <c r="K341" s="322"/>
      <c r="L341" s="322"/>
      <c r="M341" s="322"/>
      <c r="N341" s="322"/>
      <c r="O341" s="323"/>
      <c r="P341" s="317"/>
      <c r="Q341" s="318"/>
      <c r="R341" s="321"/>
    </row>
    <row r="342" spans="3:18" ht="9.75" customHeight="1">
      <c r="C342" s="316"/>
      <c r="D342" s="316" t="s">
        <v>120</v>
      </c>
      <c r="E342" s="316"/>
      <c r="F342" s="317"/>
      <c r="G342" s="318"/>
      <c r="H342" s="318"/>
      <c r="I342" s="318"/>
      <c r="J342" s="318"/>
      <c r="K342" s="322"/>
      <c r="L342" s="322"/>
      <c r="M342" s="322"/>
      <c r="N342" s="322"/>
      <c r="O342" s="323"/>
      <c r="P342" s="317"/>
      <c r="Q342" s="318"/>
      <c r="R342" s="321"/>
    </row>
    <row r="343" spans="3:18" ht="9.75" customHeight="1">
      <c r="C343" s="316"/>
      <c r="D343" s="316" t="s">
        <v>120</v>
      </c>
      <c r="E343" s="316"/>
      <c r="F343" s="317"/>
      <c r="G343" s="318"/>
      <c r="H343" s="318"/>
      <c r="I343" s="318"/>
      <c r="J343" s="318"/>
      <c r="K343" s="322"/>
      <c r="L343" s="322"/>
      <c r="M343" s="322"/>
      <c r="N343" s="322"/>
      <c r="O343" s="323"/>
      <c r="P343" s="317"/>
      <c r="Q343" s="318"/>
      <c r="R343" s="321"/>
    </row>
    <row r="344" spans="3:18" ht="9.75" customHeight="1">
      <c r="C344" s="316"/>
      <c r="D344" s="316" t="s">
        <v>34</v>
      </c>
      <c r="E344" s="316"/>
      <c r="F344" s="317"/>
      <c r="G344" s="318"/>
      <c r="H344" s="318"/>
      <c r="I344" s="318"/>
      <c r="J344" s="318"/>
      <c r="K344" s="319"/>
      <c r="L344" s="319"/>
      <c r="M344" s="319"/>
      <c r="N344" s="319"/>
      <c r="O344" s="320"/>
      <c r="P344" s="317"/>
      <c r="Q344" s="318"/>
      <c r="R344" s="321"/>
    </row>
    <row r="345" spans="3:18" ht="9.75" customHeight="1">
      <c r="C345" s="316"/>
      <c r="D345" s="316" t="s">
        <v>35</v>
      </c>
      <c r="E345" s="316"/>
      <c r="F345" s="317"/>
      <c r="G345" s="318"/>
      <c r="H345" s="318"/>
      <c r="I345" s="318"/>
      <c r="J345" s="318"/>
      <c r="K345" s="322"/>
      <c r="L345" s="322"/>
      <c r="M345" s="322"/>
      <c r="N345" s="322"/>
      <c r="O345" s="323"/>
      <c r="P345" s="317"/>
      <c r="Q345" s="318"/>
      <c r="R345" s="321"/>
    </row>
    <row r="346" spans="3:18" ht="9.75" customHeight="1">
      <c r="C346" s="316"/>
      <c r="D346" s="316" t="s">
        <v>36</v>
      </c>
      <c r="E346" s="316"/>
      <c r="F346" s="317"/>
      <c r="G346" s="318"/>
      <c r="H346" s="318"/>
      <c r="I346" s="318"/>
      <c r="J346" s="318"/>
      <c r="K346" s="319"/>
      <c r="L346" s="319"/>
      <c r="M346" s="319"/>
      <c r="N346" s="319"/>
      <c r="O346" s="320"/>
      <c r="P346" s="317"/>
      <c r="Q346" s="318"/>
      <c r="R346" s="321"/>
    </row>
    <row r="347" spans="3:18" ht="9.75" customHeight="1">
      <c r="C347" s="316"/>
      <c r="D347" s="316" t="s">
        <v>156</v>
      </c>
      <c r="E347" s="316"/>
      <c r="F347" s="317"/>
      <c r="G347" s="318"/>
      <c r="H347" s="318"/>
      <c r="I347" s="318"/>
      <c r="J347" s="318"/>
      <c r="K347" s="318"/>
      <c r="L347" s="318"/>
      <c r="M347" s="318"/>
      <c r="N347" s="318"/>
      <c r="O347" s="324"/>
      <c r="P347" s="317"/>
      <c r="Q347" s="318"/>
      <c r="R347" s="321"/>
    </row>
    <row r="348" spans="3:18" ht="9.75" customHeight="1">
      <c r="C348" s="277"/>
      <c r="D348" s="278" t="s">
        <v>38</v>
      </c>
      <c r="E348" s="278"/>
      <c r="F348" s="279"/>
      <c r="G348" s="280"/>
      <c r="H348" s="280"/>
      <c r="I348" s="280"/>
      <c r="J348" s="280"/>
      <c r="K348" s="280"/>
      <c r="L348" s="280"/>
      <c r="M348" s="280"/>
      <c r="N348" s="280"/>
      <c r="O348" s="281"/>
      <c r="P348" s="279"/>
      <c r="Q348" s="280"/>
      <c r="R348" s="282"/>
    </row>
    <row r="349" spans="3:18" ht="9.75" customHeight="1">
      <c r="C349" s="316" t="s">
        <v>157</v>
      </c>
      <c r="D349" s="325" t="s">
        <v>158</v>
      </c>
      <c r="E349" s="316"/>
      <c r="F349" s="317"/>
      <c r="G349" s="318"/>
      <c r="H349" s="318"/>
      <c r="I349" s="318"/>
      <c r="J349" s="318"/>
      <c r="K349" s="335"/>
      <c r="L349" s="335"/>
      <c r="M349" s="335"/>
      <c r="N349" s="335"/>
      <c r="O349" s="336"/>
      <c r="P349" s="337"/>
      <c r="Q349" s="338"/>
      <c r="R349" s="339"/>
    </row>
    <row r="350" spans="3:18" ht="9.75" customHeight="1">
      <c r="C350" s="316" t="s">
        <v>159</v>
      </c>
      <c r="D350" s="325" t="s">
        <v>77</v>
      </c>
      <c r="E350" s="316"/>
      <c r="F350" s="317"/>
      <c r="G350" s="318"/>
      <c r="H350" s="318"/>
      <c r="I350" s="318"/>
      <c r="J350" s="318"/>
      <c r="K350" s="319"/>
      <c r="L350" s="319"/>
      <c r="M350" s="319"/>
      <c r="N350" s="319"/>
      <c r="O350" s="320"/>
      <c r="P350" s="317"/>
      <c r="Q350" s="318"/>
      <c r="R350" s="321"/>
    </row>
    <row r="351" spans="3:18" ht="9.75" customHeight="1">
      <c r="C351" s="316" t="s">
        <v>160</v>
      </c>
      <c r="D351" s="326" t="s">
        <v>78</v>
      </c>
      <c r="E351" s="320"/>
      <c r="F351" s="327"/>
      <c r="G351" s="327"/>
      <c r="H351" s="327"/>
      <c r="I351" s="327"/>
      <c r="J351" s="327"/>
      <c r="K351" s="319"/>
      <c r="L351" s="319"/>
      <c r="M351" s="319"/>
      <c r="N351" s="319"/>
      <c r="O351" s="320"/>
      <c r="P351" s="328"/>
      <c r="Q351" s="327"/>
      <c r="R351" s="321"/>
    </row>
    <row r="352" spans="3:18" ht="9.75" customHeight="1">
      <c r="C352" s="316" t="s">
        <v>74</v>
      </c>
      <c r="D352" s="316" t="s">
        <v>25</v>
      </c>
      <c r="E352" s="316"/>
      <c r="F352" s="317"/>
      <c r="G352" s="318"/>
      <c r="H352" s="318"/>
      <c r="I352" s="318"/>
      <c r="J352" s="318"/>
      <c r="K352" s="319"/>
      <c r="L352" s="319"/>
      <c r="M352" s="319"/>
      <c r="N352" s="319"/>
      <c r="O352" s="320"/>
      <c r="P352" s="317"/>
      <c r="Q352" s="318"/>
      <c r="R352" s="321"/>
    </row>
    <row r="353" spans="3:18" ht="9.75" customHeight="1">
      <c r="C353" s="316"/>
      <c r="D353" s="316" t="s">
        <v>27</v>
      </c>
      <c r="E353" s="316"/>
      <c r="F353" s="317"/>
      <c r="G353" s="318"/>
      <c r="H353" s="318"/>
      <c r="I353" s="318"/>
      <c r="J353" s="318"/>
      <c r="K353" s="322"/>
      <c r="L353" s="322"/>
      <c r="M353" s="322"/>
      <c r="N353" s="322"/>
      <c r="O353" s="323"/>
      <c r="P353" s="317"/>
      <c r="Q353" s="318"/>
      <c r="R353" s="321"/>
    </row>
    <row r="354" spans="3:18" ht="9.75" customHeight="1">
      <c r="C354" s="316"/>
      <c r="D354" s="316" t="s">
        <v>115</v>
      </c>
      <c r="E354" s="316"/>
      <c r="F354" s="317"/>
      <c r="G354" s="318"/>
      <c r="H354" s="318"/>
      <c r="I354" s="318"/>
      <c r="J354" s="318"/>
      <c r="K354" s="319"/>
      <c r="L354" s="319"/>
      <c r="M354" s="319"/>
      <c r="N354" s="319"/>
      <c r="O354" s="320"/>
      <c r="P354" s="317"/>
      <c r="Q354" s="318"/>
      <c r="R354" s="321"/>
    </row>
    <row r="355" spans="3:18" ht="9.75" customHeight="1">
      <c r="C355" s="316"/>
      <c r="D355" s="316" t="s">
        <v>115</v>
      </c>
      <c r="E355" s="316"/>
      <c r="F355" s="317"/>
      <c r="G355" s="318"/>
      <c r="H355" s="318"/>
      <c r="I355" s="318"/>
      <c r="J355" s="318"/>
      <c r="K355" s="322"/>
      <c r="L355" s="322"/>
      <c r="M355" s="322"/>
      <c r="N355" s="322"/>
      <c r="O355" s="323"/>
      <c r="P355" s="317"/>
      <c r="Q355" s="318"/>
      <c r="R355" s="321"/>
    </row>
    <row r="356" spans="3:18" ht="9.75" customHeight="1">
      <c r="C356" s="316"/>
      <c r="D356" s="316" t="s">
        <v>32</v>
      </c>
      <c r="E356" s="316"/>
      <c r="F356" s="317"/>
      <c r="G356" s="318"/>
      <c r="H356" s="318"/>
      <c r="I356" s="318"/>
      <c r="J356" s="318"/>
      <c r="K356" s="319"/>
      <c r="L356" s="319"/>
      <c r="M356" s="319"/>
      <c r="N356" s="319"/>
      <c r="O356" s="320"/>
      <c r="P356" s="317"/>
      <c r="Q356" s="318"/>
      <c r="R356" s="321"/>
    </row>
    <row r="357" spans="3:18" ht="9.75" customHeight="1">
      <c r="C357" s="316"/>
      <c r="D357" s="316" t="s">
        <v>161</v>
      </c>
      <c r="E357" s="316"/>
      <c r="F357" s="317"/>
      <c r="G357" s="318"/>
      <c r="H357" s="318"/>
      <c r="I357" s="318"/>
      <c r="J357" s="318"/>
      <c r="K357" s="319"/>
      <c r="L357" s="319"/>
      <c r="M357" s="319"/>
      <c r="N357" s="319"/>
      <c r="O357" s="320"/>
      <c r="P357" s="317"/>
      <c r="Q357" s="318"/>
      <c r="R357" s="321"/>
    </row>
    <row r="358" spans="3:18" ht="9.75" customHeight="1">
      <c r="C358" s="316"/>
      <c r="D358" s="316" t="s">
        <v>118</v>
      </c>
      <c r="E358" s="316"/>
      <c r="F358" s="317"/>
      <c r="G358" s="318"/>
      <c r="H358" s="318"/>
      <c r="I358" s="318"/>
      <c r="J358" s="318"/>
      <c r="K358" s="319"/>
      <c r="L358" s="319"/>
      <c r="M358" s="319"/>
      <c r="N358" s="319"/>
      <c r="O358" s="320"/>
      <c r="P358" s="317"/>
      <c r="Q358" s="318"/>
      <c r="R358" s="321"/>
    </row>
    <row r="359" spans="3:18" ht="9.75" customHeight="1">
      <c r="C359" s="316"/>
      <c r="D359" s="316" t="s">
        <v>120</v>
      </c>
      <c r="E359" s="316"/>
      <c r="F359" s="317"/>
      <c r="G359" s="318"/>
      <c r="H359" s="318"/>
      <c r="I359" s="318"/>
      <c r="J359" s="318"/>
      <c r="K359" s="322"/>
      <c r="L359" s="322"/>
      <c r="M359" s="322"/>
      <c r="N359" s="322"/>
      <c r="O359" s="323"/>
      <c r="P359" s="317"/>
      <c r="Q359" s="318"/>
      <c r="R359" s="321"/>
    </row>
    <row r="360" spans="3:18" ht="9.75" customHeight="1">
      <c r="C360" s="316"/>
      <c r="D360" s="316" t="s">
        <v>120</v>
      </c>
      <c r="E360" s="316"/>
      <c r="F360" s="317"/>
      <c r="G360" s="318"/>
      <c r="H360" s="318"/>
      <c r="I360" s="318"/>
      <c r="J360" s="318"/>
      <c r="K360" s="322"/>
      <c r="L360" s="322"/>
      <c r="M360" s="322"/>
      <c r="N360" s="322"/>
      <c r="O360" s="323"/>
      <c r="P360" s="317"/>
      <c r="Q360" s="318"/>
      <c r="R360" s="321"/>
    </row>
    <row r="361" spans="3:18" ht="9.75" customHeight="1">
      <c r="C361" s="316"/>
      <c r="D361" s="316" t="s">
        <v>120</v>
      </c>
      <c r="E361" s="316"/>
      <c r="F361" s="317"/>
      <c r="G361" s="318"/>
      <c r="H361" s="318"/>
      <c r="I361" s="318"/>
      <c r="J361" s="318"/>
      <c r="K361" s="322"/>
      <c r="L361" s="322"/>
      <c r="M361" s="322"/>
      <c r="N361" s="322"/>
      <c r="O361" s="323"/>
      <c r="P361" s="317"/>
      <c r="Q361" s="318"/>
      <c r="R361" s="321"/>
    </row>
    <row r="362" spans="3:18" ht="9.75" customHeight="1">
      <c r="C362" s="316"/>
      <c r="D362" s="316" t="s">
        <v>120</v>
      </c>
      <c r="E362" s="316"/>
      <c r="F362" s="317"/>
      <c r="G362" s="318"/>
      <c r="H362" s="318"/>
      <c r="I362" s="318"/>
      <c r="J362" s="318"/>
      <c r="K362" s="322"/>
      <c r="L362" s="322"/>
      <c r="M362" s="322"/>
      <c r="N362" s="322"/>
      <c r="O362" s="323"/>
      <c r="P362" s="317"/>
      <c r="Q362" s="318"/>
      <c r="R362" s="321"/>
    </row>
    <row r="363" spans="3:18" ht="9.75" customHeight="1">
      <c r="C363" s="316"/>
      <c r="D363" s="316" t="s">
        <v>34</v>
      </c>
      <c r="E363" s="316"/>
      <c r="F363" s="317"/>
      <c r="G363" s="318"/>
      <c r="H363" s="318"/>
      <c r="I363" s="318"/>
      <c r="J363" s="318"/>
      <c r="K363" s="319"/>
      <c r="L363" s="319"/>
      <c r="M363" s="319"/>
      <c r="N363" s="319"/>
      <c r="O363" s="320"/>
      <c r="P363" s="317"/>
      <c r="Q363" s="318"/>
      <c r="R363" s="321"/>
    </row>
    <row r="364" spans="3:18" ht="9.75" customHeight="1">
      <c r="C364" s="316"/>
      <c r="D364" s="316" t="s">
        <v>35</v>
      </c>
      <c r="E364" s="316"/>
      <c r="F364" s="317"/>
      <c r="G364" s="318"/>
      <c r="H364" s="318"/>
      <c r="I364" s="318"/>
      <c r="J364" s="318"/>
      <c r="K364" s="322"/>
      <c r="L364" s="322"/>
      <c r="M364" s="322"/>
      <c r="N364" s="322"/>
      <c r="O364" s="323"/>
      <c r="P364" s="317"/>
      <c r="Q364" s="318"/>
      <c r="R364" s="321"/>
    </row>
    <row r="365" spans="3:18" ht="9.75" customHeight="1">
      <c r="C365" s="316"/>
      <c r="D365" s="316" t="s">
        <v>36</v>
      </c>
      <c r="E365" s="316"/>
      <c r="F365" s="317"/>
      <c r="G365" s="318"/>
      <c r="H365" s="318"/>
      <c r="I365" s="318"/>
      <c r="J365" s="318"/>
      <c r="K365" s="319"/>
      <c r="L365" s="319"/>
      <c r="M365" s="319"/>
      <c r="N365" s="319"/>
      <c r="O365" s="320"/>
      <c r="P365" s="317"/>
      <c r="Q365" s="318"/>
      <c r="R365" s="321"/>
    </row>
    <row r="366" spans="3:18" ht="9.75" customHeight="1">
      <c r="C366" s="316"/>
      <c r="D366" s="316" t="s">
        <v>37</v>
      </c>
      <c r="E366" s="316"/>
      <c r="F366" s="317"/>
      <c r="G366" s="318"/>
      <c r="H366" s="318"/>
      <c r="I366" s="318"/>
      <c r="J366" s="318"/>
      <c r="K366" s="329"/>
      <c r="L366" s="329"/>
      <c r="M366" s="329"/>
      <c r="N366" s="329"/>
      <c r="O366" s="330"/>
      <c r="P366" s="317"/>
      <c r="Q366" s="318"/>
      <c r="R366" s="321"/>
    </row>
    <row r="367" spans="3:18" ht="9.75" customHeight="1">
      <c r="C367" s="277"/>
      <c r="D367" s="278" t="s">
        <v>38</v>
      </c>
      <c r="E367" s="331"/>
      <c r="F367" s="332"/>
      <c r="G367" s="333"/>
      <c r="H367" s="333"/>
      <c r="I367" s="333"/>
      <c r="J367" s="333"/>
      <c r="K367" s="333"/>
      <c r="L367" s="333"/>
      <c r="M367" s="333"/>
      <c r="N367" s="333"/>
      <c r="O367" s="334"/>
      <c r="P367" s="332"/>
      <c r="Q367" s="333"/>
      <c r="R367" s="282"/>
    </row>
    <row r="368" spans="3:18" ht="9.75" customHeight="1">
      <c r="C368" s="311" t="s">
        <v>162</v>
      </c>
      <c r="D368" s="311" t="s">
        <v>23</v>
      </c>
      <c r="E368" s="311"/>
      <c r="F368" s="312"/>
      <c r="G368" s="313"/>
      <c r="H368" s="313"/>
      <c r="I368" s="313"/>
      <c r="J368" s="313"/>
      <c r="K368" s="313"/>
      <c r="L368" s="313"/>
      <c r="M368" s="313"/>
      <c r="N368" s="313"/>
      <c r="O368" s="314"/>
      <c r="P368" s="312"/>
      <c r="Q368" s="313"/>
      <c r="R368" s="315"/>
    </row>
    <row r="369" spans="3:18" ht="9.75" customHeight="1">
      <c r="C369" s="316" t="s">
        <v>66</v>
      </c>
      <c r="D369" s="316" t="s">
        <v>25</v>
      </c>
      <c r="E369" s="316"/>
      <c r="F369" s="317"/>
      <c r="G369" s="318"/>
      <c r="H369" s="318"/>
      <c r="I369" s="318"/>
      <c r="J369" s="318"/>
      <c r="K369" s="318"/>
      <c r="L369" s="318"/>
      <c r="M369" s="318"/>
      <c r="N369" s="318"/>
      <c r="O369" s="324"/>
      <c r="P369" s="317"/>
      <c r="Q369" s="318"/>
      <c r="R369" s="321"/>
    </row>
    <row r="370" spans="3:18" ht="9.75" customHeight="1">
      <c r="C370" s="316" t="s">
        <v>153</v>
      </c>
      <c r="D370" s="316" t="s">
        <v>27</v>
      </c>
      <c r="E370" s="316"/>
      <c r="F370" s="317"/>
      <c r="G370" s="318"/>
      <c r="H370" s="318"/>
      <c r="I370" s="318"/>
      <c r="J370" s="318"/>
      <c r="K370" s="318"/>
      <c r="L370" s="318"/>
      <c r="M370" s="318"/>
      <c r="N370" s="318"/>
      <c r="O370" s="324"/>
      <c r="P370" s="317"/>
      <c r="Q370" s="318"/>
      <c r="R370" s="321"/>
    </row>
    <row r="371" spans="3:18" ht="9.75" customHeight="1">
      <c r="C371" s="316" t="s">
        <v>74</v>
      </c>
      <c r="D371" s="316" t="s">
        <v>115</v>
      </c>
      <c r="E371" s="316"/>
      <c r="F371" s="317"/>
      <c r="G371" s="318"/>
      <c r="H371" s="318"/>
      <c r="I371" s="318"/>
      <c r="J371" s="318"/>
      <c r="K371" s="318"/>
      <c r="L371" s="318"/>
      <c r="M371" s="318"/>
      <c r="N371" s="318"/>
      <c r="O371" s="324"/>
      <c r="P371" s="317"/>
      <c r="Q371" s="318"/>
      <c r="R371" s="321"/>
    </row>
    <row r="372" spans="3:18" ht="9.75" customHeight="1">
      <c r="C372" s="316"/>
      <c r="D372" s="316" t="s">
        <v>115</v>
      </c>
      <c r="E372" s="316"/>
      <c r="F372" s="317"/>
      <c r="G372" s="318"/>
      <c r="H372" s="318"/>
      <c r="I372" s="318"/>
      <c r="J372" s="318"/>
      <c r="K372" s="318"/>
      <c r="L372" s="318"/>
      <c r="M372" s="318"/>
      <c r="N372" s="318"/>
      <c r="O372" s="324"/>
      <c r="P372" s="317"/>
      <c r="Q372" s="318"/>
      <c r="R372" s="321"/>
    </row>
    <row r="373" spans="3:18" ht="9.75" customHeight="1">
      <c r="C373" s="316"/>
      <c r="D373" s="316" t="s">
        <v>32</v>
      </c>
      <c r="E373" s="316"/>
      <c r="F373" s="317"/>
      <c r="G373" s="318"/>
      <c r="H373" s="318"/>
      <c r="I373" s="318"/>
      <c r="J373" s="318"/>
      <c r="K373" s="318"/>
      <c r="L373" s="318"/>
      <c r="M373" s="318"/>
      <c r="N373" s="318"/>
      <c r="O373" s="324"/>
      <c r="P373" s="317"/>
      <c r="Q373" s="318"/>
      <c r="R373" s="321"/>
    </row>
    <row r="374" spans="3:18" ht="9.75" customHeight="1">
      <c r="C374" s="316"/>
      <c r="D374" s="316" t="s">
        <v>163</v>
      </c>
      <c r="E374" s="316"/>
      <c r="F374" s="317"/>
      <c r="G374" s="318"/>
      <c r="H374" s="318"/>
      <c r="I374" s="318"/>
      <c r="J374" s="318"/>
      <c r="K374" s="319"/>
      <c r="L374" s="319"/>
      <c r="M374" s="319"/>
      <c r="N374" s="319"/>
      <c r="O374" s="320"/>
      <c r="P374" s="317"/>
      <c r="Q374" s="318"/>
      <c r="R374" s="321"/>
    </row>
    <row r="375" spans="3:18" ht="9.75" customHeight="1">
      <c r="C375" s="316"/>
      <c r="D375" s="316" t="s">
        <v>120</v>
      </c>
      <c r="E375" s="316"/>
      <c r="F375" s="317"/>
      <c r="G375" s="318"/>
      <c r="H375" s="318"/>
      <c r="I375" s="318"/>
      <c r="J375" s="318"/>
      <c r="K375" s="322"/>
      <c r="L375" s="322"/>
      <c r="M375" s="322"/>
      <c r="N375" s="322"/>
      <c r="O375" s="323"/>
      <c r="P375" s="317"/>
      <c r="Q375" s="318"/>
      <c r="R375" s="321"/>
    </row>
    <row r="376" spans="3:18" ht="9.75" customHeight="1">
      <c r="C376" s="316"/>
      <c r="D376" s="316" t="s">
        <v>120</v>
      </c>
      <c r="E376" s="316"/>
      <c r="F376" s="317"/>
      <c r="G376" s="318"/>
      <c r="H376" s="318"/>
      <c r="I376" s="318"/>
      <c r="J376" s="318"/>
      <c r="K376" s="322"/>
      <c r="L376" s="322"/>
      <c r="M376" s="322"/>
      <c r="N376" s="322"/>
      <c r="O376" s="323"/>
      <c r="P376" s="317"/>
      <c r="Q376" s="318"/>
      <c r="R376" s="321"/>
    </row>
    <row r="377" spans="3:18" ht="9.75" customHeight="1">
      <c r="C377" s="316"/>
      <c r="D377" s="316" t="s">
        <v>120</v>
      </c>
      <c r="E377" s="316"/>
      <c r="F377" s="317"/>
      <c r="G377" s="318"/>
      <c r="H377" s="318"/>
      <c r="I377" s="318"/>
      <c r="J377" s="318"/>
      <c r="K377" s="322"/>
      <c r="L377" s="322"/>
      <c r="M377" s="322"/>
      <c r="N377" s="322"/>
      <c r="O377" s="323"/>
      <c r="P377" s="317"/>
      <c r="Q377" s="318"/>
      <c r="R377" s="321"/>
    </row>
    <row r="378" spans="3:18" ht="9.75" customHeight="1">
      <c r="C378" s="316"/>
      <c r="D378" s="316" t="s">
        <v>120</v>
      </c>
      <c r="E378" s="316"/>
      <c r="F378" s="317"/>
      <c r="G378" s="318"/>
      <c r="H378" s="318"/>
      <c r="I378" s="318"/>
      <c r="J378" s="318"/>
      <c r="K378" s="322"/>
      <c r="L378" s="322"/>
      <c r="M378" s="322"/>
      <c r="N378" s="322"/>
      <c r="O378" s="323"/>
      <c r="P378" s="317"/>
      <c r="Q378" s="318"/>
      <c r="R378" s="321"/>
    </row>
    <row r="379" spans="3:18" ht="9.75" customHeight="1">
      <c r="C379" s="316"/>
      <c r="D379" s="316" t="s">
        <v>120</v>
      </c>
      <c r="E379" s="316"/>
      <c r="F379" s="317"/>
      <c r="G379" s="318"/>
      <c r="H379" s="318"/>
      <c r="I379" s="318"/>
      <c r="J379" s="318"/>
      <c r="K379" s="322"/>
      <c r="L379" s="322"/>
      <c r="M379" s="322"/>
      <c r="N379" s="322"/>
      <c r="O379" s="323"/>
      <c r="P379" s="317"/>
      <c r="Q379" s="318"/>
      <c r="R379" s="321"/>
    </row>
    <row r="380" spans="3:18" ht="9.75" customHeight="1">
      <c r="C380" s="316"/>
      <c r="D380" s="316" t="s">
        <v>34</v>
      </c>
      <c r="E380" s="316"/>
      <c r="F380" s="317"/>
      <c r="G380" s="318"/>
      <c r="H380" s="318"/>
      <c r="I380" s="318"/>
      <c r="J380" s="318"/>
      <c r="K380" s="319"/>
      <c r="L380" s="319"/>
      <c r="M380" s="319"/>
      <c r="N380" s="319"/>
      <c r="O380" s="320"/>
      <c r="P380" s="317"/>
      <c r="Q380" s="318"/>
      <c r="R380" s="321"/>
    </row>
    <row r="381" spans="3:18" ht="9.75" customHeight="1">
      <c r="C381" s="316"/>
      <c r="D381" s="316" t="s">
        <v>35</v>
      </c>
      <c r="E381" s="316"/>
      <c r="F381" s="317"/>
      <c r="G381" s="318"/>
      <c r="H381" s="318"/>
      <c r="I381" s="318"/>
      <c r="J381" s="318"/>
      <c r="K381" s="318"/>
      <c r="L381" s="318"/>
      <c r="M381" s="318"/>
      <c r="N381" s="318"/>
      <c r="O381" s="324"/>
      <c r="P381" s="317"/>
      <c r="Q381" s="318"/>
      <c r="R381" s="321"/>
    </row>
    <row r="382" spans="3:18" ht="9.75" customHeight="1">
      <c r="C382" s="316"/>
      <c r="D382" s="316" t="s">
        <v>36</v>
      </c>
      <c r="E382" s="316"/>
      <c r="F382" s="317"/>
      <c r="G382" s="318"/>
      <c r="H382" s="318"/>
      <c r="I382" s="318"/>
      <c r="J382" s="318"/>
      <c r="K382" s="318"/>
      <c r="L382" s="318"/>
      <c r="M382" s="318"/>
      <c r="N382" s="318"/>
      <c r="O382" s="324"/>
      <c r="P382" s="317"/>
      <c r="Q382" s="318"/>
      <c r="R382" s="321"/>
    </row>
    <row r="383" spans="3:18" ht="9.75" customHeight="1">
      <c r="C383" s="316"/>
      <c r="D383" s="316" t="s">
        <v>164</v>
      </c>
      <c r="E383" s="316"/>
      <c r="F383" s="317"/>
      <c r="G383" s="318"/>
      <c r="H383" s="318"/>
      <c r="I383" s="318"/>
      <c r="J383" s="318"/>
      <c r="K383" s="318"/>
      <c r="L383" s="318"/>
      <c r="M383" s="318"/>
      <c r="N383" s="318"/>
      <c r="O383" s="324"/>
      <c r="P383" s="317"/>
      <c r="Q383" s="318"/>
      <c r="R383" s="321"/>
    </row>
    <row r="384" spans="3:18" ht="9.75" customHeight="1">
      <c r="C384" s="277"/>
      <c r="D384" s="278" t="s">
        <v>38</v>
      </c>
      <c r="E384" s="278"/>
      <c r="F384" s="279"/>
      <c r="G384" s="280"/>
      <c r="H384" s="280"/>
      <c r="I384" s="280"/>
      <c r="J384" s="280"/>
      <c r="K384" s="280"/>
      <c r="L384" s="280"/>
      <c r="M384" s="280"/>
      <c r="N384" s="280"/>
      <c r="O384" s="281"/>
      <c r="P384" s="279"/>
      <c r="Q384" s="280"/>
      <c r="R384" s="282"/>
    </row>
    <row r="385" spans="3:18" ht="9.75" customHeight="1">
      <c r="C385" s="311" t="s">
        <v>165</v>
      </c>
      <c r="D385" s="311" t="s">
        <v>23</v>
      </c>
      <c r="E385" s="311"/>
      <c r="F385" s="312"/>
      <c r="G385" s="313"/>
      <c r="H385" s="313"/>
      <c r="I385" s="313"/>
      <c r="J385" s="313"/>
      <c r="K385" s="313"/>
      <c r="L385" s="313"/>
      <c r="M385" s="313"/>
      <c r="N385" s="313"/>
      <c r="O385" s="314"/>
      <c r="P385" s="312"/>
      <c r="Q385" s="313"/>
      <c r="R385" s="315"/>
    </row>
    <row r="386" spans="3:18" ht="9.75" customHeight="1">
      <c r="C386" s="316" t="s">
        <v>66</v>
      </c>
      <c r="D386" s="316" t="s">
        <v>25</v>
      </c>
      <c r="E386" s="316"/>
      <c r="F386" s="317"/>
      <c r="G386" s="318"/>
      <c r="H386" s="318"/>
      <c r="I386" s="318"/>
      <c r="J386" s="318"/>
      <c r="K386" s="318"/>
      <c r="L386" s="318"/>
      <c r="M386" s="318"/>
      <c r="N386" s="318"/>
      <c r="O386" s="324"/>
      <c r="P386" s="317"/>
      <c r="Q386" s="318"/>
      <c r="R386" s="321"/>
    </row>
    <row r="387" spans="3:18" ht="9.75" customHeight="1">
      <c r="C387" s="316" t="s">
        <v>153</v>
      </c>
      <c r="D387" s="316" t="s">
        <v>27</v>
      </c>
      <c r="E387" s="316"/>
      <c r="F387" s="317"/>
      <c r="G387" s="318"/>
      <c r="H387" s="318"/>
      <c r="I387" s="318"/>
      <c r="J387" s="318"/>
      <c r="K387" s="318"/>
      <c r="L387" s="318"/>
      <c r="M387" s="318"/>
      <c r="N387" s="318"/>
      <c r="O387" s="324"/>
      <c r="P387" s="317"/>
      <c r="Q387" s="318"/>
      <c r="R387" s="321"/>
    </row>
    <row r="388" spans="3:18" ht="9.75" customHeight="1">
      <c r="C388" s="316" t="s">
        <v>74</v>
      </c>
      <c r="D388" s="316" t="s">
        <v>144</v>
      </c>
      <c r="E388" s="316"/>
      <c r="F388" s="317"/>
      <c r="G388" s="318"/>
      <c r="H388" s="318"/>
      <c r="I388" s="318"/>
      <c r="J388" s="318"/>
      <c r="K388" s="319"/>
      <c r="L388" s="319"/>
      <c r="M388" s="319"/>
      <c r="N388" s="319"/>
      <c r="O388" s="320"/>
      <c r="P388" s="317"/>
      <c r="Q388" s="318"/>
      <c r="R388" s="321"/>
    </row>
    <row r="389" spans="3:18" ht="9.75" customHeight="1">
      <c r="C389" s="316"/>
      <c r="D389" s="316" t="s">
        <v>115</v>
      </c>
      <c r="E389" s="316"/>
      <c r="F389" s="317"/>
      <c r="G389" s="318"/>
      <c r="H389" s="318"/>
      <c r="I389" s="318"/>
      <c r="J389" s="318"/>
      <c r="K389" s="322"/>
      <c r="L389" s="322"/>
      <c r="M389" s="322"/>
      <c r="N389" s="322"/>
      <c r="O389" s="323"/>
      <c r="P389" s="317"/>
      <c r="Q389" s="318"/>
      <c r="R389" s="321"/>
    </row>
    <row r="390" spans="3:18" ht="9.75" customHeight="1">
      <c r="C390" s="316"/>
      <c r="D390" s="316" t="s">
        <v>32</v>
      </c>
      <c r="E390" s="316"/>
      <c r="F390" s="317"/>
      <c r="G390" s="318"/>
      <c r="H390" s="318"/>
      <c r="I390" s="318"/>
      <c r="J390" s="318"/>
      <c r="K390" s="319"/>
      <c r="L390" s="319"/>
      <c r="M390" s="319"/>
      <c r="N390" s="319"/>
      <c r="O390" s="320"/>
      <c r="P390" s="317"/>
      <c r="Q390" s="318"/>
      <c r="R390" s="321"/>
    </row>
    <row r="391" spans="3:18" ht="9.75" customHeight="1">
      <c r="C391" s="316"/>
      <c r="D391" s="316" t="s">
        <v>34</v>
      </c>
      <c r="E391" s="316"/>
      <c r="F391" s="317"/>
      <c r="G391" s="318"/>
      <c r="H391" s="318"/>
      <c r="I391" s="318"/>
      <c r="J391" s="318"/>
      <c r="K391" s="319"/>
      <c r="L391" s="319"/>
      <c r="M391" s="319"/>
      <c r="N391" s="319"/>
      <c r="O391" s="320"/>
      <c r="P391" s="317"/>
      <c r="Q391" s="318"/>
      <c r="R391" s="321"/>
    </row>
    <row r="392" spans="3:18" ht="9.75" customHeight="1">
      <c r="C392" s="316"/>
      <c r="D392" s="316" t="s">
        <v>120</v>
      </c>
      <c r="E392" s="316"/>
      <c r="F392" s="317"/>
      <c r="G392" s="318"/>
      <c r="H392" s="318"/>
      <c r="I392" s="318"/>
      <c r="J392" s="318"/>
      <c r="K392" s="318"/>
      <c r="L392" s="318"/>
      <c r="M392" s="318"/>
      <c r="N392" s="318"/>
      <c r="O392" s="324"/>
      <c r="P392" s="317"/>
      <c r="Q392" s="318"/>
      <c r="R392" s="321"/>
    </row>
    <row r="393" spans="3:18" ht="9.75" customHeight="1">
      <c r="C393" s="316"/>
      <c r="D393" s="316" t="s">
        <v>120</v>
      </c>
      <c r="E393" s="316"/>
      <c r="F393" s="317"/>
      <c r="G393" s="318"/>
      <c r="H393" s="318"/>
      <c r="I393" s="318"/>
      <c r="J393" s="318"/>
      <c r="K393" s="318"/>
      <c r="L393" s="318"/>
      <c r="M393" s="318"/>
      <c r="N393" s="318"/>
      <c r="O393" s="324"/>
      <c r="P393" s="317"/>
      <c r="Q393" s="318"/>
      <c r="R393" s="321"/>
    </row>
    <row r="394" spans="3:18" ht="9.75" customHeight="1">
      <c r="C394" s="316"/>
      <c r="D394" s="316" t="s">
        <v>120</v>
      </c>
      <c r="E394" s="316"/>
      <c r="F394" s="317"/>
      <c r="G394" s="318"/>
      <c r="H394" s="318"/>
      <c r="I394" s="318"/>
      <c r="J394" s="318"/>
      <c r="K394" s="318"/>
      <c r="L394" s="318"/>
      <c r="M394" s="318"/>
      <c r="N394" s="318"/>
      <c r="O394" s="324"/>
      <c r="P394" s="317"/>
      <c r="Q394" s="318"/>
      <c r="R394" s="321"/>
    </row>
    <row r="395" spans="3:18" ht="9.75" customHeight="1">
      <c r="C395" s="316"/>
      <c r="D395" s="316" t="s">
        <v>120</v>
      </c>
      <c r="E395" s="316"/>
      <c r="F395" s="317"/>
      <c r="G395" s="318"/>
      <c r="H395" s="318"/>
      <c r="I395" s="318"/>
      <c r="J395" s="318"/>
      <c r="K395" s="318"/>
      <c r="L395" s="318"/>
      <c r="M395" s="318"/>
      <c r="N395" s="318"/>
      <c r="O395" s="324"/>
      <c r="P395" s="317"/>
      <c r="Q395" s="318"/>
      <c r="R395" s="321"/>
    </row>
    <row r="396" spans="3:18" ht="9.75" customHeight="1">
      <c r="C396" s="316"/>
      <c r="D396" s="316" t="s">
        <v>120</v>
      </c>
      <c r="E396" s="316"/>
      <c r="F396" s="317"/>
      <c r="G396" s="318"/>
      <c r="H396" s="318"/>
      <c r="I396" s="318"/>
      <c r="J396" s="318"/>
      <c r="K396" s="318"/>
      <c r="L396" s="318"/>
      <c r="M396" s="318"/>
      <c r="N396" s="318"/>
      <c r="O396" s="324"/>
      <c r="P396" s="317"/>
      <c r="Q396" s="318"/>
      <c r="R396" s="321"/>
    </row>
    <row r="397" spans="3:18" ht="9.75" customHeight="1">
      <c r="C397" s="316"/>
      <c r="D397" s="316" t="s">
        <v>120</v>
      </c>
      <c r="E397" s="316"/>
      <c r="F397" s="317"/>
      <c r="G397" s="318"/>
      <c r="H397" s="318"/>
      <c r="I397" s="318"/>
      <c r="J397" s="318"/>
      <c r="K397" s="318"/>
      <c r="L397" s="318"/>
      <c r="M397" s="318"/>
      <c r="N397" s="318"/>
      <c r="O397" s="324"/>
      <c r="P397" s="317"/>
      <c r="Q397" s="318"/>
      <c r="R397" s="321"/>
    </row>
    <row r="398" spans="3:18" ht="9.75" customHeight="1">
      <c r="C398" s="316"/>
      <c r="D398" s="316" t="s">
        <v>35</v>
      </c>
      <c r="E398" s="316"/>
      <c r="F398" s="317"/>
      <c r="G398" s="318"/>
      <c r="H398" s="318"/>
      <c r="I398" s="318"/>
      <c r="J398" s="318"/>
      <c r="K398" s="318"/>
      <c r="L398" s="318"/>
      <c r="M398" s="318"/>
      <c r="N398" s="318"/>
      <c r="O398" s="324"/>
      <c r="P398" s="317"/>
      <c r="Q398" s="318"/>
      <c r="R398" s="321"/>
    </row>
    <row r="399" spans="3:18" ht="9.75" customHeight="1">
      <c r="C399" s="316"/>
      <c r="D399" s="316" t="s">
        <v>36</v>
      </c>
      <c r="E399" s="316"/>
      <c r="F399" s="317"/>
      <c r="G399" s="318"/>
      <c r="H399" s="318"/>
      <c r="I399" s="318"/>
      <c r="J399" s="318"/>
      <c r="K399" s="318"/>
      <c r="L399" s="318"/>
      <c r="M399" s="318"/>
      <c r="N399" s="318"/>
      <c r="O399" s="324"/>
      <c r="P399" s="317"/>
      <c r="Q399" s="318"/>
      <c r="R399" s="321"/>
    </row>
    <row r="400" spans="3:18" ht="9.75" customHeight="1">
      <c r="C400" s="316"/>
      <c r="D400" s="316" t="s">
        <v>37</v>
      </c>
      <c r="E400" s="316"/>
      <c r="F400" s="317"/>
      <c r="G400" s="318"/>
      <c r="H400" s="318"/>
      <c r="I400" s="318"/>
      <c r="J400" s="318"/>
      <c r="K400" s="318"/>
      <c r="L400" s="318"/>
      <c r="M400" s="318"/>
      <c r="N400" s="318"/>
      <c r="O400" s="324"/>
      <c r="P400" s="317"/>
      <c r="Q400" s="318"/>
      <c r="R400" s="321"/>
    </row>
    <row r="401" spans="3:18" ht="9.75" customHeight="1">
      <c r="C401" s="277"/>
      <c r="D401" s="278" t="s">
        <v>38</v>
      </c>
      <c r="E401" s="278"/>
      <c r="F401" s="279"/>
      <c r="G401" s="280"/>
      <c r="H401" s="280"/>
      <c r="I401" s="280"/>
      <c r="J401" s="280"/>
      <c r="K401" s="280"/>
      <c r="L401" s="280"/>
      <c r="M401" s="280"/>
      <c r="N401" s="280"/>
      <c r="O401" s="281"/>
      <c r="P401" s="279"/>
      <c r="Q401" s="280"/>
      <c r="R401" s="282"/>
    </row>
    <row r="402" spans="3:18" ht="9.75" customHeight="1">
      <c r="C402" s="43" t="s">
        <v>166</v>
      </c>
      <c r="D402" s="43" t="s">
        <v>23</v>
      </c>
      <c r="E402" s="43"/>
      <c r="F402" s="116"/>
      <c r="G402" s="128"/>
      <c r="H402" s="128"/>
      <c r="I402" s="128"/>
      <c r="J402" s="128"/>
      <c r="K402" s="128"/>
      <c r="L402" s="128"/>
      <c r="M402" s="128"/>
      <c r="N402" s="128"/>
      <c r="O402" s="129"/>
      <c r="P402" s="116"/>
      <c r="Q402" s="128"/>
      <c r="R402" s="141"/>
    </row>
    <row r="403" spans="3:18" ht="9.75" customHeight="1">
      <c r="C403" s="13"/>
      <c r="D403" s="13" t="s">
        <v>25</v>
      </c>
      <c r="E403" s="13"/>
      <c r="F403" s="109"/>
      <c r="G403" s="504"/>
      <c r="H403" s="504"/>
      <c r="I403" s="504"/>
      <c r="J403" s="504"/>
      <c r="K403" s="504"/>
      <c r="L403" s="504"/>
      <c r="M403" s="504"/>
      <c r="N403" s="504"/>
      <c r="O403" s="110"/>
      <c r="P403" s="109"/>
      <c r="Q403" s="504"/>
      <c r="R403" s="107"/>
    </row>
    <row r="404" spans="3:18" ht="9.75" customHeight="1">
      <c r="C404" s="13"/>
      <c r="D404" s="13" t="s">
        <v>27</v>
      </c>
      <c r="E404" s="13"/>
      <c r="F404" s="109"/>
      <c r="G404" s="504"/>
      <c r="H404" s="504"/>
      <c r="I404" s="504"/>
      <c r="J404" s="504"/>
      <c r="K404" s="504"/>
      <c r="L404" s="504"/>
      <c r="M404" s="504"/>
      <c r="N404" s="504"/>
      <c r="O404" s="110"/>
      <c r="P404" s="109"/>
      <c r="Q404" s="504"/>
      <c r="R404" s="107"/>
    </row>
    <row r="405" spans="3:18" ht="9.75" customHeight="1">
      <c r="C405" s="13"/>
      <c r="D405" s="13" t="s">
        <v>115</v>
      </c>
      <c r="E405" s="13"/>
      <c r="F405" s="109"/>
      <c r="G405" s="504"/>
      <c r="H405" s="504"/>
      <c r="I405" s="504"/>
      <c r="J405" s="504"/>
      <c r="K405" s="504"/>
      <c r="L405" s="504"/>
      <c r="M405" s="504"/>
      <c r="N405" s="504"/>
      <c r="O405" s="110"/>
      <c r="P405" s="109"/>
      <c r="Q405" s="504"/>
      <c r="R405" s="107"/>
    </row>
    <row r="406" spans="3:18" ht="9.75" customHeight="1">
      <c r="C406" s="13"/>
      <c r="D406" s="13" t="s">
        <v>115</v>
      </c>
      <c r="E406" s="13"/>
      <c r="F406" s="109"/>
      <c r="G406" s="504"/>
      <c r="H406" s="504"/>
      <c r="I406" s="504"/>
      <c r="J406" s="504"/>
      <c r="K406" s="504"/>
      <c r="L406" s="504"/>
      <c r="M406" s="504"/>
      <c r="N406" s="504"/>
      <c r="O406" s="110"/>
      <c r="P406" s="109"/>
      <c r="Q406" s="504"/>
      <c r="R406" s="107"/>
    </row>
    <row r="407" spans="3:18" ht="9.75" customHeight="1">
      <c r="C407" s="13"/>
      <c r="D407" s="13" t="s">
        <v>32</v>
      </c>
      <c r="E407" s="13">
        <v>1</v>
      </c>
      <c r="F407" s="192">
        <v>1</v>
      </c>
      <c r="G407" s="193">
        <v>1</v>
      </c>
      <c r="H407" s="193">
        <v>1</v>
      </c>
      <c r="I407" s="193">
        <v>1</v>
      </c>
      <c r="J407" s="193">
        <v>1</v>
      </c>
      <c r="K407" s="504">
        <v>1</v>
      </c>
      <c r="L407" s="504">
        <v>1</v>
      </c>
      <c r="M407" s="504">
        <v>1</v>
      </c>
      <c r="N407" s="504">
        <v>1</v>
      </c>
      <c r="O407" s="110">
        <v>1</v>
      </c>
      <c r="P407" s="109">
        <f t="shared" ref="P407" si="51">MIN(F407:O407)</f>
        <v>1</v>
      </c>
      <c r="Q407" s="504">
        <f t="shared" ref="Q407" si="52">E407-P407</f>
        <v>0</v>
      </c>
      <c r="R407" s="107">
        <f t="shared" ref="R407" si="53">Q407/E407</f>
        <v>0</v>
      </c>
    </row>
    <row r="408" spans="3:18" ht="9.75" customHeight="1">
      <c r="C408" s="13"/>
      <c r="D408" s="13" t="s">
        <v>120</v>
      </c>
      <c r="E408" s="13"/>
      <c r="F408" s="109"/>
      <c r="G408" s="504"/>
      <c r="H408" s="504"/>
      <c r="I408" s="504"/>
      <c r="J408" s="504"/>
      <c r="K408" s="504"/>
      <c r="L408" s="504"/>
      <c r="M408" s="504"/>
      <c r="N408" s="504"/>
      <c r="O408" s="110"/>
      <c r="P408" s="109"/>
      <c r="Q408" s="504"/>
      <c r="R408" s="107"/>
    </row>
    <row r="409" spans="3:18" ht="9.75" customHeight="1">
      <c r="C409" s="13"/>
      <c r="D409" s="13" t="s">
        <v>120</v>
      </c>
      <c r="E409" s="13"/>
      <c r="F409" s="109"/>
      <c r="G409" s="504"/>
      <c r="H409" s="504"/>
      <c r="I409" s="504"/>
      <c r="J409" s="504"/>
      <c r="K409" s="504"/>
      <c r="L409" s="504"/>
      <c r="M409" s="504"/>
      <c r="N409" s="504"/>
      <c r="O409" s="110"/>
      <c r="P409" s="109"/>
      <c r="Q409" s="504"/>
      <c r="R409" s="107"/>
    </row>
    <row r="410" spans="3:18" ht="9.75" customHeight="1">
      <c r="C410" s="13"/>
      <c r="D410" s="13" t="s">
        <v>120</v>
      </c>
      <c r="E410" s="13"/>
      <c r="F410" s="109"/>
      <c r="G410" s="504"/>
      <c r="H410" s="504"/>
      <c r="I410" s="504"/>
      <c r="J410" s="504"/>
      <c r="K410" s="504"/>
      <c r="L410" s="504"/>
      <c r="M410" s="504"/>
      <c r="N410" s="504"/>
      <c r="O410" s="110"/>
      <c r="P410" s="109"/>
      <c r="Q410" s="504"/>
      <c r="R410" s="107"/>
    </row>
    <row r="411" spans="3:18" ht="9.75" customHeight="1">
      <c r="C411" s="13"/>
      <c r="D411" s="13" t="s">
        <v>120</v>
      </c>
      <c r="E411" s="13"/>
      <c r="F411" s="109"/>
      <c r="G411" s="504"/>
      <c r="H411" s="504"/>
      <c r="I411" s="504"/>
      <c r="J411" s="504"/>
      <c r="K411" s="504"/>
      <c r="L411" s="504"/>
      <c r="M411" s="504"/>
      <c r="N411" s="504"/>
      <c r="O411" s="110"/>
      <c r="P411" s="109"/>
      <c r="Q411" s="504"/>
      <c r="R411" s="107"/>
    </row>
    <row r="412" spans="3:18" ht="9.75" customHeight="1">
      <c r="C412" s="13"/>
      <c r="D412" s="13" t="s">
        <v>120</v>
      </c>
      <c r="E412" s="13"/>
      <c r="F412" s="109"/>
      <c r="G412" s="504"/>
      <c r="H412" s="504"/>
      <c r="I412" s="504"/>
      <c r="J412" s="504"/>
      <c r="K412" s="504"/>
      <c r="L412" s="504"/>
      <c r="M412" s="504"/>
      <c r="N412" s="504"/>
      <c r="O412" s="110"/>
      <c r="P412" s="109"/>
      <c r="Q412" s="504"/>
      <c r="R412" s="107"/>
    </row>
    <row r="413" spans="3:18" ht="9.75" customHeight="1">
      <c r="C413" s="13"/>
      <c r="D413" s="13" t="s">
        <v>120</v>
      </c>
      <c r="E413" s="13"/>
      <c r="F413" s="109"/>
      <c r="G413" s="504"/>
      <c r="H413" s="504"/>
      <c r="I413" s="504"/>
      <c r="J413" s="504"/>
      <c r="K413" s="504"/>
      <c r="L413" s="504"/>
      <c r="M413" s="504"/>
      <c r="N413" s="504"/>
      <c r="O413" s="110"/>
      <c r="P413" s="109"/>
      <c r="Q413" s="504"/>
      <c r="R413" s="107"/>
    </row>
    <row r="414" spans="3:18" ht="9.75" customHeight="1">
      <c r="C414" s="13"/>
      <c r="D414" s="13" t="s">
        <v>34</v>
      </c>
      <c r="E414" s="13"/>
      <c r="F414" s="109"/>
      <c r="G414" s="504"/>
      <c r="H414" s="504"/>
      <c r="I414" s="504"/>
      <c r="J414" s="504"/>
      <c r="K414" s="504"/>
      <c r="L414" s="504"/>
      <c r="M414" s="504"/>
      <c r="N414" s="504"/>
      <c r="O414" s="110"/>
      <c r="P414" s="109"/>
      <c r="Q414" s="504"/>
      <c r="R414" s="107"/>
    </row>
    <row r="415" spans="3:18" ht="9.75" customHeight="1">
      <c r="C415" s="13"/>
      <c r="D415" s="13" t="s">
        <v>35</v>
      </c>
      <c r="E415" s="13"/>
      <c r="F415" s="109"/>
      <c r="G415" s="504"/>
      <c r="H415" s="504"/>
      <c r="I415" s="504"/>
      <c r="J415" s="504"/>
      <c r="K415" s="32"/>
      <c r="L415" s="32"/>
      <c r="M415" s="32"/>
      <c r="N415" s="32"/>
      <c r="O415" s="142"/>
      <c r="P415" s="109"/>
      <c r="Q415" s="504"/>
      <c r="R415" s="107"/>
    </row>
    <row r="416" spans="3:18" ht="9.75" customHeight="1">
      <c r="C416" s="13"/>
      <c r="D416" s="13" t="s">
        <v>36</v>
      </c>
      <c r="E416" s="13">
        <v>2</v>
      </c>
      <c r="F416" s="192">
        <v>2</v>
      </c>
      <c r="G416" s="193">
        <v>2</v>
      </c>
      <c r="H416" s="193">
        <v>2</v>
      </c>
      <c r="I416" s="193">
        <v>0</v>
      </c>
      <c r="J416" s="193">
        <v>0</v>
      </c>
      <c r="K416" s="194">
        <v>0</v>
      </c>
      <c r="L416" s="194">
        <v>0</v>
      </c>
      <c r="M416" s="194">
        <v>0</v>
      </c>
      <c r="N416" s="194">
        <v>0</v>
      </c>
      <c r="O416" s="195">
        <v>0</v>
      </c>
      <c r="P416" s="109">
        <f t="shared" ref="P416:P418" si="54">MIN(F416:O416)</f>
        <v>0</v>
      </c>
      <c r="Q416" s="504">
        <f t="shared" ref="Q416:Q418" si="55">E416-P416</f>
        <v>2</v>
      </c>
      <c r="R416" s="107">
        <f t="shared" ref="R416:R418" si="56">Q416/E416</f>
        <v>1</v>
      </c>
    </row>
    <row r="417" spans="2:18" ht="9.75" customHeight="1">
      <c r="B417" s="503"/>
      <c r="C417" s="13"/>
      <c r="D417" s="13" t="s">
        <v>37</v>
      </c>
      <c r="E417" s="13"/>
      <c r="F417" s="192"/>
      <c r="G417" s="193"/>
      <c r="H417" s="193"/>
      <c r="I417" s="193"/>
      <c r="J417" s="193"/>
      <c r="K417" s="196"/>
      <c r="L417" s="196"/>
      <c r="M417" s="196"/>
      <c r="N417" s="196"/>
      <c r="O417" s="197"/>
      <c r="P417" s="109"/>
      <c r="Q417" s="504"/>
      <c r="R417" s="107"/>
    </row>
    <row r="418" spans="2:18" ht="9.75" customHeight="1">
      <c r="B418" s="503" t="s">
        <v>127</v>
      </c>
      <c r="C418" s="2"/>
      <c r="D418" s="3" t="s">
        <v>38</v>
      </c>
      <c r="E418" s="3">
        <f t="shared" ref="E418:O418" si="57">SUM(E402:E417)</f>
        <v>3</v>
      </c>
      <c r="F418" s="21">
        <f t="shared" si="57"/>
        <v>3</v>
      </c>
      <c r="G418" s="71">
        <f t="shared" si="57"/>
        <v>3</v>
      </c>
      <c r="H418" s="71">
        <f t="shared" si="57"/>
        <v>3</v>
      </c>
      <c r="I418" s="71">
        <f t="shared" si="57"/>
        <v>1</v>
      </c>
      <c r="J418" s="71">
        <f t="shared" si="57"/>
        <v>1</v>
      </c>
      <c r="K418" s="71">
        <f t="shared" si="57"/>
        <v>1</v>
      </c>
      <c r="L418" s="71">
        <f t="shared" si="57"/>
        <v>1</v>
      </c>
      <c r="M418" s="71">
        <f t="shared" si="57"/>
        <v>1</v>
      </c>
      <c r="N418" s="71">
        <f t="shared" si="57"/>
        <v>1</v>
      </c>
      <c r="O418" s="26">
        <f t="shared" si="57"/>
        <v>1</v>
      </c>
      <c r="P418" s="21">
        <f t="shared" si="54"/>
        <v>1</v>
      </c>
      <c r="Q418" s="71">
        <f t="shared" si="55"/>
        <v>2</v>
      </c>
      <c r="R418" s="7">
        <f t="shared" si="56"/>
        <v>0.66666666666666663</v>
      </c>
    </row>
    <row r="419" spans="2:18" ht="9.75" customHeight="1">
      <c r="B419" s="503"/>
      <c r="C419" s="43" t="s">
        <v>167</v>
      </c>
      <c r="D419" s="43" t="s">
        <v>23</v>
      </c>
      <c r="E419" s="43"/>
      <c r="F419" s="116"/>
      <c r="G419" s="128"/>
      <c r="H419" s="128"/>
      <c r="I419" s="128"/>
      <c r="J419" s="128"/>
      <c r="K419" s="128"/>
      <c r="L419" s="128"/>
      <c r="M419" s="128"/>
      <c r="N419" s="128"/>
      <c r="O419" s="129"/>
      <c r="P419" s="116"/>
      <c r="Q419" s="128"/>
      <c r="R419" s="141"/>
    </row>
    <row r="420" spans="2:18" ht="9.75" customHeight="1">
      <c r="B420" s="503"/>
      <c r="C420" s="13"/>
      <c r="D420" s="13" t="s">
        <v>25</v>
      </c>
      <c r="E420" s="13"/>
      <c r="F420" s="109"/>
      <c r="G420" s="504"/>
      <c r="H420" s="504"/>
      <c r="I420" s="504"/>
      <c r="J420" s="504"/>
      <c r="K420" s="504"/>
      <c r="L420" s="504"/>
      <c r="M420" s="504"/>
      <c r="N420" s="504"/>
      <c r="O420" s="110"/>
      <c r="P420" s="109"/>
      <c r="Q420" s="504"/>
      <c r="R420" s="107"/>
    </row>
    <row r="421" spans="2:18" ht="9.75" customHeight="1">
      <c r="B421" s="503"/>
      <c r="C421" s="13"/>
      <c r="D421" s="13" t="s">
        <v>27</v>
      </c>
      <c r="E421" s="13"/>
      <c r="F421" s="109"/>
      <c r="G421" s="504"/>
      <c r="H421" s="504"/>
      <c r="I421" s="504"/>
      <c r="J421" s="504"/>
      <c r="K421" s="504"/>
      <c r="L421" s="504"/>
      <c r="M421" s="504"/>
      <c r="N421" s="504"/>
      <c r="O421" s="110"/>
      <c r="P421" s="109"/>
      <c r="Q421" s="504"/>
      <c r="R421" s="107"/>
    </row>
    <row r="422" spans="2:18" ht="9.75" customHeight="1">
      <c r="B422" s="503"/>
      <c r="C422" s="13"/>
      <c r="D422" s="13" t="s">
        <v>115</v>
      </c>
      <c r="E422" s="13"/>
      <c r="F422" s="109"/>
      <c r="G422" s="504"/>
      <c r="H422" s="504"/>
      <c r="I422" s="504"/>
      <c r="J422" s="504"/>
      <c r="K422" s="504"/>
      <c r="L422" s="504"/>
      <c r="M422" s="504"/>
      <c r="N422" s="504"/>
      <c r="O422" s="110"/>
      <c r="P422" s="109"/>
      <c r="Q422" s="504"/>
      <c r="R422" s="107"/>
    </row>
    <row r="423" spans="2:18" ht="9.75" customHeight="1">
      <c r="B423" s="503"/>
      <c r="C423" s="13"/>
      <c r="D423" s="13" t="s">
        <v>115</v>
      </c>
      <c r="E423" s="13"/>
      <c r="F423" s="109"/>
      <c r="G423" s="504"/>
      <c r="H423" s="504"/>
      <c r="I423" s="504"/>
      <c r="J423" s="504"/>
      <c r="K423" s="504"/>
      <c r="L423" s="504"/>
      <c r="M423" s="504"/>
      <c r="N423" s="504"/>
      <c r="O423" s="110"/>
      <c r="P423" s="109"/>
      <c r="Q423" s="504"/>
      <c r="R423" s="107"/>
    </row>
    <row r="424" spans="2:18" ht="9.75" customHeight="1">
      <c r="B424" s="503"/>
      <c r="C424" s="13"/>
      <c r="D424" s="13" t="s">
        <v>32</v>
      </c>
      <c r="E424" s="13"/>
      <c r="F424" s="109"/>
      <c r="G424" s="504"/>
      <c r="H424" s="504"/>
      <c r="I424" s="504"/>
      <c r="J424" s="504"/>
      <c r="K424" s="504"/>
      <c r="L424" s="504"/>
      <c r="M424" s="504"/>
      <c r="N424" s="504"/>
      <c r="O424" s="110"/>
      <c r="P424" s="109"/>
      <c r="Q424" s="504"/>
      <c r="R424" s="107"/>
    </row>
    <row r="425" spans="2:18" ht="9.75" customHeight="1">
      <c r="B425" s="503"/>
      <c r="C425" s="13"/>
      <c r="D425" s="13" t="s">
        <v>120</v>
      </c>
      <c r="E425" s="13"/>
      <c r="F425" s="109"/>
      <c r="G425" s="504"/>
      <c r="H425" s="504"/>
      <c r="I425" s="504"/>
      <c r="J425" s="504"/>
      <c r="K425" s="504"/>
      <c r="L425" s="504"/>
      <c r="M425" s="504"/>
      <c r="N425" s="504"/>
      <c r="O425" s="110"/>
      <c r="P425" s="109"/>
      <c r="Q425" s="504"/>
      <c r="R425" s="107"/>
    </row>
    <row r="426" spans="2:18" ht="9.75" customHeight="1">
      <c r="B426" s="503"/>
      <c r="C426" s="13"/>
      <c r="D426" s="13" t="s">
        <v>120</v>
      </c>
      <c r="E426" s="13"/>
      <c r="F426" s="109"/>
      <c r="G426" s="504"/>
      <c r="H426" s="504"/>
      <c r="I426" s="504"/>
      <c r="J426" s="504"/>
      <c r="K426" s="504"/>
      <c r="L426" s="504"/>
      <c r="M426" s="504"/>
      <c r="N426" s="504"/>
      <c r="O426" s="110"/>
      <c r="P426" s="109"/>
      <c r="Q426" s="504"/>
      <c r="R426" s="107"/>
    </row>
    <row r="427" spans="2:18" ht="9.75" customHeight="1">
      <c r="B427" s="503"/>
      <c r="C427" s="13"/>
      <c r="D427" s="13" t="s">
        <v>120</v>
      </c>
      <c r="E427" s="13"/>
      <c r="F427" s="109"/>
      <c r="G427" s="504"/>
      <c r="H427" s="504"/>
      <c r="I427" s="504"/>
      <c r="J427" s="504"/>
      <c r="K427" s="504"/>
      <c r="L427" s="504"/>
      <c r="M427" s="504"/>
      <c r="N427" s="504"/>
      <c r="O427" s="110"/>
      <c r="P427" s="109"/>
      <c r="Q427" s="504"/>
      <c r="R427" s="107"/>
    </row>
    <row r="428" spans="2:18" ht="9.75" customHeight="1">
      <c r="B428" s="503"/>
      <c r="C428" s="13"/>
      <c r="D428" s="13" t="s">
        <v>120</v>
      </c>
      <c r="E428" s="13"/>
      <c r="F428" s="109"/>
      <c r="G428" s="504"/>
      <c r="H428" s="504"/>
      <c r="I428" s="504"/>
      <c r="J428" s="504"/>
      <c r="K428" s="504"/>
      <c r="L428" s="504"/>
      <c r="M428" s="504"/>
      <c r="N428" s="504"/>
      <c r="O428" s="110"/>
      <c r="P428" s="109"/>
      <c r="Q428" s="504"/>
      <c r="R428" s="107"/>
    </row>
    <row r="429" spans="2:18" ht="9.75" customHeight="1">
      <c r="B429" s="503"/>
      <c r="C429" s="13"/>
      <c r="D429" s="13" t="s">
        <v>120</v>
      </c>
      <c r="E429" s="13"/>
      <c r="F429" s="109"/>
      <c r="G429" s="504"/>
      <c r="H429" s="504"/>
      <c r="I429" s="504"/>
      <c r="J429" s="504"/>
      <c r="K429" s="504"/>
      <c r="L429" s="504"/>
      <c r="M429" s="504"/>
      <c r="N429" s="504"/>
      <c r="O429" s="110"/>
      <c r="P429" s="109"/>
      <c r="Q429" s="504"/>
      <c r="R429" s="107"/>
    </row>
    <row r="430" spans="2:18" ht="9.75" customHeight="1">
      <c r="B430" s="503"/>
      <c r="C430" s="13"/>
      <c r="D430" s="13" t="s">
        <v>120</v>
      </c>
      <c r="E430" s="13"/>
      <c r="F430" s="192"/>
      <c r="G430" s="193"/>
      <c r="H430" s="193"/>
      <c r="I430" s="193"/>
      <c r="J430" s="193"/>
      <c r="K430" s="193"/>
      <c r="L430" s="193"/>
      <c r="M430" s="193"/>
      <c r="N430" s="193"/>
      <c r="O430" s="198"/>
      <c r="P430" s="109"/>
      <c r="Q430" s="504"/>
      <c r="R430" s="107"/>
    </row>
    <row r="431" spans="2:18" ht="9.75" customHeight="1">
      <c r="B431" s="503"/>
      <c r="C431" s="13"/>
      <c r="D431" s="13" t="s">
        <v>34</v>
      </c>
      <c r="E431" s="13">
        <v>2</v>
      </c>
      <c r="F431" s="192">
        <v>2</v>
      </c>
      <c r="G431" s="193">
        <v>2</v>
      </c>
      <c r="H431" s="193">
        <v>2</v>
      </c>
      <c r="I431" s="193">
        <v>2</v>
      </c>
      <c r="J431" s="193">
        <v>2</v>
      </c>
      <c r="K431" s="194">
        <v>2</v>
      </c>
      <c r="L431" s="194">
        <v>2</v>
      </c>
      <c r="M431" s="194">
        <v>2</v>
      </c>
      <c r="N431" s="194">
        <v>2</v>
      </c>
      <c r="O431" s="195">
        <v>2</v>
      </c>
      <c r="P431" s="109">
        <f t="shared" ref="P431:P433" si="58">MIN(F431:O431)</f>
        <v>2</v>
      </c>
      <c r="Q431" s="504">
        <f t="shared" ref="Q431:Q433" si="59">E431-P431</f>
        <v>0</v>
      </c>
      <c r="R431" s="107">
        <f t="shared" ref="R431:R433" si="60">Q431/E431</f>
        <v>0</v>
      </c>
    </row>
    <row r="432" spans="2:18" ht="9.75" customHeight="1">
      <c r="B432" s="503"/>
      <c r="C432" s="13"/>
      <c r="D432" s="13" t="s">
        <v>35</v>
      </c>
      <c r="E432" s="13">
        <v>4</v>
      </c>
      <c r="F432" s="192">
        <v>3</v>
      </c>
      <c r="G432" s="193">
        <v>2</v>
      </c>
      <c r="H432" s="193">
        <v>2</v>
      </c>
      <c r="I432" s="193">
        <v>2</v>
      </c>
      <c r="J432" s="193">
        <v>2</v>
      </c>
      <c r="K432" s="194">
        <v>2</v>
      </c>
      <c r="L432" s="194">
        <v>2</v>
      </c>
      <c r="M432" s="194">
        <v>2</v>
      </c>
      <c r="N432" s="194">
        <v>2</v>
      </c>
      <c r="O432" s="195">
        <v>2</v>
      </c>
      <c r="P432" s="109">
        <f t="shared" si="58"/>
        <v>2</v>
      </c>
      <c r="Q432" s="504">
        <f t="shared" si="59"/>
        <v>2</v>
      </c>
      <c r="R432" s="107">
        <f t="shared" si="60"/>
        <v>0.5</v>
      </c>
    </row>
    <row r="433" spans="2:18" ht="9.75" customHeight="1">
      <c r="B433" s="503"/>
      <c r="C433" s="13"/>
      <c r="D433" s="13" t="s">
        <v>36</v>
      </c>
      <c r="E433" s="13">
        <v>11</v>
      </c>
      <c r="F433" s="192">
        <v>9</v>
      </c>
      <c r="G433" s="193">
        <v>9</v>
      </c>
      <c r="H433" s="193">
        <v>9</v>
      </c>
      <c r="I433" s="193">
        <v>11</v>
      </c>
      <c r="J433" s="193">
        <v>10</v>
      </c>
      <c r="K433" s="194">
        <v>11</v>
      </c>
      <c r="L433" s="194">
        <v>9</v>
      </c>
      <c r="M433" s="194">
        <v>9</v>
      </c>
      <c r="N433" s="194">
        <v>9</v>
      </c>
      <c r="O433" s="195">
        <v>9</v>
      </c>
      <c r="P433" s="109">
        <f t="shared" si="58"/>
        <v>9</v>
      </c>
      <c r="Q433" s="504">
        <f t="shared" si="59"/>
        <v>2</v>
      </c>
      <c r="R433" s="107">
        <f t="shared" si="60"/>
        <v>0.18181818181818182</v>
      </c>
    </row>
    <row r="434" spans="2:18" ht="9.75" customHeight="1">
      <c r="B434" s="503"/>
      <c r="C434" s="13"/>
      <c r="D434" s="13" t="s">
        <v>37</v>
      </c>
      <c r="E434" s="13"/>
      <c r="F434" s="192"/>
      <c r="G434" s="193"/>
      <c r="H434" s="193"/>
      <c r="I434" s="193"/>
      <c r="J434" s="193"/>
      <c r="K434" s="193"/>
      <c r="L434" s="193"/>
      <c r="M434" s="193"/>
      <c r="N434" s="193"/>
      <c r="O434" s="198"/>
      <c r="P434" s="109"/>
      <c r="Q434" s="504"/>
      <c r="R434" s="107"/>
    </row>
    <row r="435" spans="2:18" ht="9.75" customHeight="1">
      <c r="B435" s="503" t="s">
        <v>127</v>
      </c>
      <c r="C435" s="2"/>
      <c r="D435" s="3" t="s">
        <v>38</v>
      </c>
      <c r="E435" s="3">
        <f t="shared" ref="E435:O435" si="61">SUM(E419:E434)</f>
        <v>17</v>
      </c>
      <c r="F435" s="21">
        <f t="shared" si="61"/>
        <v>14</v>
      </c>
      <c r="G435" s="71">
        <f t="shared" si="61"/>
        <v>13</v>
      </c>
      <c r="H435" s="71">
        <f t="shared" si="61"/>
        <v>13</v>
      </c>
      <c r="I435" s="71">
        <f t="shared" si="61"/>
        <v>15</v>
      </c>
      <c r="J435" s="71">
        <f t="shared" si="61"/>
        <v>14</v>
      </c>
      <c r="K435" s="71">
        <f t="shared" si="61"/>
        <v>15</v>
      </c>
      <c r="L435" s="71">
        <f t="shared" si="61"/>
        <v>13</v>
      </c>
      <c r="M435" s="71">
        <f t="shared" si="61"/>
        <v>13</v>
      </c>
      <c r="N435" s="71">
        <f t="shared" si="61"/>
        <v>13</v>
      </c>
      <c r="O435" s="26">
        <f t="shared" si="61"/>
        <v>13</v>
      </c>
      <c r="P435" s="21">
        <f>MIN(F435:O435)</f>
        <v>13</v>
      </c>
      <c r="Q435" s="71">
        <f>E435-P435</f>
        <v>4</v>
      </c>
      <c r="R435" s="7">
        <f>Q435/E435</f>
        <v>0.23529411764705882</v>
      </c>
    </row>
    <row r="436" spans="2:18" ht="9.75" customHeight="1">
      <c r="B436" s="503"/>
      <c r="C436" s="43" t="s">
        <v>168</v>
      </c>
      <c r="D436" s="43" t="s">
        <v>23</v>
      </c>
      <c r="E436" s="43"/>
      <c r="F436" s="116"/>
      <c r="G436" s="128"/>
      <c r="H436" s="128"/>
      <c r="I436" s="128"/>
      <c r="J436" s="128"/>
      <c r="K436" s="128"/>
      <c r="L436" s="128"/>
      <c r="M436" s="128"/>
      <c r="N436" s="128"/>
      <c r="O436" s="129"/>
      <c r="P436" s="116"/>
      <c r="Q436" s="128"/>
      <c r="R436" s="141"/>
    </row>
    <row r="437" spans="2:18" ht="9.75" customHeight="1">
      <c r="B437" s="503"/>
      <c r="C437" s="13"/>
      <c r="D437" s="13" t="s">
        <v>25</v>
      </c>
      <c r="E437" s="13"/>
      <c r="F437" s="109"/>
      <c r="G437" s="504"/>
      <c r="H437" s="504"/>
      <c r="I437" s="504"/>
      <c r="J437" s="504"/>
      <c r="K437" s="504"/>
      <c r="L437" s="504"/>
      <c r="M437" s="504"/>
      <c r="N437" s="504"/>
      <c r="O437" s="110"/>
      <c r="P437" s="109"/>
      <c r="Q437" s="504"/>
      <c r="R437" s="107"/>
    </row>
    <row r="438" spans="2:18" ht="9.75" customHeight="1">
      <c r="B438" s="503"/>
      <c r="C438" s="13"/>
      <c r="D438" s="13" t="s">
        <v>27</v>
      </c>
      <c r="E438" s="13"/>
      <c r="F438" s="109"/>
      <c r="G438" s="504"/>
      <c r="H438" s="504"/>
      <c r="I438" s="504"/>
      <c r="J438" s="504"/>
      <c r="K438" s="504"/>
      <c r="L438" s="504"/>
      <c r="M438" s="504"/>
      <c r="N438" s="504"/>
      <c r="O438" s="110"/>
      <c r="P438" s="109"/>
      <c r="Q438" s="504"/>
      <c r="R438" s="107"/>
    </row>
    <row r="439" spans="2:18" ht="9.75" customHeight="1">
      <c r="B439" s="503"/>
      <c r="C439" s="13"/>
      <c r="D439" s="13" t="s">
        <v>115</v>
      </c>
      <c r="E439" s="13"/>
      <c r="F439" s="109"/>
      <c r="G439" s="504"/>
      <c r="H439" s="504"/>
      <c r="I439" s="504"/>
      <c r="J439" s="504"/>
      <c r="K439" s="504"/>
      <c r="L439" s="504"/>
      <c r="M439" s="504"/>
      <c r="N439" s="504"/>
      <c r="O439" s="110"/>
      <c r="P439" s="109"/>
      <c r="Q439" s="504"/>
      <c r="R439" s="107"/>
    </row>
    <row r="440" spans="2:18" ht="9.75" customHeight="1">
      <c r="B440" s="503"/>
      <c r="C440" s="13"/>
      <c r="D440" s="13" t="s">
        <v>115</v>
      </c>
      <c r="E440" s="13"/>
      <c r="F440" s="109"/>
      <c r="G440" s="504"/>
      <c r="H440" s="504"/>
      <c r="I440" s="504"/>
      <c r="J440" s="504"/>
      <c r="K440" s="504"/>
      <c r="L440" s="504"/>
      <c r="M440" s="504"/>
      <c r="N440" s="504"/>
      <c r="O440" s="110"/>
      <c r="P440" s="109"/>
      <c r="Q440" s="504"/>
      <c r="R440" s="107"/>
    </row>
    <row r="441" spans="2:18" ht="9.75" customHeight="1">
      <c r="B441" s="503"/>
      <c r="C441" s="13"/>
      <c r="D441" s="13" t="s">
        <v>32</v>
      </c>
      <c r="E441" s="13"/>
      <c r="F441" s="109"/>
      <c r="G441" s="504"/>
      <c r="H441" s="504"/>
      <c r="I441" s="504"/>
      <c r="J441" s="504"/>
      <c r="K441" s="504"/>
      <c r="L441" s="504"/>
      <c r="M441" s="504"/>
      <c r="N441" s="504"/>
      <c r="O441" s="110"/>
      <c r="P441" s="109"/>
      <c r="Q441" s="504"/>
      <c r="R441" s="107"/>
    </row>
    <row r="442" spans="2:18" ht="9.75" customHeight="1">
      <c r="B442" s="503"/>
      <c r="C442" s="13"/>
      <c r="D442" s="13" t="s">
        <v>120</v>
      </c>
      <c r="E442" s="13"/>
      <c r="F442" s="109"/>
      <c r="G442" s="504"/>
      <c r="H442" s="504"/>
      <c r="I442" s="504"/>
      <c r="J442" s="504"/>
      <c r="K442" s="504"/>
      <c r="L442" s="504"/>
      <c r="M442" s="504"/>
      <c r="N442" s="504"/>
      <c r="O442" s="110"/>
      <c r="P442" s="109"/>
      <c r="Q442" s="504"/>
      <c r="R442" s="107"/>
    </row>
    <row r="443" spans="2:18" ht="9.75" customHeight="1">
      <c r="B443" s="503"/>
      <c r="C443" s="13"/>
      <c r="D443" s="13" t="s">
        <v>120</v>
      </c>
      <c r="E443" s="13"/>
      <c r="F443" s="109"/>
      <c r="G443" s="504"/>
      <c r="H443" s="504"/>
      <c r="I443" s="504"/>
      <c r="J443" s="504"/>
      <c r="K443" s="504"/>
      <c r="L443" s="504"/>
      <c r="M443" s="504"/>
      <c r="N443" s="504"/>
      <c r="O443" s="110"/>
      <c r="P443" s="109"/>
      <c r="Q443" s="504"/>
      <c r="R443" s="107"/>
    </row>
    <row r="444" spans="2:18" ht="9.75" customHeight="1">
      <c r="B444" s="503"/>
      <c r="C444" s="13"/>
      <c r="D444" s="13" t="s">
        <v>120</v>
      </c>
      <c r="E444" s="13"/>
      <c r="F444" s="109"/>
      <c r="G444" s="504"/>
      <c r="H444" s="504"/>
      <c r="I444" s="504"/>
      <c r="J444" s="504"/>
      <c r="K444" s="504"/>
      <c r="L444" s="504"/>
      <c r="M444" s="504"/>
      <c r="N444" s="504"/>
      <c r="O444" s="110"/>
      <c r="P444" s="109"/>
      <c r="Q444" s="504"/>
      <c r="R444" s="107"/>
    </row>
    <row r="445" spans="2:18" ht="9.75" customHeight="1">
      <c r="B445" s="503"/>
      <c r="C445" s="13"/>
      <c r="D445" s="13" t="s">
        <v>120</v>
      </c>
      <c r="E445" s="13"/>
      <c r="F445" s="109"/>
      <c r="G445" s="504"/>
      <c r="H445" s="504"/>
      <c r="I445" s="504"/>
      <c r="J445" s="504"/>
      <c r="K445" s="504"/>
      <c r="L445" s="504"/>
      <c r="M445" s="504"/>
      <c r="N445" s="504"/>
      <c r="O445" s="110"/>
      <c r="P445" s="109"/>
      <c r="Q445" s="504"/>
      <c r="R445" s="107"/>
    </row>
    <row r="446" spans="2:18" ht="9.75" customHeight="1">
      <c r="B446" s="503"/>
      <c r="C446" s="13"/>
      <c r="D446" s="13" t="s">
        <v>120</v>
      </c>
      <c r="E446" s="13"/>
      <c r="F446" s="109"/>
      <c r="G446" s="504"/>
      <c r="H446" s="504"/>
      <c r="I446" s="504"/>
      <c r="J446" s="504"/>
      <c r="K446" s="504"/>
      <c r="L446" s="504"/>
      <c r="M446" s="504"/>
      <c r="N446" s="504"/>
      <c r="O446" s="110"/>
      <c r="P446" s="109"/>
      <c r="Q446" s="504"/>
      <c r="R446" s="107"/>
    </row>
    <row r="447" spans="2:18" ht="9.75" customHeight="1">
      <c r="B447" s="503"/>
      <c r="C447" s="13"/>
      <c r="D447" s="13" t="s">
        <v>120</v>
      </c>
      <c r="E447" s="13"/>
      <c r="F447" s="109"/>
      <c r="G447" s="504"/>
      <c r="H447" s="504"/>
      <c r="I447" s="504"/>
      <c r="J447" s="504"/>
      <c r="K447" s="504"/>
      <c r="L447" s="504"/>
      <c r="M447" s="504"/>
      <c r="N447" s="504"/>
      <c r="O447" s="110"/>
      <c r="P447" s="109"/>
      <c r="Q447" s="504"/>
      <c r="R447" s="107"/>
    </row>
    <row r="448" spans="2:18" ht="9.75" customHeight="1">
      <c r="B448" s="503"/>
      <c r="C448" s="13"/>
      <c r="D448" s="13" t="s">
        <v>34</v>
      </c>
      <c r="E448" s="13"/>
      <c r="F448" s="109"/>
      <c r="G448" s="504"/>
      <c r="H448" s="504"/>
      <c r="I448" s="504"/>
      <c r="J448" s="504"/>
      <c r="K448" s="504"/>
      <c r="L448" s="504"/>
      <c r="M448" s="504"/>
      <c r="N448" s="504"/>
      <c r="O448" s="110"/>
      <c r="P448" s="109"/>
      <c r="Q448" s="504"/>
      <c r="R448" s="107"/>
    </row>
    <row r="449" spans="3:18" ht="9.75" customHeight="1">
      <c r="C449" s="13"/>
      <c r="D449" s="13" t="s">
        <v>35</v>
      </c>
      <c r="E449" s="13"/>
      <c r="F449" s="109"/>
      <c r="G449" s="504"/>
      <c r="H449" s="504"/>
      <c r="I449" s="504"/>
      <c r="J449" s="504"/>
      <c r="K449" s="504"/>
      <c r="L449" s="504"/>
      <c r="M449" s="504"/>
      <c r="N449" s="504"/>
      <c r="O449" s="110"/>
      <c r="P449" s="109"/>
      <c r="Q449" s="504"/>
      <c r="R449" s="107"/>
    </row>
    <row r="450" spans="3:18" ht="9.75" customHeight="1">
      <c r="C450" s="13"/>
      <c r="D450" s="13" t="s">
        <v>36</v>
      </c>
      <c r="E450" s="13">
        <v>5</v>
      </c>
      <c r="F450" s="109">
        <v>3</v>
      </c>
      <c r="G450" s="504">
        <v>3</v>
      </c>
      <c r="H450" s="504">
        <v>3</v>
      </c>
      <c r="I450" s="504">
        <v>3</v>
      </c>
      <c r="J450" s="504">
        <v>3</v>
      </c>
      <c r="K450" s="11">
        <v>3</v>
      </c>
      <c r="L450" s="11">
        <v>3</v>
      </c>
      <c r="M450" s="11">
        <v>3</v>
      </c>
      <c r="N450" s="11">
        <v>3</v>
      </c>
      <c r="O450" s="136">
        <v>3</v>
      </c>
      <c r="P450" s="109">
        <f>MIN(F450:O450)</f>
        <v>3</v>
      </c>
      <c r="Q450" s="504">
        <f>E450-P450</f>
        <v>2</v>
      </c>
      <c r="R450" s="107">
        <f>Q450/E450</f>
        <v>0.4</v>
      </c>
    </row>
    <row r="451" spans="3:18" ht="9.75" customHeight="1">
      <c r="C451" s="13"/>
      <c r="D451" s="13" t="s">
        <v>37</v>
      </c>
      <c r="E451" s="13"/>
      <c r="F451" s="109"/>
      <c r="G451" s="504"/>
      <c r="H451" s="504"/>
      <c r="I451" s="504"/>
      <c r="J451" s="504"/>
      <c r="K451" s="504"/>
      <c r="L451" s="504"/>
      <c r="M451" s="504"/>
      <c r="N451" s="504"/>
      <c r="O451" s="110"/>
      <c r="P451" s="109"/>
      <c r="Q451" s="504"/>
      <c r="R451" s="107"/>
    </row>
    <row r="452" spans="3:18" ht="9.75" customHeight="1">
      <c r="C452" s="2"/>
      <c r="D452" s="3" t="s">
        <v>38</v>
      </c>
      <c r="E452" s="21">
        <v>5</v>
      </c>
      <c r="F452" s="21">
        <f t="shared" ref="F452:O452" si="62">SUM(F436:F451)</f>
        <v>3</v>
      </c>
      <c r="G452" s="71">
        <f t="shared" si="62"/>
        <v>3</v>
      </c>
      <c r="H452" s="71">
        <f t="shared" si="62"/>
        <v>3</v>
      </c>
      <c r="I452" s="71">
        <f t="shared" si="62"/>
        <v>3</v>
      </c>
      <c r="J452" s="71">
        <f t="shared" si="62"/>
        <v>3</v>
      </c>
      <c r="K452" s="71">
        <f t="shared" si="62"/>
        <v>3</v>
      </c>
      <c r="L452" s="71">
        <f t="shared" si="62"/>
        <v>3</v>
      </c>
      <c r="M452" s="71">
        <f t="shared" si="62"/>
        <v>3</v>
      </c>
      <c r="N452" s="71">
        <f t="shared" si="62"/>
        <v>3</v>
      </c>
      <c r="O452" s="26">
        <f t="shared" si="62"/>
        <v>3</v>
      </c>
      <c r="P452" s="71">
        <f>MIN(F452:O452)</f>
        <v>3</v>
      </c>
      <c r="Q452" s="71">
        <f>E452-P452</f>
        <v>2</v>
      </c>
      <c r="R452" s="7">
        <f>Q452/E452</f>
        <v>0.4</v>
      </c>
    </row>
    <row r="453" spans="3:18" ht="9.75" customHeight="1">
      <c r="C453" s="221" t="s">
        <v>169</v>
      </c>
      <c r="D453" s="217" t="s">
        <v>23</v>
      </c>
      <c r="E453" s="217"/>
      <c r="F453" s="222"/>
      <c r="G453" s="223"/>
      <c r="H453" s="223"/>
      <c r="I453" s="223"/>
      <c r="J453" s="223"/>
      <c r="K453" s="340"/>
      <c r="L453" s="340"/>
      <c r="M453" s="340"/>
      <c r="N453" s="340"/>
      <c r="O453" s="341"/>
      <c r="P453" s="222"/>
      <c r="Q453" s="219"/>
      <c r="R453" s="220"/>
    </row>
    <row r="454" spans="3:18" ht="9.75" customHeight="1">
      <c r="C454" s="221" t="s">
        <v>170</v>
      </c>
      <c r="D454" s="221" t="s">
        <v>25</v>
      </c>
      <c r="E454" s="221"/>
      <c r="F454" s="222"/>
      <c r="G454" s="223"/>
      <c r="H454" s="223"/>
      <c r="I454" s="223"/>
      <c r="J454" s="223"/>
      <c r="K454" s="223"/>
      <c r="L454" s="223"/>
      <c r="M454" s="223"/>
      <c r="N454" s="223"/>
      <c r="O454" s="224"/>
      <c r="P454" s="222"/>
      <c r="Q454" s="223"/>
      <c r="R454" s="225"/>
    </row>
    <row r="455" spans="3:18" ht="9.75" customHeight="1">
      <c r="C455" s="221" t="s">
        <v>66</v>
      </c>
      <c r="D455" s="221" t="s">
        <v>27</v>
      </c>
      <c r="E455" s="221"/>
      <c r="F455" s="222"/>
      <c r="G455" s="223"/>
      <c r="H455" s="223"/>
      <c r="I455" s="223"/>
      <c r="J455" s="223"/>
      <c r="K455" s="223"/>
      <c r="L455" s="223"/>
      <c r="M455" s="223"/>
      <c r="N455" s="223"/>
      <c r="O455" s="224"/>
      <c r="P455" s="222"/>
      <c r="Q455" s="223"/>
      <c r="R455" s="225"/>
    </row>
    <row r="456" spans="3:18" ht="9.75" customHeight="1">
      <c r="C456" s="221"/>
      <c r="D456" s="221" t="s">
        <v>115</v>
      </c>
      <c r="E456" s="221"/>
      <c r="F456" s="222"/>
      <c r="G456" s="223"/>
      <c r="H456" s="223"/>
      <c r="I456" s="223"/>
      <c r="J456" s="223"/>
      <c r="K456" s="223"/>
      <c r="L456" s="223"/>
      <c r="M456" s="223"/>
      <c r="N456" s="223"/>
      <c r="O456" s="224"/>
      <c r="P456" s="222"/>
      <c r="Q456" s="223"/>
      <c r="R456" s="225"/>
    </row>
    <row r="457" spans="3:18" ht="9.75" customHeight="1">
      <c r="C457" s="221"/>
      <c r="D457" s="221" t="s">
        <v>115</v>
      </c>
      <c r="E457" s="221"/>
      <c r="F457" s="222"/>
      <c r="G457" s="223"/>
      <c r="H457" s="223"/>
      <c r="I457" s="223"/>
      <c r="J457" s="223"/>
      <c r="K457" s="223"/>
      <c r="L457" s="223"/>
      <c r="M457" s="223"/>
      <c r="N457" s="223"/>
      <c r="O457" s="224"/>
      <c r="P457" s="222"/>
      <c r="Q457" s="223"/>
      <c r="R457" s="225"/>
    </row>
    <row r="458" spans="3:18" ht="9.75" customHeight="1">
      <c r="C458" s="221"/>
      <c r="D458" s="221" t="s">
        <v>32</v>
      </c>
      <c r="E458" s="221"/>
      <c r="F458" s="222"/>
      <c r="G458" s="223"/>
      <c r="H458" s="223"/>
      <c r="I458" s="223"/>
      <c r="J458" s="223"/>
      <c r="K458" s="223"/>
      <c r="L458" s="223"/>
      <c r="M458" s="223"/>
      <c r="N458" s="223"/>
      <c r="O458" s="224"/>
      <c r="P458" s="222"/>
      <c r="Q458" s="223"/>
      <c r="R458" s="225"/>
    </row>
    <row r="459" spans="3:18" ht="9.75" customHeight="1">
      <c r="C459" s="221"/>
      <c r="D459" s="221" t="s">
        <v>120</v>
      </c>
      <c r="E459" s="221"/>
      <c r="F459" s="222"/>
      <c r="G459" s="223"/>
      <c r="H459" s="223"/>
      <c r="I459" s="223"/>
      <c r="J459" s="223"/>
      <c r="K459" s="223"/>
      <c r="L459" s="223"/>
      <c r="M459" s="223"/>
      <c r="N459" s="223"/>
      <c r="O459" s="224"/>
      <c r="P459" s="222"/>
      <c r="Q459" s="223"/>
      <c r="R459" s="225"/>
    </row>
    <row r="460" spans="3:18" ht="9.75" customHeight="1">
      <c r="C460" s="221"/>
      <c r="D460" s="221" t="s">
        <v>120</v>
      </c>
      <c r="E460" s="221"/>
      <c r="F460" s="222"/>
      <c r="G460" s="223"/>
      <c r="H460" s="223"/>
      <c r="I460" s="223"/>
      <c r="J460" s="223"/>
      <c r="K460" s="223"/>
      <c r="L460" s="223"/>
      <c r="M460" s="223"/>
      <c r="N460" s="223"/>
      <c r="O460" s="224"/>
      <c r="P460" s="222"/>
      <c r="Q460" s="223"/>
      <c r="R460" s="225"/>
    </row>
    <row r="461" spans="3:18" ht="9.75" customHeight="1">
      <c r="C461" s="221"/>
      <c r="D461" s="221" t="s">
        <v>120</v>
      </c>
      <c r="E461" s="221"/>
      <c r="F461" s="222"/>
      <c r="G461" s="223"/>
      <c r="H461" s="223"/>
      <c r="I461" s="223"/>
      <c r="J461" s="223"/>
      <c r="K461" s="223"/>
      <c r="L461" s="223"/>
      <c r="M461" s="223"/>
      <c r="N461" s="223"/>
      <c r="O461" s="224"/>
      <c r="P461" s="222"/>
      <c r="Q461" s="223"/>
      <c r="R461" s="225"/>
    </row>
    <row r="462" spans="3:18" ht="9.75" customHeight="1">
      <c r="C462" s="221"/>
      <c r="D462" s="221" t="s">
        <v>120</v>
      </c>
      <c r="E462" s="221"/>
      <c r="F462" s="222"/>
      <c r="G462" s="223"/>
      <c r="H462" s="223"/>
      <c r="I462" s="223"/>
      <c r="J462" s="223"/>
      <c r="K462" s="223"/>
      <c r="L462" s="223"/>
      <c r="M462" s="223"/>
      <c r="N462" s="223"/>
      <c r="O462" s="224"/>
      <c r="P462" s="222"/>
      <c r="Q462" s="223"/>
      <c r="R462" s="225"/>
    </row>
    <row r="463" spans="3:18" ht="9.75" customHeight="1">
      <c r="C463" s="221"/>
      <c r="D463" s="221" t="s">
        <v>120</v>
      </c>
      <c r="E463" s="221"/>
      <c r="F463" s="222"/>
      <c r="G463" s="223"/>
      <c r="H463" s="223"/>
      <c r="I463" s="223"/>
      <c r="J463" s="223"/>
      <c r="K463" s="223"/>
      <c r="L463" s="223"/>
      <c r="M463" s="223"/>
      <c r="N463" s="223"/>
      <c r="O463" s="224"/>
      <c r="P463" s="222"/>
      <c r="Q463" s="223"/>
      <c r="R463" s="225"/>
    </row>
    <row r="464" spans="3:18" ht="9.75" customHeight="1">
      <c r="C464" s="221"/>
      <c r="D464" s="221" t="s">
        <v>120</v>
      </c>
      <c r="E464" s="221"/>
      <c r="F464" s="222"/>
      <c r="G464" s="223"/>
      <c r="H464" s="223"/>
      <c r="I464" s="223"/>
      <c r="J464" s="223"/>
      <c r="K464" s="223"/>
      <c r="L464" s="223"/>
      <c r="M464" s="223"/>
      <c r="N464" s="223"/>
      <c r="O464" s="224"/>
      <c r="P464" s="222"/>
      <c r="Q464" s="223"/>
      <c r="R464" s="225"/>
    </row>
    <row r="465" spans="3:18" ht="9.75" customHeight="1">
      <c r="C465" s="221"/>
      <c r="D465" s="221" t="s">
        <v>34</v>
      </c>
      <c r="E465" s="221"/>
      <c r="F465" s="222"/>
      <c r="G465" s="223"/>
      <c r="H465" s="223"/>
      <c r="I465" s="223"/>
      <c r="J465" s="223"/>
      <c r="K465" s="223"/>
      <c r="L465" s="223"/>
      <c r="M465" s="223"/>
      <c r="N465" s="223"/>
      <c r="O465" s="224"/>
      <c r="P465" s="222"/>
      <c r="Q465" s="223"/>
      <c r="R465" s="225"/>
    </row>
    <row r="466" spans="3:18" ht="9.75" customHeight="1">
      <c r="C466" s="221"/>
      <c r="D466" s="221" t="s">
        <v>35</v>
      </c>
      <c r="E466" s="221"/>
      <c r="F466" s="222"/>
      <c r="G466" s="223"/>
      <c r="H466" s="223"/>
      <c r="I466" s="223"/>
      <c r="J466" s="223"/>
      <c r="K466" s="223"/>
      <c r="L466" s="223"/>
      <c r="M466" s="223"/>
      <c r="N466" s="223"/>
      <c r="O466" s="224"/>
      <c r="P466" s="222"/>
      <c r="Q466" s="223"/>
      <c r="R466" s="225"/>
    </row>
    <row r="467" spans="3:18" ht="9.75" customHeight="1">
      <c r="C467" s="221"/>
      <c r="D467" s="221" t="s">
        <v>36</v>
      </c>
      <c r="E467" s="221"/>
      <c r="F467" s="222"/>
      <c r="G467" s="223"/>
      <c r="H467" s="223"/>
      <c r="I467" s="223"/>
      <c r="J467" s="223"/>
      <c r="K467" s="223"/>
      <c r="L467" s="223"/>
      <c r="M467" s="223"/>
      <c r="N467" s="223"/>
      <c r="O467" s="224"/>
      <c r="P467" s="222"/>
      <c r="Q467" s="223"/>
      <c r="R467" s="225"/>
    </row>
    <row r="468" spans="3:18" ht="9.75" customHeight="1">
      <c r="C468" s="221"/>
      <c r="D468" s="221" t="s">
        <v>37</v>
      </c>
      <c r="E468" s="221"/>
      <c r="F468" s="222"/>
      <c r="G468" s="223"/>
      <c r="H468" s="223"/>
      <c r="I468" s="223"/>
      <c r="J468" s="223"/>
      <c r="K468" s="223"/>
      <c r="L468" s="223"/>
      <c r="M468" s="223"/>
      <c r="N468" s="223"/>
      <c r="O468" s="224"/>
      <c r="P468" s="222"/>
      <c r="Q468" s="223"/>
      <c r="R468" s="225"/>
    </row>
    <row r="469" spans="3:18" ht="9.75" customHeight="1">
      <c r="C469" s="221"/>
      <c r="D469" s="226" t="s">
        <v>38</v>
      </c>
      <c r="E469" s="226"/>
      <c r="F469" s="227"/>
      <c r="G469" s="228"/>
      <c r="H469" s="228"/>
      <c r="I469" s="228"/>
      <c r="J469" s="228"/>
      <c r="K469" s="342"/>
      <c r="L469" s="342"/>
      <c r="M469" s="342"/>
      <c r="N469" s="342"/>
      <c r="O469" s="343"/>
      <c r="P469" s="227"/>
      <c r="Q469" s="228"/>
      <c r="R469" s="229"/>
    </row>
    <row r="470" spans="3:18" ht="9.75" customHeight="1">
      <c r="C470" s="43" t="s">
        <v>171</v>
      </c>
      <c r="D470" s="43" t="s">
        <v>23</v>
      </c>
      <c r="E470" s="43"/>
      <c r="F470" s="116"/>
      <c r="G470" s="128"/>
      <c r="H470" s="128"/>
      <c r="I470" s="128"/>
      <c r="J470" s="128"/>
      <c r="K470" s="128"/>
      <c r="L470" s="128"/>
      <c r="M470" s="128"/>
      <c r="N470" s="128"/>
      <c r="O470" s="129"/>
      <c r="P470" s="116"/>
      <c r="Q470" s="128"/>
      <c r="R470" s="141"/>
    </row>
    <row r="471" spans="3:18" ht="9.75" customHeight="1">
      <c r="C471" s="13"/>
      <c r="D471" s="13" t="s">
        <v>25</v>
      </c>
      <c r="E471" s="13"/>
      <c r="F471" s="109"/>
      <c r="G471" s="504"/>
      <c r="H471" s="504"/>
      <c r="I471" s="504"/>
      <c r="J471" s="504"/>
      <c r="K471" s="504"/>
      <c r="L471" s="504"/>
      <c r="M471" s="504"/>
      <c r="N471" s="504"/>
      <c r="O471" s="110"/>
      <c r="P471" s="109"/>
      <c r="Q471" s="504"/>
      <c r="R471" s="107"/>
    </row>
    <row r="472" spans="3:18" ht="9.75" customHeight="1">
      <c r="C472" s="13"/>
      <c r="D472" s="13" t="s">
        <v>27</v>
      </c>
      <c r="E472" s="13"/>
      <c r="F472" s="109"/>
      <c r="G472" s="504"/>
      <c r="H472" s="504"/>
      <c r="I472" s="504"/>
      <c r="J472" s="504"/>
      <c r="K472" s="504"/>
      <c r="L472" s="504"/>
      <c r="M472" s="504"/>
      <c r="N472" s="504"/>
      <c r="O472" s="110"/>
      <c r="P472" s="109"/>
      <c r="Q472" s="504"/>
      <c r="R472" s="107"/>
    </row>
    <row r="473" spans="3:18" ht="9.75" customHeight="1">
      <c r="C473" s="13"/>
      <c r="D473" s="13" t="s">
        <v>115</v>
      </c>
      <c r="E473" s="13"/>
      <c r="F473" s="109"/>
      <c r="G473" s="504"/>
      <c r="H473" s="504"/>
      <c r="I473" s="504"/>
      <c r="J473" s="504"/>
      <c r="K473" s="504"/>
      <c r="L473" s="504"/>
      <c r="M473" s="504"/>
      <c r="N473" s="504"/>
      <c r="O473" s="110"/>
      <c r="P473" s="109"/>
      <c r="Q473" s="504"/>
      <c r="R473" s="107"/>
    </row>
    <row r="474" spans="3:18" ht="9.75" customHeight="1">
      <c r="C474" s="13"/>
      <c r="D474" s="13" t="s">
        <v>115</v>
      </c>
      <c r="E474" s="13"/>
      <c r="F474" s="109"/>
      <c r="G474" s="504"/>
      <c r="H474" s="504"/>
      <c r="I474" s="504"/>
      <c r="J474" s="504"/>
      <c r="K474" s="504"/>
      <c r="L474" s="504"/>
      <c r="M474" s="504"/>
      <c r="N474" s="504"/>
      <c r="O474" s="110"/>
      <c r="P474" s="109"/>
      <c r="Q474" s="504"/>
      <c r="R474" s="107"/>
    </row>
    <row r="475" spans="3:18" ht="9.75" customHeight="1">
      <c r="C475" s="13"/>
      <c r="D475" s="13" t="s">
        <v>32</v>
      </c>
      <c r="E475" s="13"/>
      <c r="F475" s="109"/>
      <c r="G475" s="504"/>
      <c r="H475" s="504"/>
      <c r="I475" s="504"/>
      <c r="J475" s="504"/>
      <c r="K475" s="504"/>
      <c r="L475" s="504"/>
      <c r="M475" s="504"/>
      <c r="N475" s="504"/>
      <c r="O475" s="110"/>
      <c r="P475" s="109"/>
      <c r="Q475" s="504"/>
      <c r="R475" s="107"/>
    </row>
    <row r="476" spans="3:18" ht="9.75" customHeight="1">
      <c r="C476" s="13"/>
      <c r="D476" s="13" t="s">
        <v>120</v>
      </c>
      <c r="E476" s="13"/>
      <c r="F476" s="109"/>
      <c r="G476" s="504"/>
      <c r="H476" s="504"/>
      <c r="I476" s="504"/>
      <c r="J476" s="504"/>
      <c r="K476" s="504"/>
      <c r="L476" s="504"/>
      <c r="M476" s="504"/>
      <c r="N476" s="504"/>
      <c r="O476" s="110"/>
      <c r="P476" s="109"/>
      <c r="Q476" s="504"/>
      <c r="R476" s="107"/>
    </row>
    <row r="477" spans="3:18" ht="9.75" customHeight="1">
      <c r="C477" s="13"/>
      <c r="D477" s="13" t="s">
        <v>120</v>
      </c>
      <c r="E477" s="13"/>
      <c r="F477" s="109"/>
      <c r="G477" s="504"/>
      <c r="H477" s="504"/>
      <c r="I477" s="504"/>
      <c r="J477" s="504"/>
      <c r="K477" s="504"/>
      <c r="L477" s="504"/>
      <c r="M477" s="504"/>
      <c r="N477" s="504"/>
      <c r="O477" s="110"/>
      <c r="P477" s="109"/>
      <c r="Q477" s="504"/>
      <c r="R477" s="107"/>
    </row>
    <row r="478" spans="3:18" ht="9.75" customHeight="1">
      <c r="C478" s="13"/>
      <c r="D478" s="13" t="s">
        <v>120</v>
      </c>
      <c r="E478" s="13"/>
      <c r="F478" s="109"/>
      <c r="G478" s="504"/>
      <c r="H478" s="504"/>
      <c r="I478" s="504"/>
      <c r="J478" s="504"/>
      <c r="K478" s="504"/>
      <c r="L478" s="504"/>
      <c r="M478" s="504"/>
      <c r="N478" s="504"/>
      <c r="O478" s="110"/>
      <c r="P478" s="109"/>
      <c r="Q478" s="504"/>
      <c r="R478" s="107"/>
    </row>
    <row r="479" spans="3:18" ht="9.75" customHeight="1">
      <c r="C479" s="13"/>
      <c r="D479" s="13" t="s">
        <v>120</v>
      </c>
      <c r="E479" s="13"/>
      <c r="F479" s="109"/>
      <c r="G479" s="504"/>
      <c r="H479" s="504"/>
      <c r="I479" s="504"/>
      <c r="J479" s="504"/>
      <c r="K479" s="504"/>
      <c r="L479" s="504"/>
      <c r="M479" s="504"/>
      <c r="N479" s="504"/>
      <c r="O479" s="110"/>
      <c r="P479" s="109"/>
      <c r="Q479" s="504"/>
      <c r="R479" s="107"/>
    </row>
    <row r="480" spans="3:18" ht="9.75" customHeight="1">
      <c r="C480" s="13"/>
      <c r="D480" s="13" t="s">
        <v>120</v>
      </c>
      <c r="E480" s="13"/>
      <c r="F480" s="109"/>
      <c r="G480" s="504"/>
      <c r="H480" s="504"/>
      <c r="I480" s="504"/>
      <c r="J480" s="504"/>
      <c r="K480" s="504"/>
      <c r="L480" s="504"/>
      <c r="M480" s="504"/>
      <c r="N480" s="504"/>
      <c r="O480" s="110"/>
      <c r="P480" s="109"/>
      <c r="Q480" s="504"/>
      <c r="R480" s="107"/>
    </row>
    <row r="481" spans="2:18" ht="9.75" customHeight="1">
      <c r="B481" s="503"/>
      <c r="C481" s="13"/>
      <c r="D481" s="13" t="s">
        <v>120</v>
      </c>
      <c r="E481" s="13"/>
      <c r="F481" s="109"/>
      <c r="G481" s="504"/>
      <c r="H481" s="504"/>
      <c r="I481" s="504"/>
      <c r="J481" s="504"/>
      <c r="K481" s="504"/>
      <c r="L481" s="504"/>
      <c r="M481" s="504"/>
      <c r="N481" s="504"/>
      <c r="O481" s="110"/>
      <c r="P481" s="109"/>
      <c r="Q481" s="504"/>
      <c r="R481" s="107"/>
    </row>
    <row r="482" spans="2:18" ht="9.75" customHeight="1">
      <c r="B482" s="503"/>
      <c r="C482" s="13"/>
      <c r="D482" s="13" t="s">
        <v>34</v>
      </c>
      <c r="E482" s="13"/>
      <c r="F482" s="109"/>
      <c r="G482" s="504"/>
      <c r="H482" s="504"/>
      <c r="I482" s="504"/>
      <c r="J482" s="504"/>
      <c r="K482" s="504"/>
      <c r="L482" s="504"/>
      <c r="M482" s="504"/>
      <c r="N482" s="504"/>
      <c r="O482" s="110"/>
      <c r="P482" s="109"/>
      <c r="Q482" s="504"/>
      <c r="R482" s="107"/>
    </row>
    <row r="483" spans="2:18" ht="9.75" customHeight="1">
      <c r="B483" s="503"/>
      <c r="C483" s="13"/>
      <c r="D483" s="13" t="s">
        <v>35</v>
      </c>
      <c r="E483" s="13"/>
      <c r="F483" s="109"/>
      <c r="G483" s="504"/>
      <c r="H483" s="504"/>
      <c r="I483" s="504"/>
      <c r="J483" s="504"/>
      <c r="K483" s="32"/>
      <c r="L483" s="32"/>
      <c r="M483" s="32"/>
      <c r="N483" s="32"/>
      <c r="O483" s="142"/>
      <c r="P483" s="109"/>
      <c r="Q483" s="504"/>
      <c r="R483" s="107"/>
    </row>
    <row r="484" spans="2:18" ht="9.75" customHeight="1">
      <c r="B484" s="503"/>
      <c r="C484" s="13"/>
      <c r="D484" s="13" t="s">
        <v>36</v>
      </c>
      <c r="E484" s="13">
        <v>7</v>
      </c>
      <c r="F484" s="109">
        <f>E484-5</f>
        <v>2</v>
      </c>
      <c r="G484" s="504">
        <f>E484-3</f>
        <v>4</v>
      </c>
      <c r="H484" s="504">
        <f>E484-4</f>
        <v>3</v>
      </c>
      <c r="I484" s="504">
        <v>2</v>
      </c>
      <c r="J484" s="504">
        <v>2</v>
      </c>
      <c r="K484" s="11">
        <v>2</v>
      </c>
      <c r="L484" s="11">
        <v>2</v>
      </c>
      <c r="M484" s="11">
        <v>2</v>
      </c>
      <c r="N484" s="11">
        <f>E484-4</f>
        <v>3</v>
      </c>
      <c r="O484" s="136">
        <f>E484-3</f>
        <v>4</v>
      </c>
      <c r="P484" s="109">
        <f>MIN(F484:O484)</f>
        <v>2</v>
      </c>
      <c r="Q484" s="504">
        <f>E484-P484</f>
        <v>5</v>
      </c>
      <c r="R484" s="107">
        <f>Q484/E484</f>
        <v>0.7142857142857143</v>
      </c>
    </row>
    <row r="485" spans="2:18" ht="9.75" customHeight="1">
      <c r="B485" s="503"/>
      <c r="C485" s="13"/>
      <c r="D485" s="13" t="s">
        <v>37</v>
      </c>
      <c r="E485" s="13"/>
      <c r="F485" s="109"/>
      <c r="G485" s="504"/>
      <c r="H485" s="504"/>
      <c r="I485" s="504"/>
      <c r="J485" s="504"/>
      <c r="K485" s="504"/>
      <c r="L485" s="504"/>
      <c r="M485" s="504"/>
      <c r="N485" s="504"/>
      <c r="O485" s="110"/>
      <c r="P485" s="109"/>
      <c r="Q485" s="504"/>
      <c r="R485" s="107"/>
    </row>
    <row r="486" spans="2:18" ht="9.75" customHeight="1">
      <c r="B486" s="503" t="s">
        <v>127</v>
      </c>
      <c r="C486" s="2"/>
      <c r="D486" s="3" t="s">
        <v>38</v>
      </c>
      <c r="E486" s="3">
        <f t="shared" ref="E486:O486" si="63">SUM(E470:E485)</f>
        <v>7</v>
      </c>
      <c r="F486" s="21">
        <f t="shared" si="63"/>
        <v>2</v>
      </c>
      <c r="G486" s="71">
        <f t="shared" si="63"/>
        <v>4</v>
      </c>
      <c r="H486" s="71">
        <f t="shared" si="63"/>
        <v>3</v>
      </c>
      <c r="I486" s="71">
        <f t="shared" si="63"/>
        <v>2</v>
      </c>
      <c r="J486" s="71">
        <f t="shared" si="63"/>
        <v>2</v>
      </c>
      <c r="K486" s="71">
        <f t="shared" si="63"/>
        <v>2</v>
      </c>
      <c r="L486" s="71">
        <f t="shared" si="63"/>
        <v>2</v>
      </c>
      <c r="M486" s="71">
        <f t="shared" si="63"/>
        <v>2</v>
      </c>
      <c r="N486" s="71">
        <f t="shared" si="63"/>
        <v>3</v>
      </c>
      <c r="O486" s="26">
        <f t="shared" si="63"/>
        <v>4</v>
      </c>
      <c r="P486" s="21">
        <f>MIN(F486:O486)</f>
        <v>2</v>
      </c>
      <c r="Q486" s="71">
        <f>E486-P486</f>
        <v>5</v>
      </c>
      <c r="R486" s="7">
        <f>Q486/E486</f>
        <v>0.7142857142857143</v>
      </c>
    </row>
    <row r="487" spans="2:18" ht="9.75" customHeight="1">
      <c r="B487" s="503"/>
      <c r="C487" s="43" t="s">
        <v>172</v>
      </c>
      <c r="D487" s="43" t="s">
        <v>23</v>
      </c>
      <c r="E487" s="43"/>
      <c r="F487" s="116"/>
      <c r="G487" s="128"/>
      <c r="H487" s="128"/>
      <c r="I487" s="128"/>
      <c r="J487" s="128"/>
      <c r="K487" s="128"/>
      <c r="L487" s="128"/>
      <c r="M487" s="128"/>
      <c r="N487" s="128"/>
      <c r="O487" s="129"/>
      <c r="P487" s="116"/>
      <c r="Q487" s="128"/>
      <c r="R487" s="141"/>
    </row>
    <row r="488" spans="2:18" ht="9.75" customHeight="1">
      <c r="B488" s="503"/>
      <c r="C488" s="13"/>
      <c r="D488" s="13" t="s">
        <v>25</v>
      </c>
      <c r="E488" s="13"/>
      <c r="F488" s="109"/>
      <c r="G488" s="504"/>
      <c r="H488" s="504"/>
      <c r="I488" s="504"/>
      <c r="J488" s="504"/>
      <c r="K488" s="504"/>
      <c r="L488" s="504"/>
      <c r="M488" s="504"/>
      <c r="N488" s="504"/>
      <c r="O488" s="110"/>
      <c r="P488" s="109"/>
      <c r="Q488" s="504"/>
      <c r="R488" s="107"/>
    </row>
    <row r="489" spans="2:18" ht="9.75" customHeight="1">
      <c r="B489" s="503"/>
      <c r="C489" s="13"/>
      <c r="D489" s="13" t="s">
        <v>27</v>
      </c>
      <c r="E489" s="13"/>
      <c r="F489" s="109"/>
      <c r="G489" s="504"/>
      <c r="H489" s="504"/>
      <c r="I489" s="504"/>
      <c r="J489" s="504"/>
      <c r="K489" s="504"/>
      <c r="L489" s="504"/>
      <c r="M489" s="504"/>
      <c r="N489" s="504"/>
      <c r="O489" s="110"/>
      <c r="P489" s="109"/>
      <c r="Q489" s="504"/>
      <c r="R489" s="107"/>
    </row>
    <row r="490" spans="2:18" ht="9.75" customHeight="1">
      <c r="B490" s="503"/>
      <c r="C490" s="13"/>
      <c r="D490" s="497" t="s">
        <v>173</v>
      </c>
      <c r="E490" s="539">
        <v>21</v>
      </c>
      <c r="F490" s="91">
        <v>8</v>
      </c>
      <c r="G490" s="91">
        <v>0</v>
      </c>
      <c r="H490" s="91">
        <v>0</v>
      </c>
      <c r="I490" s="91">
        <v>1</v>
      </c>
      <c r="J490" s="91">
        <v>2</v>
      </c>
      <c r="K490" s="11">
        <v>1</v>
      </c>
      <c r="L490" s="11">
        <v>3</v>
      </c>
      <c r="M490" s="11">
        <v>2</v>
      </c>
      <c r="N490" s="11">
        <v>3</v>
      </c>
      <c r="O490" s="136">
        <v>5</v>
      </c>
      <c r="P490" s="103">
        <f>MIN(F490:O490)</f>
        <v>0</v>
      </c>
      <c r="Q490" s="91">
        <f>E490-P490</f>
        <v>21</v>
      </c>
      <c r="R490" s="107">
        <f>Q490/E490</f>
        <v>1</v>
      </c>
    </row>
    <row r="491" spans="2:18" ht="9.75" customHeight="1">
      <c r="B491" s="503"/>
      <c r="C491" s="13"/>
      <c r="D491" s="13" t="s">
        <v>115</v>
      </c>
      <c r="E491" s="35"/>
      <c r="F491" s="32"/>
      <c r="G491" s="32"/>
      <c r="H491" s="32"/>
      <c r="I491" s="32"/>
      <c r="J491" s="32"/>
      <c r="K491" s="32"/>
      <c r="L491" s="32"/>
      <c r="M491" s="32"/>
      <c r="N491" s="32"/>
      <c r="O491" s="142"/>
      <c r="P491" s="109"/>
      <c r="Q491" s="504"/>
      <c r="R491" s="107"/>
    </row>
    <row r="492" spans="2:18" ht="9.75" customHeight="1">
      <c r="B492" s="503"/>
      <c r="C492" s="13"/>
      <c r="D492" s="13" t="s">
        <v>32</v>
      </c>
      <c r="E492" s="10">
        <v>1</v>
      </c>
      <c r="F492" s="91">
        <v>0</v>
      </c>
      <c r="G492" s="91">
        <v>0</v>
      </c>
      <c r="H492" s="91">
        <v>0</v>
      </c>
      <c r="I492" s="91">
        <v>0</v>
      </c>
      <c r="J492" s="91">
        <v>0</v>
      </c>
      <c r="K492" s="11">
        <v>0</v>
      </c>
      <c r="L492" s="11">
        <v>0</v>
      </c>
      <c r="M492" s="11">
        <v>0</v>
      </c>
      <c r="N492" s="11">
        <v>0</v>
      </c>
      <c r="O492" s="136">
        <v>0</v>
      </c>
      <c r="P492" s="103">
        <f>MIN(F492:O492)</f>
        <v>0</v>
      </c>
      <c r="Q492" s="91">
        <f>E492-P492</f>
        <v>1</v>
      </c>
      <c r="R492" s="107">
        <f>Q492/E492</f>
        <v>1</v>
      </c>
    </row>
    <row r="493" spans="2:18" ht="9.75" customHeight="1">
      <c r="B493" s="503"/>
      <c r="C493" s="13"/>
      <c r="D493" s="13" t="s">
        <v>120</v>
      </c>
      <c r="E493" s="35"/>
      <c r="F493" s="91"/>
      <c r="G493" s="91"/>
      <c r="H493" s="91"/>
      <c r="I493" s="91"/>
      <c r="J493" s="91"/>
      <c r="K493" s="32"/>
      <c r="L493" s="32"/>
      <c r="M493" s="32"/>
      <c r="N493" s="32"/>
      <c r="O493" s="142"/>
      <c r="P493" s="109"/>
      <c r="Q493" s="504"/>
      <c r="R493" s="107"/>
    </row>
    <row r="494" spans="2:18" ht="9.75" customHeight="1">
      <c r="B494" s="503"/>
      <c r="C494" s="13"/>
      <c r="D494" s="13" t="s">
        <v>120</v>
      </c>
      <c r="E494" s="35"/>
      <c r="F494" s="32"/>
      <c r="G494" s="32"/>
      <c r="H494" s="32"/>
      <c r="I494" s="32"/>
      <c r="J494" s="32"/>
      <c r="K494" s="32"/>
      <c r="L494" s="32"/>
      <c r="M494" s="32"/>
      <c r="N494" s="32"/>
      <c r="O494" s="142"/>
      <c r="P494" s="109"/>
      <c r="Q494" s="504"/>
      <c r="R494" s="107"/>
    </row>
    <row r="495" spans="2:18" ht="9.75" customHeight="1">
      <c r="B495" s="503"/>
      <c r="C495" s="13"/>
      <c r="D495" s="13" t="s">
        <v>120</v>
      </c>
      <c r="E495" s="35"/>
      <c r="F495" s="32"/>
      <c r="G495" s="32"/>
      <c r="H495" s="32"/>
      <c r="I495" s="32"/>
      <c r="J495" s="32"/>
      <c r="K495" s="32"/>
      <c r="L495" s="32"/>
      <c r="M495" s="32"/>
      <c r="N495" s="32"/>
      <c r="O495" s="142"/>
      <c r="P495" s="109"/>
      <c r="Q495" s="504"/>
      <c r="R495" s="107"/>
    </row>
    <row r="496" spans="2:18" ht="9.75" customHeight="1">
      <c r="B496" s="503"/>
      <c r="C496" s="13"/>
      <c r="D496" s="13" t="s">
        <v>120</v>
      </c>
      <c r="E496" s="35"/>
      <c r="F496" s="32"/>
      <c r="G496" s="32"/>
      <c r="H496" s="32"/>
      <c r="I496" s="32"/>
      <c r="J496" s="32"/>
      <c r="K496" s="32"/>
      <c r="L496" s="32"/>
      <c r="M496" s="32"/>
      <c r="N496" s="32"/>
      <c r="O496" s="142"/>
      <c r="P496" s="109"/>
      <c r="Q496" s="504"/>
      <c r="R496" s="107"/>
    </row>
    <row r="497" spans="2:18" ht="9.75" customHeight="1">
      <c r="B497" s="503"/>
      <c r="C497" s="13"/>
      <c r="D497" s="13" t="s">
        <v>120</v>
      </c>
      <c r="E497" s="35"/>
      <c r="F497" s="32"/>
      <c r="G497" s="32"/>
      <c r="H497" s="32"/>
      <c r="I497" s="32"/>
      <c r="J497" s="32"/>
      <c r="K497" s="32"/>
      <c r="L497" s="32"/>
      <c r="M497" s="32"/>
      <c r="N497" s="32"/>
      <c r="O497" s="142"/>
      <c r="P497" s="109"/>
      <c r="Q497" s="504"/>
      <c r="R497" s="107"/>
    </row>
    <row r="498" spans="2:18" ht="9.75" customHeight="1">
      <c r="B498" s="503"/>
      <c r="C498" s="13"/>
      <c r="D498" s="13" t="s">
        <v>120</v>
      </c>
      <c r="E498" s="35"/>
      <c r="F498" s="32"/>
      <c r="G498" s="32"/>
      <c r="H498" s="32"/>
      <c r="I498" s="32"/>
      <c r="J498" s="32"/>
      <c r="K498" s="32"/>
      <c r="L498" s="32"/>
      <c r="M498" s="32"/>
      <c r="N498" s="32"/>
      <c r="O498" s="142"/>
      <c r="P498" s="109"/>
      <c r="Q498" s="504"/>
      <c r="R498" s="107"/>
    </row>
    <row r="499" spans="2:18" ht="9.75" customHeight="1">
      <c r="B499" s="503"/>
      <c r="C499" s="13"/>
      <c r="D499" s="13" t="s">
        <v>34</v>
      </c>
      <c r="E499" s="10">
        <v>2</v>
      </c>
      <c r="F499" s="91">
        <v>2</v>
      </c>
      <c r="G499" s="91">
        <v>2</v>
      </c>
      <c r="H499" s="91">
        <v>1</v>
      </c>
      <c r="I499" s="91">
        <v>1</v>
      </c>
      <c r="J499" s="91">
        <v>0</v>
      </c>
      <c r="K499" s="11">
        <v>0</v>
      </c>
      <c r="L499" s="11">
        <v>2</v>
      </c>
      <c r="M499" s="11">
        <v>2</v>
      </c>
      <c r="N499" s="11">
        <v>2</v>
      </c>
      <c r="O499" s="136">
        <v>2</v>
      </c>
      <c r="P499" s="103">
        <f>MIN(F499:O499)</f>
        <v>0</v>
      </c>
      <c r="Q499" s="91">
        <f>E499-P499</f>
        <v>2</v>
      </c>
      <c r="R499" s="107">
        <f>Q499/E499</f>
        <v>1</v>
      </c>
    </row>
    <row r="500" spans="2:18" ht="9.75" customHeight="1">
      <c r="B500" s="503"/>
      <c r="C500" s="13"/>
      <c r="D500" s="13" t="s">
        <v>35</v>
      </c>
      <c r="E500" s="35"/>
      <c r="F500" s="32"/>
      <c r="G500" s="32"/>
      <c r="H500" s="32"/>
      <c r="I500" s="32"/>
      <c r="J500" s="32"/>
      <c r="K500" s="32"/>
      <c r="L500" s="32"/>
      <c r="M500" s="32"/>
      <c r="N500" s="32"/>
      <c r="O500" s="142"/>
      <c r="P500" s="109"/>
      <c r="Q500" s="504"/>
      <c r="R500" s="107"/>
    </row>
    <row r="501" spans="2:18" ht="9.75" customHeight="1">
      <c r="B501" s="503"/>
      <c r="C501" s="13"/>
      <c r="D501" s="13" t="s">
        <v>36</v>
      </c>
      <c r="E501" s="35"/>
      <c r="F501" s="91"/>
      <c r="G501" s="91"/>
      <c r="H501" s="91"/>
      <c r="I501" s="91"/>
      <c r="J501" s="91"/>
      <c r="K501" s="91"/>
      <c r="L501" s="32"/>
      <c r="M501" s="32"/>
      <c r="N501" s="32"/>
      <c r="O501" s="142"/>
      <c r="P501" s="109"/>
      <c r="Q501" s="504"/>
      <c r="R501" s="107"/>
    </row>
    <row r="502" spans="2:18" ht="9.75" customHeight="1">
      <c r="B502" s="503"/>
      <c r="C502" s="13"/>
      <c r="D502" s="13" t="s">
        <v>37</v>
      </c>
      <c r="E502" s="14">
        <v>5</v>
      </c>
      <c r="F502" s="112">
        <v>5</v>
      </c>
      <c r="G502" s="112">
        <v>5</v>
      </c>
      <c r="H502" s="112">
        <v>3</v>
      </c>
      <c r="I502" s="112">
        <v>1</v>
      </c>
      <c r="J502" s="112">
        <v>0</v>
      </c>
      <c r="K502" s="143">
        <v>0</v>
      </c>
      <c r="L502" s="143">
        <v>0</v>
      </c>
      <c r="M502" s="143">
        <v>2</v>
      </c>
      <c r="N502" s="143">
        <v>2</v>
      </c>
      <c r="O502" s="144">
        <v>2</v>
      </c>
      <c r="P502" s="103">
        <f t="shared" ref="P502:P503" si="64">MIN(F502:O502)</f>
        <v>0</v>
      </c>
      <c r="Q502" s="91">
        <f t="shared" ref="Q502:Q503" si="65">E502-P502</f>
        <v>5</v>
      </c>
      <c r="R502" s="107">
        <f t="shared" ref="R502:R503" si="66">Q502/E502</f>
        <v>1</v>
      </c>
    </row>
    <row r="503" spans="2:18" ht="9.75" customHeight="1">
      <c r="B503" s="503" t="s">
        <v>127</v>
      </c>
      <c r="C503" s="2"/>
      <c r="D503" s="3" t="s">
        <v>38</v>
      </c>
      <c r="E503" s="3">
        <f t="shared" ref="E503:O503" si="67">SUM(E487:E502)</f>
        <v>29</v>
      </c>
      <c r="F503" s="21">
        <f t="shared" si="67"/>
        <v>15</v>
      </c>
      <c r="G503" s="71">
        <f t="shared" si="67"/>
        <v>7</v>
      </c>
      <c r="H503" s="71">
        <f t="shared" si="67"/>
        <v>4</v>
      </c>
      <c r="I503" s="71">
        <f t="shared" si="67"/>
        <v>3</v>
      </c>
      <c r="J503" s="71">
        <f t="shared" si="67"/>
        <v>2</v>
      </c>
      <c r="K503" s="71">
        <f t="shared" si="67"/>
        <v>1</v>
      </c>
      <c r="L503" s="71">
        <f t="shared" si="67"/>
        <v>5</v>
      </c>
      <c r="M503" s="71">
        <f t="shared" si="67"/>
        <v>6</v>
      </c>
      <c r="N503" s="71">
        <f t="shared" si="67"/>
        <v>7</v>
      </c>
      <c r="O503" s="26">
        <f t="shared" si="67"/>
        <v>9</v>
      </c>
      <c r="P503" s="21">
        <f t="shared" si="64"/>
        <v>1</v>
      </c>
      <c r="Q503" s="71">
        <f t="shared" si="65"/>
        <v>28</v>
      </c>
      <c r="R503" s="7">
        <f t="shared" si="66"/>
        <v>0.96551724137931039</v>
      </c>
    </row>
    <row r="504" spans="2:18" ht="9.75" customHeight="1">
      <c r="B504" s="503"/>
      <c r="C504" s="33" t="s">
        <v>174</v>
      </c>
      <c r="D504" s="33" t="s">
        <v>23</v>
      </c>
      <c r="E504" s="33"/>
      <c r="F504" s="36"/>
      <c r="G504" s="37"/>
      <c r="H504" s="37"/>
      <c r="I504" s="37"/>
      <c r="J504" s="37"/>
      <c r="K504" s="37"/>
      <c r="L504" s="37"/>
      <c r="M504" s="37"/>
      <c r="N504" s="37"/>
      <c r="O504" s="38"/>
      <c r="P504" s="36"/>
      <c r="Q504" s="37"/>
      <c r="R504" s="39"/>
    </row>
    <row r="505" spans="2:18" ht="9.75" customHeight="1">
      <c r="B505" s="503"/>
      <c r="C505" s="58" t="s">
        <v>175</v>
      </c>
      <c r="D505" s="58" t="s">
        <v>25</v>
      </c>
      <c r="E505" s="58"/>
      <c r="F505" s="145"/>
      <c r="G505" s="146"/>
      <c r="H505" s="146"/>
      <c r="I505" s="146"/>
      <c r="J505" s="146"/>
      <c r="K505" s="146"/>
      <c r="L505" s="146"/>
      <c r="M505" s="146"/>
      <c r="N505" s="146"/>
      <c r="O505" s="147"/>
      <c r="P505" s="145"/>
      <c r="Q505" s="146"/>
      <c r="R505" s="148"/>
    </row>
    <row r="506" spans="2:18" ht="9.75" customHeight="1">
      <c r="B506" s="503"/>
      <c r="C506" s="58" t="s">
        <v>139</v>
      </c>
      <c r="D506" s="58" t="s">
        <v>27</v>
      </c>
      <c r="E506" s="58"/>
      <c r="F506" s="145"/>
      <c r="G506" s="146"/>
      <c r="H506" s="146"/>
      <c r="I506" s="146"/>
      <c r="J506" s="146"/>
      <c r="K506" s="146"/>
      <c r="L506" s="146"/>
      <c r="M506" s="146"/>
      <c r="N506" s="146"/>
      <c r="O506" s="147"/>
      <c r="P506" s="145"/>
      <c r="Q506" s="146"/>
      <c r="R506" s="148"/>
    </row>
    <row r="507" spans="2:18" ht="9.75" customHeight="1">
      <c r="B507" s="503"/>
      <c r="C507" s="58"/>
      <c r="D507" s="58" t="s">
        <v>115</v>
      </c>
      <c r="E507" s="58"/>
      <c r="F507" s="145"/>
      <c r="G507" s="146"/>
      <c r="H507" s="146"/>
      <c r="I507" s="146"/>
      <c r="J507" s="146"/>
      <c r="K507" s="146"/>
      <c r="L507" s="146"/>
      <c r="M507" s="146"/>
      <c r="N507" s="146"/>
      <c r="O507" s="147"/>
      <c r="P507" s="145"/>
      <c r="Q507" s="146"/>
      <c r="R507" s="148"/>
    </row>
    <row r="508" spans="2:18" ht="9.75" customHeight="1">
      <c r="B508" s="503"/>
      <c r="C508" s="58"/>
      <c r="D508" s="58" t="s">
        <v>115</v>
      </c>
      <c r="E508" s="58"/>
      <c r="F508" s="145"/>
      <c r="G508" s="146"/>
      <c r="H508" s="146"/>
      <c r="I508" s="146"/>
      <c r="J508" s="146"/>
      <c r="K508" s="146"/>
      <c r="L508" s="146"/>
      <c r="M508" s="146"/>
      <c r="N508" s="146"/>
      <c r="O508" s="147"/>
      <c r="P508" s="145"/>
      <c r="Q508" s="146"/>
      <c r="R508" s="148"/>
    </row>
    <row r="509" spans="2:18" ht="9.75" customHeight="1">
      <c r="B509" s="503"/>
      <c r="C509" s="58"/>
      <c r="D509" s="58" t="s">
        <v>32</v>
      </c>
      <c r="E509" s="58"/>
      <c r="F509" s="145"/>
      <c r="G509" s="146"/>
      <c r="H509" s="146"/>
      <c r="I509" s="146"/>
      <c r="J509" s="146"/>
      <c r="K509" s="146"/>
      <c r="L509" s="146"/>
      <c r="M509" s="146"/>
      <c r="N509" s="146"/>
      <c r="O509" s="147"/>
      <c r="P509" s="145"/>
      <c r="Q509" s="146"/>
      <c r="R509" s="148"/>
    </row>
    <row r="510" spans="2:18" ht="9.75" customHeight="1">
      <c r="B510" s="503"/>
      <c r="C510" s="58"/>
      <c r="D510" s="58" t="s">
        <v>120</v>
      </c>
      <c r="E510" s="58"/>
      <c r="F510" s="145"/>
      <c r="G510" s="146"/>
      <c r="H510" s="146"/>
      <c r="I510" s="146"/>
      <c r="J510" s="146"/>
      <c r="K510" s="146"/>
      <c r="L510" s="146"/>
      <c r="M510" s="146"/>
      <c r="N510" s="146"/>
      <c r="O510" s="147"/>
      <c r="P510" s="145"/>
      <c r="Q510" s="146"/>
      <c r="R510" s="148"/>
    </row>
    <row r="511" spans="2:18" ht="9.75" customHeight="1">
      <c r="B511" s="503"/>
      <c r="C511" s="58"/>
      <c r="D511" s="58" t="s">
        <v>120</v>
      </c>
      <c r="E511" s="58"/>
      <c r="F511" s="145"/>
      <c r="G511" s="146"/>
      <c r="H511" s="146"/>
      <c r="I511" s="146"/>
      <c r="J511" s="146"/>
      <c r="K511" s="146"/>
      <c r="L511" s="146"/>
      <c r="M511" s="146"/>
      <c r="N511" s="146"/>
      <c r="O511" s="147"/>
      <c r="P511" s="145"/>
      <c r="Q511" s="146"/>
      <c r="R511" s="148"/>
    </row>
    <row r="512" spans="2:18" ht="9.75" customHeight="1">
      <c r="B512" s="503"/>
      <c r="C512" s="58"/>
      <c r="D512" s="58" t="s">
        <v>120</v>
      </c>
      <c r="E512" s="58"/>
      <c r="F512" s="145"/>
      <c r="G512" s="146"/>
      <c r="H512" s="146"/>
      <c r="I512" s="146"/>
      <c r="J512" s="146"/>
      <c r="K512" s="146"/>
      <c r="L512" s="146"/>
      <c r="M512" s="146"/>
      <c r="N512" s="146"/>
      <c r="O512" s="147"/>
      <c r="P512" s="145"/>
      <c r="Q512" s="146"/>
      <c r="R512" s="148"/>
    </row>
    <row r="513" spans="3:18" ht="9.75" customHeight="1">
      <c r="C513" s="58"/>
      <c r="D513" s="58" t="s">
        <v>120</v>
      </c>
      <c r="E513" s="58"/>
      <c r="F513" s="145"/>
      <c r="G513" s="146"/>
      <c r="H513" s="146"/>
      <c r="I513" s="146"/>
      <c r="J513" s="146"/>
      <c r="K513" s="146"/>
      <c r="L513" s="146"/>
      <c r="M513" s="146"/>
      <c r="N513" s="146"/>
      <c r="O513" s="147"/>
      <c r="P513" s="145"/>
      <c r="Q513" s="146"/>
      <c r="R513" s="148"/>
    </row>
    <row r="514" spans="3:18" ht="9.75" customHeight="1">
      <c r="C514" s="58"/>
      <c r="D514" s="58" t="s">
        <v>120</v>
      </c>
      <c r="E514" s="58"/>
      <c r="F514" s="145"/>
      <c r="G514" s="146"/>
      <c r="H514" s="146"/>
      <c r="I514" s="146"/>
      <c r="J514" s="146"/>
      <c r="K514" s="146"/>
      <c r="L514" s="146"/>
      <c r="M514" s="146"/>
      <c r="N514" s="146"/>
      <c r="O514" s="147"/>
      <c r="P514" s="145"/>
      <c r="Q514" s="146"/>
      <c r="R514" s="148"/>
    </row>
    <row r="515" spans="3:18" ht="9.75" customHeight="1">
      <c r="C515" s="58"/>
      <c r="D515" s="58" t="s">
        <v>120</v>
      </c>
      <c r="E515" s="58"/>
      <c r="F515" s="145"/>
      <c r="G515" s="146"/>
      <c r="H515" s="146"/>
      <c r="I515" s="146"/>
      <c r="J515" s="146"/>
      <c r="K515" s="146"/>
      <c r="L515" s="146"/>
      <c r="M515" s="146"/>
      <c r="N515" s="146"/>
      <c r="O515" s="147"/>
      <c r="P515" s="145"/>
      <c r="Q515" s="146"/>
      <c r="R515" s="148"/>
    </row>
    <row r="516" spans="3:18" ht="9.75" customHeight="1">
      <c r="C516" s="58"/>
      <c r="D516" s="58" t="s">
        <v>34</v>
      </c>
      <c r="E516" s="58"/>
      <c r="F516" s="145"/>
      <c r="G516" s="146"/>
      <c r="H516" s="146"/>
      <c r="I516" s="146"/>
      <c r="J516" s="146"/>
      <c r="K516" s="146"/>
      <c r="L516" s="146"/>
      <c r="M516" s="146"/>
      <c r="N516" s="146"/>
      <c r="O516" s="147"/>
      <c r="P516" s="145"/>
      <c r="Q516" s="146"/>
      <c r="R516" s="148"/>
    </row>
    <row r="517" spans="3:18" ht="9.75" customHeight="1">
      <c r="C517" s="58"/>
      <c r="D517" s="58" t="s">
        <v>35</v>
      </c>
      <c r="E517" s="58"/>
      <c r="F517" s="145"/>
      <c r="G517" s="146"/>
      <c r="H517" s="146"/>
      <c r="I517" s="146"/>
      <c r="J517" s="146"/>
      <c r="K517" s="146"/>
      <c r="L517" s="146"/>
      <c r="M517" s="146"/>
      <c r="N517" s="146"/>
      <c r="O517" s="147"/>
      <c r="P517" s="145"/>
      <c r="Q517" s="146"/>
      <c r="R517" s="148"/>
    </row>
    <row r="518" spans="3:18" ht="9.75" customHeight="1">
      <c r="C518" s="58"/>
      <c r="D518" s="58" t="s">
        <v>36</v>
      </c>
      <c r="E518" s="58"/>
      <c r="F518" s="145"/>
      <c r="G518" s="146"/>
      <c r="H518" s="146"/>
      <c r="I518" s="146"/>
      <c r="J518" s="146"/>
      <c r="K518" s="146"/>
      <c r="L518" s="146"/>
      <c r="M518" s="146"/>
      <c r="N518" s="146"/>
      <c r="O518" s="147"/>
      <c r="P518" s="145"/>
      <c r="Q518" s="146"/>
      <c r="R518" s="148"/>
    </row>
    <row r="519" spans="3:18" ht="9.75" customHeight="1">
      <c r="C519" s="58"/>
      <c r="D519" s="58" t="s">
        <v>37</v>
      </c>
      <c r="E519" s="58"/>
      <c r="F519" s="145"/>
      <c r="G519" s="146"/>
      <c r="H519" s="146"/>
      <c r="I519" s="146"/>
      <c r="J519" s="146"/>
      <c r="K519" s="146"/>
      <c r="L519" s="146"/>
      <c r="M519" s="146"/>
      <c r="N519" s="146"/>
      <c r="O519" s="147"/>
      <c r="P519" s="145"/>
      <c r="Q519" s="146"/>
      <c r="R519" s="148"/>
    </row>
    <row r="520" spans="3:18" ht="9.75" customHeight="1">
      <c r="C520" s="449"/>
      <c r="D520" s="450" t="s">
        <v>38</v>
      </c>
      <c r="E520" s="450"/>
      <c r="F520" s="451"/>
      <c r="G520" s="452"/>
      <c r="H520" s="452"/>
      <c r="I520" s="452"/>
      <c r="J520" s="452"/>
      <c r="K520" s="452"/>
      <c r="L520" s="452"/>
      <c r="M520" s="452"/>
      <c r="N520" s="452"/>
      <c r="O520" s="453"/>
      <c r="P520" s="451"/>
      <c r="Q520" s="452"/>
      <c r="R520" s="454"/>
    </row>
    <row r="521" spans="3:18" ht="9.75" customHeight="1">
      <c r="C521" s="43" t="s">
        <v>176</v>
      </c>
      <c r="D521" s="43" t="s">
        <v>23</v>
      </c>
      <c r="E521" s="43"/>
      <c r="F521" s="116"/>
      <c r="G521" s="128"/>
      <c r="H521" s="128"/>
      <c r="I521" s="128"/>
      <c r="J521" s="128"/>
      <c r="K521" s="128"/>
      <c r="L521" s="128"/>
      <c r="M521" s="128"/>
      <c r="N521" s="128"/>
      <c r="O521" s="129"/>
      <c r="P521" s="116"/>
      <c r="Q521" s="128"/>
      <c r="R521" s="141"/>
    </row>
    <row r="522" spans="3:18" ht="9.75" customHeight="1">
      <c r="C522" s="13"/>
      <c r="D522" s="13" t="s">
        <v>25</v>
      </c>
      <c r="E522" s="13"/>
      <c r="F522" s="109"/>
      <c r="G522" s="504"/>
      <c r="H522" s="504"/>
      <c r="I522" s="504"/>
      <c r="J522" s="504"/>
      <c r="K522" s="504"/>
      <c r="L522" s="504"/>
      <c r="M522" s="504"/>
      <c r="N522" s="504"/>
      <c r="O522" s="110"/>
      <c r="P522" s="109"/>
      <c r="Q522" s="504"/>
      <c r="R522" s="107"/>
    </row>
    <row r="523" spans="3:18" ht="9.75" customHeight="1">
      <c r="C523" s="13"/>
      <c r="D523" s="13" t="s">
        <v>27</v>
      </c>
      <c r="E523" s="13"/>
      <c r="F523" s="109"/>
      <c r="G523" s="504"/>
      <c r="H523" s="504"/>
      <c r="I523" s="504"/>
      <c r="J523" s="504"/>
      <c r="K523" s="504"/>
      <c r="L523" s="504"/>
      <c r="M523" s="504"/>
      <c r="N523" s="504"/>
      <c r="O523" s="110"/>
      <c r="P523" s="109"/>
      <c r="Q523" s="504"/>
      <c r="R523" s="107"/>
    </row>
    <row r="524" spans="3:18" ht="9.75" customHeight="1">
      <c r="C524" s="13"/>
      <c r="D524" s="13" t="s">
        <v>115</v>
      </c>
      <c r="E524" s="13"/>
      <c r="F524" s="109"/>
      <c r="G524" s="504"/>
      <c r="H524" s="504"/>
      <c r="I524" s="504"/>
      <c r="J524" s="504"/>
      <c r="K524" s="504"/>
      <c r="L524" s="504"/>
      <c r="M524" s="504"/>
      <c r="N524" s="504"/>
      <c r="O524" s="110"/>
      <c r="P524" s="109"/>
      <c r="Q524" s="504"/>
      <c r="R524" s="107"/>
    </row>
    <row r="525" spans="3:18" ht="9.75" customHeight="1">
      <c r="C525" s="13"/>
      <c r="D525" s="13" t="s">
        <v>115</v>
      </c>
      <c r="E525" s="13"/>
      <c r="F525" s="109"/>
      <c r="G525" s="504"/>
      <c r="H525" s="504"/>
      <c r="I525" s="504"/>
      <c r="J525" s="504"/>
      <c r="K525" s="504"/>
      <c r="L525" s="504"/>
      <c r="M525" s="504"/>
      <c r="N525" s="504"/>
      <c r="O525" s="110"/>
      <c r="P525" s="109"/>
      <c r="Q525" s="504"/>
      <c r="R525" s="107"/>
    </row>
    <row r="526" spans="3:18" ht="9.75" customHeight="1">
      <c r="C526" s="13"/>
      <c r="D526" s="13" t="s">
        <v>32</v>
      </c>
      <c r="E526" s="13"/>
      <c r="F526" s="109"/>
      <c r="G526" s="504"/>
      <c r="H526" s="504"/>
      <c r="I526" s="504"/>
      <c r="J526" s="504"/>
      <c r="K526" s="504"/>
      <c r="L526" s="504"/>
      <c r="M526" s="504"/>
      <c r="N526" s="504"/>
      <c r="O526" s="110"/>
      <c r="P526" s="109"/>
      <c r="Q526" s="504"/>
      <c r="R526" s="107"/>
    </row>
    <row r="527" spans="3:18" ht="9.75" customHeight="1">
      <c r="C527" s="13"/>
      <c r="D527" s="13" t="s">
        <v>177</v>
      </c>
      <c r="E527" s="13">
        <v>5</v>
      </c>
      <c r="F527" s="109">
        <v>0</v>
      </c>
      <c r="G527" s="504">
        <v>0</v>
      </c>
      <c r="H527" s="504">
        <v>0</v>
      </c>
      <c r="I527" s="504">
        <v>0</v>
      </c>
      <c r="J527" s="504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09">
        <f t="shared" ref="P527:P529" si="68">MIN(F527:O527)</f>
        <v>0</v>
      </c>
      <c r="Q527" s="504">
        <f t="shared" ref="Q527:Q529" si="69">E527-P527</f>
        <v>5</v>
      </c>
      <c r="R527" s="107">
        <f t="shared" ref="R527:R529" si="70">Q527/E527</f>
        <v>1</v>
      </c>
    </row>
    <row r="528" spans="3:18" ht="9.75" customHeight="1">
      <c r="C528" s="13"/>
      <c r="D528" s="13" t="s">
        <v>178</v>
      </c>
      <c r="E528" s="13">
        <v>5</v>
      </c>
      <c r="F528" s="109">
        <v>0</v>
      </c>
      <c r="G528" s="504">
        <v>0</v>
      </c>
      <c r="H528" s="504">
        <v>0</v>
      </c>
      <c r="I528" s="504">
        <v>0</v>
      </c>
      <c r="J528" s="504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09">
        <f t="shared" si="68"/>
        <v>0</v>
      </c>
      <c r="Q528" s="504">
        <f t="shared" si="69"/>
        <v>5</v>
      </c>
      <c r="R528" s="107">
        <f t="shared" si="70"/>
        <v>1</v>
      </c>
    </row>
    <row r="529" spans="2:18" ht="9.75" customHeight="1">
      <c r="B529" s="503"/>
      <c r="C529" s="13"/>
      <c r="D529" s="13" t="s">
        <v>179</v>
      </c>
      <c r="E529" s="13">
        <v>1</v>
      </c>
      <c r="F529" s="109">
        <v>0</v>
      </c>
      <c r="G529" s="504">
        <v>0</v>
      </c>
      <c r="H529" s="504">
        <v>0</v>
      </c>
      <c r="I529" s="504">
        <v>0</v>
      </c>
      <c r="J529" s="504">
        <v>0</v>
      </c>
      <c r="K529" s="11">
        <v>0</v>
      </c>
      <c r="L529" s="11">
        <v>0</v>
      </c>
      <c r="M529" s="11">
        <v>0</v>
      </c>
      <c r="N529" s="11">
        <v>0</v>
      </c>
      <c r="O529" s="136">
        <v>0</v>
      </c>
      <c r="P529" s="109">
        <f t="shared" si="68"/>
        <v>0</v>
      </c>
      <c r="Q529" s="504">
        <f t="shared" si="69"/>
        <v>1</v>
      </c>
      <c r="R529" s="107">
        <f t="shared" si="70"/>
        <v>1</v>
      </c>
    </row>
    <row r="530" spans="2:18" ht="9.75" customHeight="1">
      <c r="B530" s="503"/>
      <c r="C530" s="13"/>
      <c r="D530" s="13" t="s">
        <v>120</v>
      </c>
      <c r="E530" s="13"/>
      <c r="F530" s="109"/>
      <c r="G530" s="504"/>
      <c r="H530" s="504"/>
      <c r="I530" s="504"/>
      <c r="J530" s="504"/>
      <c r="K530" s="32"/>
      <c r="L530" s="32"/>
      <c r="M530" s="32"/>
      <c r="N530" s="32"/>
      <c r="O530" s="142"/>
      <c r="P530" s="109"/>
      <c r="Q530" s="504"/>
      <c r="R530" s="107"/>
    </row>
    <row r="531" spans="2:18" ht="9.75" customHeight="1">
      <c r="B531" s="503"/>
      <c r="C531" s="13"/>
      <c r="D531" s="13" t="s">
        <v>120</v>
      </c>
      <c r="E531" s="13"/>
      <c r="F531" s="109"/>
      <c r="G531" s="504"/>
      <c r="H531" s="504"/>
      <c r="I531" s="504"/>
      <c r="J531" s="504"/>
      <c r="K531" s="32"/>
      <c r="L531" s="32"/>
      <c r="M531" s="32"/>
      <c r="N531" s="32"/>
      <c r="O531" s="142"/>
      <c r="P531" s="109"/>
      <c r="Q531" s="504"/>
      <c r="R531" s="107"/>
    </row>
    <row r="532" spans="2:18" ht="9.75" customHeight="1">
      <c r="B532" s="503"/>
      <c r="C532" s="13"/>
      <c r="D532" s="13" t="s">
        <v>120</v>
      </c>
      <c r="E532" s="13"/>
      <c r="F532" s="109"/>
      <c r="G532" s="504"/>
      <c r="H532" s="504"/>
      <c r="I532" s="504"/>
      <c r="J532" s="504"/>
      <c r="K532" s="32"/>
      <c r="L532" s="32"/>
      <c r="M532" s="32"/>
      <c r="N532" s="32"/>
      <c r="O532" s="142"/>
      <c r="P532" s="109"/>
      <c r="Q532" s="504"/>
      <c r="R532" s="107"/>
    </row>
    <row r="533" spans="2:18" ht="9.75" customHeight="1">
      <c r="B533" s="503"/>
      <c r="C533" s="13"/>
      <c r="D533" s="13" t="s">
        <v>34</v>
      </c>
      <c r="E533" s="13"/>
      <c r="F533" s="109"/>
      <c r="G533" s="504"/>
      <c r="H533" s="504"/>
      <c r="I533" s="504"/>
      <c r="J533" s="504"/>
      <c r="K533" s="32"/>
      <c r="L533" s="32"/>
      <c r="M533" s="32"/>
      <c r="N533" s="32"/>
      <c r="O533" s="142"/>
      <c r="P533" s="109"/>
      <c r="Q533" s="504"/>
      <c r="R533" s="107"/>
    </row>
    <row r="534" spans="2:18" ht="9.75" customHeight="1">
      <c r="B534" s="503"/>
      <c r="C534" s="13"/>
      <c r="D534" s="13" t="s">
        <v>35</v>
      </c>
      <c r="E534" s="13">
        <v>2</v>
      </c>
      <c r="F534" s="109">
        <v>0</v>
      </c>
      <c r="G534" s="504">
        <v>0</v>
      </c>
      <c r="H534" s="504">
        <v>0</v>
      </c>
      <c r="I534" s="504">
        <v>0</v>
      </c>
      <c r="J534" s="504">
        <v>0</v>
      </c>
      <c r="K534" s="11">
        <v>0</v>
      </c>
      <c r="L534" s="11">
        <v>0</v>
      </c>
      <c r="M534" s="11">
        <v>0</v>
      </c>
      <c r="N534" s="11">
        <v>0</v>
      </c>
      <c r="O534" s="136">
        <v>0</v>
      </c>
      <c r="P534" s="109">
        <f>MIN(F534:O534)</f>
        <v>0</v>
      </c>
      <c r="Q534" s="504">
        <f>E534-P534</f>
        <v>2</v>
      </c>
      <c r="R534" s="107">
        <f>Q534/E534</f>
        <v>1</v>
      </c>
    </row>
    <row r="535" spans="2:18" ht="9.75" customHeight="1">
      <c r="B535" s="503"/>
      <c r="C535" s="13"/>
      <c r="D535" s="13" t="s">
        <v>36</v>
      </c>
      <c r="E535" s="13"/>
      <c r="F535" s="109"/>
      <c r="G535" s="504"/>
      <c r="H535" s="504"/>
      <c r="I535" s="504"/>
      <c r="J535" s="504"/>
      <c r="K535" s="504"/>
      <c r="L535" s="504"/>
      <c r="M535" s="504"/>
      <c r="N535" s="504"/>
      <c r="O535" s="110"/>
      <c r="P535" s="109"/>
      <c r="Q535" s="504"/>
      <c r="R535" s="107"/>
    </row>
    <row r="536" spans="2:18" ht="9.75" customHeight="1">
      <c r="B536" s="503"/>
      <c r="C536" s="13"/>
      <c r="D536" s="13" t="s">
        <v>37</v>
      </c>
      <c r="E536" s="13"/>
      <c r="F536" s="109"/>
      <c r="G536" s="504"/>
      <c r="H536" s="504"/>
      <c r="I536" s="504"/>
      <c r="J536" s="504"/>
      <c r="K536" s="504"/>
      <c r="L536" s="504"/>
      <c r="M536" s="504"/>
      <c r="N536" s="504"/>
      <c r="O536" s="110"/>
      <c r="P536" s="109"/>
      <c r="Q536" s="504"/>
      <c r="R536" s="107"/>
    </row>
    <row r="537" spans="2:18" ht="9.75" customHeight="1">
      <c r="B537" s="503" t="s">
        <v>127</v>
      </c>
      <c r="C537" s="2"/>
      <c r="D537" s="3" t="s">
        <v>38</v>
      </c>
      <c r="E537" s="3">
        <f t="shared" ref="E537:O537" si="71">SUM(E521:E536)</f>
        <v>13</v>
      </c>
      <c r="F537" s="21">
        <f t="shared" si="71"/>
        <v>0</v>
      </c>
      <c r="G537" s="71">
        <f t="shared" si="71"/>
        <v>0</v>
      </c>
      <c r="H537" s="71">
        <f t="shared" si="71"/>
        <v>0</v>
      </c>
      <c r="I537" s="71">
        <f t="shared" si="71"/>
        <v>0</v>
      </c>
      <c r="J537" s="71">
        <f t="shared" si="71"/>
        <v>0</v>
      </c>
      <c r="K537" s="71">
        <f t="shared" si="71"/>
        <v>0</v>
      </c>
      <c r="L537" s="71">
        <f t="shared" si="71"/>
        <v>0</v>
      </c>
      <c r="M537" s="71">
        <f t="shared" si="71"/>
        <v>0</v>
      </c>
      <c r="N537" s="71">
        <f t="shared" si="71"/>
        <v>0</v>
      </c>
      <c r="O537" s="26">
        <f t="shared" si="71"/>
        <v>0</v>
      </c>
      <c r="P537" s="21">
        <f t="shared" ref="P537:P538" si="72">MIN(F537:O537)</f>
        <v>0</v>
      </c>
      <c r="Q537" s="71">
        <f t="shared" ref="Q537:Q538" si="73">E537-P537</f>
        <v>13</v>
      </c>
      <c r="R537" s="7">
        <f t="shared" ref="R537:R538" si="74">Q537/E537</f>
        <v>1</v>
      </c>
    </row>
    <row r="538" spans="2:18" ht="9.75" customHeight="1">
      <c r="B538" s="503"/>
      <c r="C538" s="43" t="s">
        <v>180</v>
      </c>
      <c r="D538" s="43" t="s">
        <v>23</v>
      </c>
      <c r="E538" s="13">
        <v>8</v>
      </c>
      <c r="F538" s="109">
        <v>6</v>
      </c>
      <c r="G538" s="504">
        <v>3</v>
      </c>
      <c r="H538" s="504">
        <v>4</v>
      </c>
      <c r="I538" s="504">
        <v>1</v>
      </c>
      <c r="J538" s="504">
        <v>1</v>
      </c>
      <c r="K538" s="118">
        <v>0</v>
      </c>
      <c r="L538" s="118">
        <v>0</v>
      </c>
      <c r="M538" s="118">
        <v>0</v>
      </c>
      <c r="N538" s="118">
        <v>0</v>
      </c>
      <c r="O538" s="135">
        <v>0</v>
      </c>
      <c r="P538" s="109">
        <f t="shared" si="72"/>
        <v>0</v>
      </c>
      <c r="Q538" s="504">
        <f t="shared" si="73"/>
        <v>8</v>
      </c>
      <c r="R538" s="107">
        <f t="shared" si="74"/>
        <v>1</v>
      </c>
    </row>
    <row r="539" spans="2:18" ht="9.75" customHeight="1">
      <c r="B539" s="503"/>
      <c r="C539" s="13"/>
      <c r="D539" s="13" t="s">
        <v>25</v>
      </c>
      <c r="E539" s="13"/>
      <c r="F539" s="109"/>
      <c r="G539" s="504"/>
      <c r="H539" s="504"/>
      <c r="I539" s="504"/>
      <c r="J539" s="504"/>
      <c r="K539" s="32"/>
      <c r="L539" s="32"/>
      <c r="M539" s="32"/>
      <c r="N539" s="32"/>
      <c r="O539" s="142"/>
      <c r="P539" s="109"/>
      <c r="Q539" s="504"/>
      <c r="R539" s="107"/>
    </row>
    <row r="540" spans="2:18" ht="9.75" customHeight="1">
      <c r="B540" s="503"/>
      <c r="C540" s="13"/>
      <c r="D540" s="13" t="s">
        <v>27</v>
      </c>
      <c r="E540" s="13"/>
      <c r="F540" s="109"/>
      <c r="G540" s="504"/>
      <c r="H540" s="504"/>
      <c r="I540" s="504"/>
      <c r="J540" s="504"/>
      <c r="K540" s="32"/>
      <c r="L540" s="32"/>
      <c r="M540" s="32"/>
      <c r="N540" s="32"/>
      <c r="O540" s="142"/>
      <c r="P540" s="109"/>
      <c r="Q540" s="504"/>
      <c r="R540" s="107"/>
    </row>
    <row r="541" spans="2:18" ht="9.75" customHeight="1">
      <c r="B541" s="503"/>
      <c r="C541" s="13"/>
      <c r="D541" s="13" t="s">
        <v>115</v>
      </c>
      <c r="E541" s="13"/>
      <c r="F541" s="109"/>
      <c r="G541" s="504"/>
      <c r="H541" s="504"/>
      <c r="I541" s="504"/>
      <c r="J541" s="504"/>
      <c r="K541" s="32"/>
      <c r="L541" s="32"/>
      <c r="M541" s="32"/>
      <c r="N541" s="32"/>
      <c r="O541" s="142"/>
      <c r="P541" s="109"/>
      <c r="Q541" s="504"/>
      <c r="R541" s="107"/>
    </row>
    <row r="542" spans="2:18" ht="9.75" customHeight="1">
      <c r="B542" s="503"/>
      <c r="C542" s="13"/>
      <c r="D542" s="13" t="s">
        <v>115</v>
      </c>
      <c r="E542" s="13"/>
      <c r="F542" s="109"/>
      <c r="G542" s="504"/>
      <c r="H542" s="504"/>
      <c r="I542" s="504"/>
      <c r="J542" s="504"/>
      <c r="K542" s="32"/>
      <c r="L542" s="32"/>
      <c r="M542" s="32"/>
      <c r="N542" s="32"/>
      <c r="O542" s="142"/>
      <c r="P542" s="109"/>
      <c r="Q542" s="504"/>
      <c r="R542" s="107"/>
    </row>
    <row r="543" spans="2:18" ht="9.75" customHeight="1">
      <c r="B543" s="503"/>
      <c r="C543" s="13"/>
      <c r="D543" s="13" t="s">
        <v>32</v>
      </c>
      <c r="E543" s="13"/>
      <c r="F543" s="109"/>
      <c r="G543" s="504"/>
      <c r="H543" s="504"/>
      <c r="I543" s="504"/>
      <c r="J543" s="504"/>
      <c r="K543" s="32"/>
      <c r="L543" s="32"/>
      <c r="M543" s="32"/>
      <c r="N543" s="32"/>
      <c r="O543" s="142"/>
      <c r="P543" s="109"/>
      <c r="Q543" s="504"/>
      <c r="R543" s="107"/>
    </row>
    <row r="544" spans="2:18" ht="9.75" customHeight="1">
      <c r="B544" s="503"/>
      <c r="C544" s="13"/>
      <c r="D544" s="13" t="s">
        <v>120</v>
      </c>
      <c r="E544" s="13"/>
      <c r="F544" s="109"/>
      <c r="G544" s="504"/>
      <c r="H544" s="504"/>
      <c r="I544" s="504"/>
      <c r="J544" s="504"/>
      <c r="K544" s="32"/>
      <c r="L544" s="32"/>
      <c r="M544" s="32"/>
      <c r="N544" s="32"/>
      <c r="O544" s="142"/>
      <c r="P544" s="109"/>
      <c r="Q544" s="504"/>
      <c r="R544" s="107"/>
    </row>
    <row r="545" spans="2:18" ht="9.75" customHeight="1">
      <c r="B545" s="503"/>
      <c r="C545" s="13"/>
      <c r="D545" s="13" t="s">
        <v>120</v>
      </c>
      <c r="E545" s="13"/>
      <c r="F545" s="109"/>
      <c r="G545" s="504"/>
      <c r="H545" s="504"/>
      <c r="I545" s="504"/>
      <c r="J545" s="504"/>
      <c r="K545" s="32"/>
      <c r="L545" s="32"/>
      <c r="M545" s="32"/>
      <c r="N545" s="32"/>
      <c r="O545" s="142"/>
      <c r="P545" s="109"/>
      <c r="Q545" s="504"/>
      <c r="R545" s="107"/>
    </row>
    <row r="546" spans="2:18" ht="9.75" customHeight="1">
      <c r="B546" s="503"/>
      <c r="C546" s="13"/>
      <c r="D546" s="13" t="s">
        <v>120</v>
      </c>
      <c r="E546" s="13"/>
      <c r="F546" s="109"/>
      <c r="G546" s="504"/>
      <c r="H546" s="504"/>
      <c r="I546" s="504"/>
      <c r="J546" s="504"/>
      <c r="K546" s="32"/>
      <c r="L546" s="32"/>
      <c r="M546" s="32"/>
      <c r="N546" s="32"/>
      <c r="O546" s="142"/>
      <c r="P546" s="109"/>
      <c r="Q546" s="504"/>
      <c r="R546" s="107"/>
    </row>
    <row r="547" spans="2:18" ht="9.75" customHeight="1">
      <c r="B547" s="503"/>
      <c r="C547" s="13"/>
      <c r="D547" s="13" t="s">
        <v>120</v>
      </c>
      <c r="E547" s="13"/>
      <c r="F547" s="109"/>
      <c r="G547" s="504"/>
      <c r="H547" s="504"/>
      <c r="I547" s="504"/>
      <c r="J547" s="504"/>
      <c r="K547" s="32"/>
      <c r="L547" s="32"/>
      <c r="M547" s="32"/>
      <c r="N547" s="32"/>
      <c r="O547" s="142"/>
      <c r="P547" s="109"/>
      <c r="Q547" s="504"/>
      <c r="R547" s="107"/>
    </row>
    <row r="548" spans="2:18" ht="9.75" customHeight="1">
      <c r="B548" s="503"/>
      <c r="C548" s="13"/>
      <c r="D548" s="13" t="s">
        <v>120</v>
      </c>
      <c r="E548" s="13"/>
      <c r="F548" s="109"/>
      <c r="G548" s="504"/>
      <c r="H548" s="504"/>
      <c r="I548" s="504"/>
      <c r="J548" s="504"/>
      <c r="K548" s="32"/>
      <c r="L548" s="32"/>
      <c r="M548" s="32"/>
      <c r="N548" s="32"/>
      <c r="O548" s="142"/>
      <c r="P548" s="109"/>
      <c r="Q548" s="504"/>
      <c r="R548" s="107"/>
    </row>
    <row r="549" spans="2:18" ht="9.75" customHeight="1">
      <c r="B549" s="503"/>
      <c r="C549" s="13"/>
      <c r="D549" s="13" t="s">
        <v>120</v>
      </c>
      <c r="E549" s="13"/>
      <c r="F549" s="109"/>
      <c r="G549" s="504"/>
      <c r="H549" s="504"/>
      <c r="I549" s="504"/>
      <c r="J549" s="504"/>
      <c r="K549" s="32"/>
      <c r="L549" s="32"/>
      <c r="M549" s="32"/>
      <c r="N549" s="32"/>
      <c r="O549" s="142"/>
      <c r="P549" s="109"/>
      <c r="Q549" s="504"/>
      <c r="R549" s="107"/>
    </row>
    <row r="550" spans="2:18" ht="9.75" customHeight="1">
      <c r="B550" s="503"/>
      <c r="C550" s="13"/>
      <c r="D550" s="13" t="s">
        <v>34</v>
      </c>
      <c r="E550" s="13">
        <v>3</v>
      </c>
      <c r="F550" s="109">
        <v>3</v>
      </c>
      <c r="G550" s="504">
        <v>0</v>
      </c>
      <c r="H550" s="504">
        <v>0</v>
      </c>
      <c r="I550" s="504">
        <v>0</v>
      </c>
      <c r="J550" s="504">
        <v>0</v>
      </c>
      <c r="K550" s="11">
        <v>0</v>
      </c>
      <c r="L550" s="11">
        <v>0</v>
      </c>
      <c r="M550" s="11">
        <v>0</v>
      </c>
      <c r="N550" s="11">
        <v>0</v>
      </c>
      <c r="O550" s="136">
        <v>0</v>
      </c>
      <c r="P550" s="109">
        <f>MIN(F550:O550)</f>
        <v>0</v>
      </c>
      <c r="Q550" s="504">
        <f>E550-P550</f>
        <v>3</v>
      </c>
      <c r="R550" s="107">
        <f>Q550/E550</f>
        <v>1</v>
      </c>
    </row>
    <row r="551" spans="2:18" ht="9.75" customHeight="1">
      <c r="B551" s="503"/>
      <c r="C551" s="13"/>
      <c r="D551" s="13" t="s">
        <v>35</v>
      </c>
      <c r="E551" s="13"/>
      <c r="F551" s="109"/>
      <c r="G551" s="504"/>
      <c r="H551" s="504"/>
      <c r="I551" s="504"/>
      <c r="J551" s="504"/>
      <c r="K551" s="32"/>
      <c r="L551" s="32"/>
      <c r="M551" s="32"/>
      <c r="N551" s="32"/>
      <c r="O551" s="142"/>
      <c r="P551" s="109"/>
      <c r="Q551" s="504"/>
      <c r="R551" s="107"/>
    </row>
    <row r="552" spans="2:18" ht="9.75" customHeight="1">
      <c r="B552" s="503"/>
      <c r="C552" s="13"/>
      <c r="D552" s="13" t="s">
        <v>36</v>
      </c>
      <c r="E552" s="13"/>
      <c r="F552" s="109"/>
      <c r="G552" s="504"/>
      <c r="H552" s="504"/>
      <c r="I552" s="504"/>
      <c r="J552" s="504"/>
      <c r="K552" s="32"/>
      <c r="L552" s="32"/>
      <c r="M552" s="32"/>
      <c r="N552" s="32"/>
      <c r="O552" s="142"/>
      <c r="P552" s="109"/>
      <c r="Q552" s="504"/>
      <c r="R552" s="107"/>
    </row>
    <row r="553" spans="2:18" ht="9.75" customHeight="1">
      <c r="B553" s="503"/>
      <c r="C553" s="13"/>
      <c r="D553" s="13" t="s">
        <v>37</v>
      </c>
      <c r="E553" s="13">
        <v>8</v>
      </c>
      <c r="F553" s="109">
        <v>8</v>
      </c>
      <c r="G553" s="504">
        <v>5</v>
      </c>
      <c r="H553" s="504">
        <v>6</v>
      </c>
      <c r="I553" s="504">
        <v>5</v>
      </c>
      <c r="J553" s="504">
        <v>4</v>
      </c>
      <c r="K553" s="143">
        <v>0</v>
      </c>
      <c r="L553" s="143">
        <v>0</v>
      </c>
      <c r="M553" s="143">
        <v>1</v>
      </c>
      <c r="N553" s="143">
        <v>2</v>
      </c>
      <c r="O553" s="144">
        <v>3</v>
      </c>
      <c r="P553" s="109">
        <f t="shared" ref="P553:P554" si="75">MIN(F553:O553)</f>
        <v>0</v>
      </c>
      <c r="Q553" s="504">
        <f t="shared" ref="Q553:Q554" si="76">E553-P553</f>
        <v>8</v>
      </c>
      <c r="R553" s="107">
        <f t="shared" ref="R553:R554" si="77">Q553/E553</f>
        <v>1</v>
      </c>
    </row>
    <row r="554" spans="2:18" ht="9.75" customHeight="1">
      <c r="B554" s="503" t="s">
        <v>127</v>
      </c>
      <c r="C554" s="2"/>
      <c r="D554" s="3" t="s">
        <v>38</v>
      </c>
      <c r="E554" s="3">
        <f t="shared" ref="E554:O554" si="78">SUM(E538:E553)</f>
        <v>19</v>
      </c>
      <c r="F554" s="21">
        <f t="shared" si="78"/>
        <v>17</v>
      </c>
      <c r="G554" s="71">
        <f t="shared" si="78"/>
        <v>8</v>
      </c>
      <c r="H554" s="71">
        <f t="shared" si="78"/>
        <v>10</v>
      </c>
      <c r="I554" s="71">
        <f t="shared" si="78"/>
        <v>6</v>
      </c>
      <c r="J554" s="71">
        <f t="shared" si="78"/>
        <v>5</v>
      </c>
      <c r="K554" s="70">
        <f t="shared" si="78"/>
        <v>0</v>
      </c>
      <c r="L554" s="70">
        <f t="shared" si="78"/>
        <v>0</v>
      </c>
      <c r="M554" s="70">
        <f t="shared" si="78"/>
        <v>1</v>
      </c>
      <c r="N554" s="70">
        <f t="shared" si="78"/>
        <v>2</v>
      </c>
      <c r="O554" s="27">
        <f t="shared" si="78"/>
        <v>3</v>
      </c>
      <c r="P554" s="21">
        <f t="shared" si="75"/>
        <v>0</v>
      </c>
      <c r="Q554" s="71">
        <f t="shared" si="76"/>
        <v>19</v>
      </c>
      <c r="R554" s="7">
        <f t="shared" si="77"/>
        <v>1</v>
      </c>
    </row>
    <row r="555" spans="2:18" ht="9.75" customHeight="1">
      <c r="B555" s="503"/>
      <c r="C555" s="43" t="s">
        <v>181</v>
      </c>
      <c r="D555" s="43" t="s">
        <v>23</v>
      </c>
      <c r="E555" s="43"/>
      <c r="F555" s="116"/>
      <c r="G555" s="128"/>
      <c r="H555" s="128"/>
      <c r="I555" s="128"/>
      <c r="J555" s="128"/>
      <c r="K555" s="128"/>
      <c r="L555" s="128"/>
      <c r="M555" s="128"/>
      <c r="N555" s="128"/>
      <c r="O555" s="129"/>
      <c r="P555" s="116"/>
      <c r="Q555" s="128"/>
      <c r="R555" s="141"/>
    </row>
    <row r="556" spans="2:18" ht="9.75" customHeight="1">
      <c r="B556" s="503"/>
      <c r="C556" s="13"/>
      <c r="D556" s="13" t="s">
        <v>25</v>
      </c>
      <c r="E556" s="13"/>
      <c r="F556" s="109"/>
      <c r="G556" s="504"/>
      <c r="H556" s="504"/>
      <c r="I556" s="504"/>
      <c r="J556" s="504"/>
      <c r="K556" s="504"/>
      <c r="L556" s="504"/>
      <c r="M556" s="504"/>
      <c r="N556" s="504"/>
      <c r="O556" s="110"/>
      <c r="P556" s="109"/>
      <c r="Q556" s="504"/>
      <c r="R556" s="107"/>
    </row>
    <row r="557" spans="2:18" ht="9.75" customHeight="1">
      <c r="B557" s="503"/>
      <c r="C557" s="13"/>
      <c r="D557" s="13" t="s">
        <v>27</v>
      </c>
      <c r="E557" s="13"/>
      <c r="F557" s="109"/>
      <c r="G557" s="504"/>
      <c r="H557" s="504"/>
      <c r="I557" s="504"/>
      <c r="J557" s="504"/>
      <c r="K557" s="504"/>
      <c r="L557" s="504"/>
      <c r="M557" s="504"/>
      <c r="N557" s="504"/>
      <c r="O557" s="110"/>
      <c r="P557" s="109"/>
      <c r="Q557" s="504"/>
      <c r="R557" s="107"/>
    </row>
    <row r="558" spans="2:18" ht="9.75" customHeight="1">
      <c r="B558" s="503"/>
      <c r="C558" s="13"/>
      <c r="D558" s="13" t="s">
        <v>115</v>
      </c>
      <c r="E558" s="13"/>
      <c r="F558" s="109"/>
      <c r="G558" s="504"/>
      <c r="H558" s="504"/>
      <c r="I558" s="504"/>
      <c r="J558" s="504"/>
      <c r="K558" s="504"/>
      <c r="L558" s="504"/>
      <c r="M558" s="504"/>
      <c r="N558" s="504"/>
      <c r="O558" s="110"/>
      <c r="P558" s="109"/>
      <c r="Q558" s="504"/>
      <c r="R558" s="107"/>
    </row>
    <row r="559" spans="2:18" ht="9.75" customHeight="1">
      <c r="B559" s="503"/>
      <c r="C559" s="13"/>
      <c r="D559" s="13" t="s">
        <v>115</v>
      </c>
      <c r="E559" s="13"/>
      <c r="F559" s="109"/>
      <c r="G559" s="504"/>
      <c r="H559" s="504"/>
      <c r="I559" s="504"/>
      <c r="J559" s="504"/>
      <c r="K559" s="504"/>
      <c r="L559" s="504"/>
      <c r="M559" s="504"/>
      <c r="N559" s="504"/>
      <c r="O559" s="110"/>
      <c r="P559" s="109"/>
      <c r="Q559" s="504"/>
      <c r="R559" s="107"/>
    </row>
    <row r="560" spans="2:18" ht="9.75" customHeight="1">
      <c r="B560" s="503"/>
      <c r="C560" s="13"/>
      <c r="D560" s="13" t="s">
        <v>32</v>
      </c>
      <c r="E560" s="13">
        <v>1</v>
      </c>
      <c r="F560" s="109">
        <v>0</v>
      </c>
      <c r="G560" s="504">
        <v>0</v>
      </c>
      <c r="H560" s="504">
        <v>0</v>
      </c>
      <c r="I560" s="504">
        <v>0</v>
      </c>
      <c r="J560" s="504">
        <v>0</v>
      </c>
      <c r="K560" s="11">
        <v>0</v>
      </c>
      <c r="L560" s="11">
        <v>0</v>
      </c>
      <c r="M560" s="11">
        <v>0</v>
      </c>
      <c r="N560" s="11">
        <v>1</v>
      </c>
      <c r="O560" s="136">
        <v>1</v>
      </c>
      <c r="P560" s="109">
        <f>MIN(F560:O560)</f>
        <v>0</v>
      </c>
      <c r="Q560" s="504">
        <f>E560-P560</f>
        <v>1</v>
      </c>
      <c r="R560" s="107">
        <f>Q560/E560</f>
        <v>1</v>
      </c>
    </row>
    <row r="561" spans="2:18" ht="9.75" customHeight="1">
      <c r="B561" s="503"/>
      <c r="C561" s="13"/>
      <c r="D561" s="13" t="s">
        <v>120</v>
      </c>
      <c r="E561" s="13"/>
      <c r="F561" s="109"/>
      <c r="G561" s="504"/>
      <c r="H561" s="504"/>
      <c r="I561" s="504"/>
      <c r="J561" s="504"/>
      <c r="K561" s="32"/>
      <c r="L561" s="32"/>
      <c r="M561" s="32"/>
      <c r="N561" s="32"/>
      <c r="O561" s="142"/>
      <c r="P561" s="109"/>
      <c r="Q561" s="504"/>
      <c r="R561" s="107"/>
    </row>
    <row r="562" spans="2:18" ht="9.75" customHeight="1">
      <c r="B562" s="503"/>
      <c r="C562" s="13"/>
      <c r="D562" s="13" t="s">
        <v>120</v>
      </c>
      <c r="E562" s="13"/>
      <c r="F562" s="109"/>
      <c r="G562" s="504"/>
      <c r="H562" s="504"/>
      <c r="I562" s="504"/>
      <c r="J562" s="504"/>
      <c r="K562" s="32"/>
      <c r="L562" s="32"/>
      <c r="M562" s="32"/>
      <c r="N562" s="32"/>
      <c r="O562" s="142"/>
      <c r="P562" s="109"/>
      <c r="Q562" s="504"/>
      <c r="R562" s="107"/>
    </row>
    <row r="563" spans="2:18" ht="9.75" customHeight="1">
      <c r="B563" s="503"/>
      <c r="C563" s="13"/>
      <c r="D563" s="13" t="s">
        <v>120</v>
      </c>
      <c r="E563" s="13"/>
      <c r="F563" s="109"/>
      <c r="G563" s="504"/>
      <c r="H563" s="504"/>
      <c r="I563" s="504"/>
      <c r="J563" s="504"/>
      <c r="K563" s="32"/>
      <c r="L563" s="32"/>
      <c r="M563" s="32"/>
      <c r="N563" s="32"/>
      <c r="O563" s="142"/>
      <c r="P563" s="109"/>
      <c r="Q563" s="504"/>
      <c r="R563" s="107"/>
    </row>
    <row r="564" spans="2:18" ht="9.75" customHeight="1">
      <c r="B564" s="503"/>
      <c r="C564" s="13"/>
      <c r="D564" s="13" t="s">
        <v>120</v>
      </c>
      <c r="E564" s="13"/>
      <c r="F564" s="109"/>
      <c r="G564" s="504"/>
      <c r="H564" s="504"/>
      <c r="I564" s="504"/>
      <c r="J564" s="504"/>
      <c r="K564" s="32"/>
      <c r="L564" s="32"/>
      <c r="M564" s="32"/>
      <c r="N564" s="32"/>
      <c r="O564" s="142"/>
      <c r="P564" s="109"/>
      <c r="Q564" s="504"/>
      <c r="R564" s="107"/>
    </row>
    <row r="565" spans="2:18" ht="9.75" customHeight="1">
      <c r="B565" s="503"/>
      <c r="C565" s="13"/>
      <c r="D565" s="13" t="s">
        <v>120</v>
      </c>
      <c r="E565" s="13"/>
      <c r="F565" s="109"/>
      <c r="G565" s="504"/>
      <c r="H565" s="504"/>
      <c r="I565" s="504"/>
      <c r="J565" s="504"/>
      <c r="K565" s="32"/>
      <c r="L565" s="32"/>
      <c r="M565" s="32"/>
      <c r="N565" s="32"/>
      <c r="O565" s="142"/>
      <c r="P565" s="109"/>
      <c r="Q565" s="504"/>
      <c r="R565" s="107"/>
    </row>
    <row r="566" spans="2:18" ht="9.75" customHeight="1">
      <c r="B566" s="503"/>
      <c r="C566" s="13"/>
      <c r="D566" s="13" t="s">
        <v>120</v>
      </c>
      <c r="E566" s="13"/>
      <c r="F566" s="109"/>
      <c r="G566" s="504"/>
      <c r="H566" s="504"/>
      <c r="I566" s="504"/>
      <c r="J566" s="504"/>
      <c r="K566" s="32"/>
      <c r="L566" s="32"/>
      <c r="M566" s="32"/>
      <c r="N566" s="32"/>
      <c r="O566" s="142"/>
      <c r="P566" s="109"/>
      <c r="Q566" s="504"/>
      <c r="R566" s="107"/>
    </row>
    <row r="567" spans="2:18" ht="9.75" customHeight="1">
      <c r="B567" s="503"/>
      <c r="C567" s="13"/>
      <c r="D567" s="13" t="s">
        <v>34</v>
      </c>
      <c r="E567" s="13">
        <v>3</v>
      </c>
      <c r="F567" s="109">
        <v>0</v>
      </c>
      <c r="G567" s="504">
        <v>0</v>
      </c>
      <c r="H567" s="504">
        <v>0</v>
      </c>
      <c r="I567" s="504">
        <v>0</v>
      </c>
      <c r="J567" s="504">
        <v>0</v>
      </c>
      <c r="K567" s="11">
        <v>0</v>
      </c>
      <c r="L567" s="11">
        <v>0</v>
      </c>
      <c r="M567" s="11">
        <v>0</v>
      </c>
      <c r="N567" s="11">
        <v>2</v>
      </c>
      <c r="O567" s="136">
        <v>2</v>
      </c>
      <c r="P567" s="109">
        <f>MIN(F567:O567)</f>
        <v>0</v>
      </c>
      <c r="Q567" s="504">
        <f>E567-P567</f>
        <v>3</v>
      </c>
      <c r="R567" s="107">
        <f>Q567/E567</f>
        <v>1</v>
      </c>
    </row>
    <row r="568" spans="2:18" ht="9.75" customHeight="1">
      <c r="B568" s="503"/>
      <c r="C568" s="13"/>
      <c r="D568" s="13" t="s">
        <v>35</v>
      </c>
      <c r="E568" s="13"/>
      <c r="F568" s="109"/>
      <c r="G568" s="504"/>
      <c r="H568" s="504"/>
      <c r="I568" s="504"/>
      <c r="J568" s="504"/>
      <c r="K568" s="32"/>
      <c r="L568" s="32"/>
      <c r="M568" s="32"/>
      <c r="N568" s="32"/>
      <c r="O568" s="142"/>
      <c r="P568" s="109"/>
      <c r="Q568" s="504"/>
      <c r="R568" s="107"/>
    </row>
    <row r="569" spans="2:18" ht="9.75" customHeight="1">
      <c r="B569" s="503"/>
      <c r="C569" s="13"/>
      <c r="D569" s="13" t="s">
        <v>36</v>
      </c>
      <c r="E569" s="13">
        <v>2</v>
      </c>
      <c r="F569" s="109">
        <v>2</v>
      </c>
      <c r="G569" s="504">
        <v>2</v>
      </c>
      <c r="H569" s="504">
        <v>2</v>
      </c>
      <c r="I569" s="504">
        <v>2</v>
      </c>
      <c r="J569" s="504">
        <v>2</v>
      </c>
      <c r="K569" s="11">
        <v>2</v>
      </c>
      <c r="L569" s="11">
        <v>2</v>
      </c>
      <c r="M569" s="11">
        <v>2</v>
      </c>
      <c r="N569" s="11">
        <v>2</v>
      </c>
      <c r="O569" s="136">
        <v>2</v>
      </c>
      <c r="P569" s="109">
        <f t="shared" ref="P569:P571" si="79">MIN(F569:O569)</f>
        <v>2</v>
      </c>
      <c r="Q569" s="504">
        <f t="shared" ref="Q569:Q571" si="80">E569-P569</f>
        <v>0</v>
      </c>
      <c r="R569" s="107">
        <f t="shared" ref="R569:R571" si="81">Q569/E569</f>
        <v>0</v>
      </c>
    </row>
    <row r="570" spans="2:18" ht="9.75" customHeight="1">
      <c r="B570" s="503"/>
      <c r="C570" s="13"/>
      <c r="D570" s="13" t="s">
        <v>37</v>
      </c>
      <c r="E570" s="13">
        <v>4</v>
      </c>
      <c r="F570" s="109">
        <v>3</v>
      </c>
      <c r="G570" s="504">
        <v>3</v>
      </c>
      <c r="H570" s="504">
        <v>3</v>
      </c>
      <c r="I570" s="504">
        <v>1</v>
      </c>
      <c r="J570" s="504">
        <v>1</v>
      </c>
      <c r="K570" s="143">
        <v>1</v>
      </c>
      <c r="L570" s="143">
        <v>1</v>
      </c>
      <c r="M570" s="143">
        <v>1</v>
      </c>
      <c r="N570" s="143">
        <v>4</v>
      </c>
      <c r="O570" s="144">
        <v>3</v>
      </c>
      <c r="P570" s="109">
        <f t="shared" si="79"/>
        <v>1</v>
      </c>
      <c r="Q570" s="504">
        <f t="shared" si="80"/>
        <v>3</v>
      </c>
      <c r="R570" s="107">
        <f t="shared" si="81"/>
        <v>0.75</v>
      </c>
    </row>
    <row r="571" spans="2:18" ht="9.75" customHeight="1">
      <c r="B571" s="503" t="s">
        <v>127</v>
      </c>
      <c r="C571" s="2"/>
      <c r="D571" s="3" t="s">
        <v>38</v>
      </c>
      <c r="E571" s="3">
        <f t="shared" ref="E571:O571" si="82">SUM(E555:E570)</f>
        <v>10</v>
      </c>
      <c r="F571" s="21">
        <f t="shared" si="82"/>
        <v>5</v>
      </c>
      <c r="G571" s="71">
        <f t="shared" si="82"/>
        <v>5</v>
      </c>
      <c r="H571" s="71">
        <f t="shared" si="82"/>
        <v>5</v>
      </c>
      <c r="I571" s="71">
        <f t="shared" si="82"/>
        <v>3</v>
      </c>
      <c r="J571" s="71">
        <f t="shared" si="82"/>
        <v>3</v>
      </c>
      <c r="K571" s="71">
        <f t="shared" si="82"/>
        <v>3</v>
      </c>
      <c r="L571" s="71">
        <f t="shared" si="82"/>
        <v>3</v>
      </c>
      <c r="M571" s="71">
        <f t="shared" si="82"/>
        <v>3</v>
      </c>
      <c r="N571" s="71">
        <f t="shared" si="82"/>
        <v>9</v>
      </c>
      <c r="O571" s="26">
        <f t="shared" si="82"/>
        <v>8</v>
      </c>
      <c r="P571" s="21">
        <f t="shared" si="79"/>
        <v>3</v>
      </c>
      <c r="Q571" s="71">
        <f t="shared" si="80"/>
        <v>7</v>
      </c>
      <c r="R571" s="7">
        <f t="shared" si="81"/>
        <v>0.7</v>
      </c>
    </row>
    <row r="572" spans="2:18" ht="9.75" customHeight="1">
      <c r="B572" s="503"/>
      <c r="C572" s="43" t="s">
        <v>182</v>
      </c>
      <c r="D572" s="43" t="s">
        <v>23</v>
      </c>
      <c r="E572" s="43"/>
      <c r="F572" s="116"/>
      <c r="G572" s="128"/>
      <c r="H572" s="128"/>
      <c r="I572" s="128"/>
      <c r="J572" s="128"/>
      <c r="K572" s="128"/>
      <c r="L572" s="128"/>
      <c r="M572" s="128"/>
      <c r="N572" s="128"/>
      <c r="O572" s="129"/>
      <c r="P572" s="116"/>
      <c r="Q572" s="128"/>
      <c r="R572" s="141"/>
    </row>
    <row r="573" spans="2:18" ht="9.75" customHeight="1">
      <c r="B573" s="503"/>
      <c r="C573" s="13"/>
      <c r="D573" s="13" t="s">
        <v>25</v>
      </c>
      <c r="E573" s="13"/>
      <c r="F573" s="109"/>
      <c r="G573" s="504"/>
      <c r="H573" s="504"/>
      <c r="I573" s="504"/>
      <c r="J573" s="504"/>
      <c r="K573" s="504"/>
      <c r="L573" s="504"/>
      <c r="M573" s="504"/>
      <c r="N573" s="504"/>
      <c r="O573" s="110"/>
      <c r="P573" s="109"/>
      <c r="Q573" s="504"/>
      <c r="R573" s="107"/>
    </row>
    <row r="574" spans="2:18" ht="9.75" customHeight="1">
      <c r="B574" s="503"/>
      <c r="C574" s="13"/>
      <c r="D574" s="13" t="s">
        <v>27</v>
      </c>
      <c r="E574" s="13"/>
      <c r="F574" s="109"/>
      <c r="G574" s="504"/>
      <c r="H574" s="504"/>
      <c r="I574" s="504"/>
      <c r="J574" s="504"/>
      <c r="K574" s="504"/>
      <c r="L574" s="504"/>
      <c r="M574" s="504"/>
      <c r="N574" s="504"/>
      <c r="O574" s="110"/>
      <c r="P574" s="109"/>
      <c r="Q574" s="504"/>
      <c r="R574" s="107"/>
    </row>
    <row r="575" spans="2:18" ht="9.75" customHeight="1">
      <c r="B575" s="503"/>
      <c r="C575" s="13"/>
      <c r="D575" s="13" t="s">
        <v>115</v>
      </c>
      <c r="E575" s="13"/>
      <c r="F575" s="109"/>
      <c r="G575" s="504"/>
      <c r="H575" s="504"/>
      <c r="I575" s="504"/>
      <c r="J575" s="504"/>
      <c r="K575" s="504"/>
      <c r="L575" s="504"/>
      <c r="M575" s="504"/>
      <c r="N575" s="504"/>
      <c r="O575" s="110"/>
      <c r="P575" s="109"/>
      <c r="Q575" s="504"/>
      <c r="R575" s="107"/>
    </row>
    <row r="576" spans="2:18" ht="9.75" customHeight="1">
      <c r="B576" s="503"/>
      <c r="C576" s="13"/>
      <c r="D576" s="13" t="s">
        <v>115</v>
      </c>
      <c r="E576" s="13"/>
      <c r="F576" s="109"/>
      <c r="G576" s="504"/>
      <c r="H576" s="504"/>
      <c r="I576" s="504"/>
      <c r="J576" s="504"/>
      <c r="K576" s="504"/>
      <c r="L576" s="504"/>
      <c r="M576" s="504"/>
      <c r="N576" s="504"/>
      <c r="O576" s="110"/>
      <c r="P576" s="109"/>
      <c r="Q576" s="504"/>
      <c r="R576" s="107"/>
    </row>
    <row r="577" spans="2:18" ht="9.75" customHeight="1">
      <c r="B577" s="503"/>
      <c r="C577" s="13"/>
      <c r="D577" s="13" t="s">
        <v>32</v>
      </c>
      <c r="E577" s="13">
        <v>5</v>
      </c>
      <c r="F577" s="109">
        <v>1</v>
      </c>
      <c r="G577" s="504">
        <v>3</v>
      </c>
      <c r="H577" s="504">
        <v>3</v>
      </c>
      <c r="I577" s="504">
        <v>1</v>
      </c>
      <c r="J577" s="504">
        <v>1</v>
      </c>
      <c r="K577" s="11">
        <v>1</v>
      </c>
      <c r="L577" s="11">
        <v>0</v>
      </c>
      <c r="M577" s="11">
        <v>0</v>
      </c>
      <c r="N577" s="11">
        <v>0</v>
      </c>
      <c r="O577" s="136">
        <v>0</v>
      </c>
      <c r="P577" s="109">
        <f>MIN(F577:O577)</f>
        <v>0</v>
      </c>
      <c r="Q577" s="504">
        <f>E577-P577</f>
        <v>5</v>
      </c>
      <c r="R577" s="107">
        <f>Q577/E577</f>
        <v>1</v>
      </c>
    </row>
    <row r="578" spans="2:18" ht="9.75" customHeight="1">
      <c r="B578" s="503"/>
      <c r="C578" s="13"/>
      <c r="D578" s="13" t="s">
        <v>120</v>
      </c>
      <c r="E578" s="13"/>
      <c r="F578" s="109"/>
      <c r="G578" s="504"/>
      <c r="H578" s="504"/>
      <c r="I578" s="504"/>
      <c r="J578" s="504"/>
      <c r="K578" s="504"/>
      <c r="L578" s="504"/>
      <c r="M578" s="504"/>
      <c r="N578" s="504"/>
      <c r="O578" s="110"/>
      <c r="P578" s="109"/>
      <c r="Q578" s="504"/>
      <c r="R578" s="107"/>
    </row>
    <row r="579" spans="2:18" ht="9.75" customHeight="1">
      <c r="B579" s="503"/>
      <c r="C579" s="13"/>
      <c r="D579" s="13" t="s">
        <v>120</v>
      </c>
      <c r="E579" s="13"/>
      <c r="F579" s="109"/>
      <c r="G579" s="504"/>
      <c r="H579" s="504"/>
      <c r="I579" s="504"/>
      <c r="J579" s="504"/>
      <c r="K579" s="504"/>
      <c r="L579" s="504"/>
      <c r="M579" s="504"/>
      <c r="N579" s="504"/>
      <c r="O579" s="110"/>
      <c r="P579" s="109"/>
      <c r="Q579" s="504"/>
      <c r="R579" s="107"/>
    </row>
    <row r="580" spans="2:18" ht="9.75" customHeight="1">
      <c r="B580" s="503"/>
      <c r="C580" s="13"/>
      <c r="D580" s="13" t="s">
        <v>120</v>
      </c>
      <c r="E580" s="13"/>
      <c r="F580" s="109"/>
      <c r="G580" s="504"/>
      <c r="H580" s="504"/>
      <c r="I580" s="504"/>
      <c r="J580" s="504"/>
      <c r="K580" s="504"/>
      <c r="L580" s="504"/>
      <c r="M580" s="504"/>
      <c r="N580" s="504"/>
      <c r="O580" s="110"/>
      <c r="P580" s="109"/>
      <c r="Q580" s="504"/>
      <c r="R580" s="107"/>
    </row>
    <row r="581" spans="2:18" ht="9.75" customHeight="1">
      <c r="B581" s="503"/>
      <c r="C581" s="13"/>
      <c r="D581" s="13" t="s">
        <v>120</v>
      </c>
      <c r="E581" s="13"/>
      <c r="F581" s="109"/>
      <c r="G581" s="504"/>
      <c r="H581" s="504"/>
      <c r="I581" s="504"/>
      <c r="J581" s="504"/>
      <c r="K581" s="504"/>
      <c r="L581" s="504"/>
      <c r="M581" s="504"/>
      <c r="N581" s="504"/>
      <c r="O581" s="110"/>
      <c r="P581" s="109"/>
      <c r="Q581" s="504"/>
      <c r="R581" s="107"/>
    </row>
    <row r="582" spans="2:18" ht="9.75" customHeight="1">
      <c r="B582" s="503"/>
      <c r="C582" s="13"/>
      <c r="D582" s="13" t="s">
        <v>120</v>
      </c>
      <c r="E582" s="13"/>
      <c r="F582" s="109"/>
      <c r="G582" s="504"/>
      <c r="H582" s="504"/>
      <c r="I582" s="504"/>
      <c r="J582" s="504"/>
      <c r="K582" s="504"/>
      <c r="L582" s="504"/>
      <c r="M582" s="504"/>
      <c r="N582" s="504"/>
      <c r="O582" s="110"/>
      <c r="P582" s="109"/>
      <c r="Q582" s="504"/>
      <c r="R582" s="107"/>
    </row>
    <row r="583" spans="2:18" ht="9.75" customHeight="1">
      <c r="B583" s="503"/>
      <c r="C583" s="13"/>
      <c r="D583" s="13" t="s">
        <v>120</v>
      </c>
      <c r="E583" s="13"/>
      <c r="F583" s="109"/>
      <c r="G583" s="504"/>
      <c r="H583" s="504"/>
      <c r="I583" s="504"/>
      <c r="J583" s="504"/>
      <c r="K583" s="504"/>
      <c r="L583" s="504"/>
      <c r="M583" s="504"/>
      <c r="N583" s="504"/>
      <c r="O583" s="110"/>
      <c r="P583" s="109"/>
      <c r="Q583" s="504"/>
      <c r="R583" s="107"/>
    </row>
    <row r="584" spans="2:18" ht="9.75" customHeight="1">
      <c r="B584" s="503"/>
      <c r="C584" s="13"/>
      <c r="D584" s="13" t="s">
        <v>34</v>
      </c>
      <c r="E584" s="13"/>
      <c r="F584" s="109"/>
      <c r="G584" s="504"/>
      <c r="H584" s="504"/>
      <c r="I584" s="504"/>
      <c r="J584" s="504"/>
      <c r="K584" s="504"/>
      <c r="L584" s="504"/>
      <c r="M584" s="504"/>
      <c r="N584" s="504"/>
      <c r="O584" s="110"/>
      <c r="P584" s="109"/>
      <c r="Q584" s="504"/>
      <c r="R584" s="107"/>
    </row>
    <row r="585" spans="2:18" ht="9.75" customHeight="1">
      <c r="B585" s="503"/>
      <c r="C585" s="13"/>
      <c r="D585" s="13" t="s">
        <v>35</v>
      </c>
      <c r="E585" s="13"/>
      <c r="F585" s="109"/>
      <c r="G585" s="504"/>
      <c r="H585" s="504"/>
      <c r="I585" s="504"/>
      <c r="J585" s="504"/>
      <c r="K585" s="504"/>
      <c r="L585" s="504"/>
      <c r="M585" s="504"/>
      <c r="N585" s="504"/>
      <c r="O585" s="110"/>
      <c r="P585" s="109"/>
      <c r="Q585" s="504"/>
      <c r="R585" s="107"/>
    </row>
    <row r="586" spans="2:18" ht="9.75" customHeight="1">
      <c r="B586" s="503"/>
      <c r="C586" s="13"/>
      <c r="D586" s="13" t="s">
        <v>36</v>
      </c>
      <c r="E586" s="13"/>
      <c r="F586" s="109"/>
      <c r="G586" s="504"/>
      <c r="H586" s="504"/>
      <c r="I586" s="504"/>
      <c r="J586" s="504"/>
      <c r="K586" s="504"/>
      <c r="L586" s="504"/>
      <c r="M586" s="504"/>
      <c r="N586" s="504"/>
      <c r="O586" s="110"/>
      <c r="P586" s="109"/>
      <c r="Q586" s="504"/>
      <c r="R586" s="107"/>
    </row>
    <row r="587" spans="2:18" ht="9.75" customHeight="1">
      <c r="B587" s="503"/>
      <c r="C587" s="13"/>
      <c r="D587" s="13" t="s">
        <v>37</v>
      </c>
      <c r="E587" s="13"/>
      <c r="F587" s="109"/>
      <c r="G587" s="504"/>
      <c r="H587" s="504"/>
      <c r="I587" s="504"/>
      <c r="J587" s="504"/>
      <c r="K587" s="504"/>
      <c r="L587" s="504"/>
      <c r="M587" s="504"/>
      <c r="N587" s="504"/>
      <c r="O587" s="110"/>
      <c r="P587" s="109"/>
      <c r="Q587" s="504"/>
      <c r="R587" s="107"/>
    </row>
    <row r="588" spans="2:18" ht="9.75" customHeight="1">
      <c r="B588" s="503" t="s">
        <v>127</v>
      </c>
      <c r="C588" s="2"/>
      <c r="D588" s="3" t="s">
        <v>38</v>
      </c>
      <c r="E588" s="3">
        <f t="shared" ref="E588:O588" si="83">SUM(E572:E587)</f>
        <v>5</v>
      </c>
      <c r="F588" s="21">
        <f t="shared" si="83"/>
        <v>1</v>
      </c>
      <c r="G588" s="71">
        <f t="shared" si="83"/>
        <v>3</v>
      </c>
      <c r="H588" s="71">
        <f t="shared" si="83"/>
        <v>3</v>
      </c>
      <c r="I588" s="71">
        <f t="shared" si="83"/>
        <v>1</v>
      </c>
      <c r="J588" s="71">
        <f t="shared" si="83"/>
        <v>1</v>
      </c>
      <c r="K588" s="71">
        <f t="shared" si="83"/>
        <v>1</v>
      </c>
      <c r="L588" s="71">
        <f t="shared" si="83"/>
        <v>0</v>
      </c>
      <c r="M588" s="71">
        <f t="shared" si="83"/>
        <v>0</v>
      </c>
      <c r="N588" s="71">
        <f t="shared" si="83"/>
        <v>0</v>
      </c>
      <c r="O588" s="26">
        <f t="shared" si="83"/>
        <v>0</v>
      </c>
      <c r="P588" s="21">
        <f>MIN(F588:O588)</f>
        <v>0</v>
      </c>
      <c r="Q588" s="71">
        <f>E588-P588</f>
        <v>5</v>
      </c>
      <c r="R588" s="7">
        <f>Q588/E588</f>
        <v>1</v>
      </c>
    </row>
    <row r="589" spans="2:18" ht="9.75" customHeight="1">
      <c r="B589" s="503"/>
      <c r="C589" s="43" t="s">
        <v>183</v>
      </c>
      <c r="D589" s="43" t="s">
        <v>23</v>
      </c>
      <c r="E589" s="43"/>
      <c r="F589" s="116"/>
      <c r="G589" s="128"/>
      <c r="H589" s="128"/>
      <c r="I589" s="128"/>
      <c r="J589" s="128"/>
      <c r="K589" s="128"/>
      <c r="L589" s="128"/>
      <c r="M589" s="128"/>
      <c r="N589" s="128"/>
      <c r="O589" s="129"/>
      <c r="P589" s="116"/>
      <c r="Q589" s="128"/>
      <c r="R589" s="141"/>
    </row>
    <row r="590" spans="2:18" ht="9.75" customHeight="1">
      <c r="B590" s="503"/>
      <c r="C590" s="13"/>
      <c r="D590" s="13" t="s">
        <v>25</v>
      </c>
      <c r="E590" s="13"/>
      <c r="F590" s="109"/>
      <c r="G590" s="504"/>
      <c r="H590" s="504"/>
      <c r="I590" s="504"/>
      <c r="J590" s="504"/>
      <c r="K590" s="504"/>
      <c r="L590" s="504"/>
      <c r="M590" s="504"/>
      <c r="N590" s="504"/>
      <c r="O590" s="110"/>
      <c r="P590" s="109"/>
      <c r="Q590" s="504"/>
      <c r="R590" s="107"/>
    </row>
    <row r="591" spans="2:18" ht="9.75" customHeight="1">
      <c r="B591" s="503"/>
      <c r="C591" s="13"/>
      <c r="D591" s="13" t="s">
        <v>27</v>
      </c>
      <c r="E591" s="13"/>
      <c r="F591" s="109"/>
      <c r="G591" s="504"/>
      <c r="H591" s="504"/>
      <c r="I591" s="504"/>
      <c r="J591" s="504"/>
      <c r="K591" s="504"/>
      <c r="L591" s="504"/>
      <c r="M591" s="504"/>
      <c r="N591" s="504"/>
      <c r="O591" s="110"/>
      <c r="P591" s="109"/>
      <c r="Q591" s="504"/>
      <c r="R591" s="107"/>
    </row>
    <row r="592" spans="2:18" ht="9.75" customHeight="1">
      <c r="B592" s="503"/>
      <c r="C592" s="13"/>
      <c r="D592" s="13" t="s">
        <v>115</v>
      </c>
      <c r="E592" s="13"/>
      <c r="F592" s="109"/>
      <c r="G592" s="504"/>
      <c r="H592" s="504"/>
      <c r="I592" s="504"/>
      <c r="J592" s="504"/>
      <c r="K592" s="504"/>
      <c r="L592" s="504"/>
      <c r="M592" s="504"/>
      <c r="N592" s="504"/>
      <c r="O592" s="110"/>
      <c r="P592" s="109"/>
      <c r="Q592" s="504"/>
      <c r="R592" s="107"/>
    </row>
    <row r="593" spans="2:18" ht="9.75" customHeight="1">
      <c r="B593" s="503"/>
      <c r="C593" s="13"/>
      <c r="D593" s="13" t="s">
        <v>115</v>
      </c>
      <c r="E593" s="13"/>
      <c r="F593" s="109"/>
      <c r="G593" s="504"/>
      <c r="H593" s="504"/>
      <c r="I593" s="504"/>
      <c r="J593" s="504"/>
      <c r="K593" s="504"/>
      <c r="L593" s="504"/>
      <c r="M593" s="504"/>
      <c r="N593" s="504"/>
      <c r="O593" s="110"/>
      <c r="P593" s="109"/>
      <c r="Q593" s="504"/>
      <c r="R593" s="107"/>
    </row>
    <row r="594" spans="2:18" ht="9.75" customHeight="1">
      <c r="B594" s="503"/>
      <c r="C594" s="13"/>
      <c r="D594" s="13" t="s">
        <v>32</v>
      </c>
      <c r="E594" s="13"/>
      <c r="F594" s="109"/>
      <c r="G594" s="504"/>
      <c r="H594" s="504"/>
      <c r="I594" s="504"/>
      <c r="J594" s="504"/>
      <c r="K594" s="504"/>
      <c r="L594" s="504"/>
      <c r="M594" s="504"/>
      <c r="N594" s="504"/>
      <c r="O594" s="110"/>
      <c r="P594" s="109"/>
      <c r="Q594" s="504"/>
      <c r="R594" s="107"/>
    </row>
    <row r="595" spans="2:18" ht="9.75" customHeight="1">
      <c r="B595" s="503"/>
      <c r="C595" s="13"/>
      <c r="D595" s="13" t="s">
        <v>184</v>
      </c>
      <c r="E595" s="13">
        <v>2</v>
      </c>
      <c r="F595" s="109">
        <v>2</v>
      </c>
      <c r="G595" s="504">
        <v>0</v>
      </c>
      <c r="H595" s="504">
        <v>0</v>
      </c>
      <c r="I595" s="504">
        <v>0</v>
      </c>
      <c r="J595" s="504">
        <v>0</v>
      </c>
      <c r="K595" s="11">
        <v>0</v>
      </c>
      <c r="L595" s="11">
        <v>0</v>
      </c>
      <c r="M595" s="11">
        <v>0</v>
      </c>
      <c r="N595" s="11">
        <v>2</v>
      </c>
      <c r="O595" s="136">
        <v>2</v>
      </c>
      <c r="P595" s="109">
        <f>MIN(F595:O595)</f>
        <v>0</v>
      </c>
      <c r="Q595" s="504">
        <f>E595-P595</f>
        <v>2</v>
      </c>
      <c r="R595" s="107">
        <f>Q595/E595</f>
        <v>1</v>
      </c>
    </row>
    <row r="596" spans="2:18" ht="9.75" customHeight="1">
      <c r="B596" s="503"/>
      <c r="C596" s="13"/>
      <c r="D596" s="13" t="s">
        <v>120</v>
      </c>
      <c r="E596" s="13"/>
      <c r="F596" s="109"/>
      <c r="G596" s="504"/>
      <c r="H596" s="504"/>
      <c r="I596" s="504"/>
      <c r="J596" s="504"/>
      <c r="K596" s="504"/>
      <c r="L596" s="504"/>
      <c r="M596" s="504"/>
      <c r="N596" s="504"/>
      <c r="O596" s="110"/>
      <c r="P596" s="109"/>
      <c r="Q596" s="504"/>
      <c r="R596" s="107"/>
    </row>
    <row r="597" spans="2:18" ht="9.75" customHeight="1">
      <c r="B597" s="503"/>
      <c r="C597" s="13"/>
      <c r="D597" s="13" t="s">
        <v>120</v>
      </c>
      <c r="E597" s="13"/>
      <c r="F597" s="109"/>
      <c r="G597" s="504"/>
      <c r="H597" s="504"/>
      <c r="I597" s="504"/>
      <c r="J597" s="504"/>
      <c r="K597" s="504"/>
      <c r="L597" s="504"/>
      <c r="M597" s="504"/>
      <c r="N597" s="504"/>
      <c r="O597" s="110"/>
      <c r="P597" s="109"/>
      <c r="Q597" s="504"/>
      <c r="R597" s="107"/>
    </row>
    <row r="598" spans="2:18" ht="9.75" customHeight="1">
      <c r="B598" s="503"/>
      <c r="C598" s="13"/>
      <c r="D598" s="13" t="s">
        <v>120</v>
      </c>
      <c r="E598" s="13"/>
      <c r="F598" s="109"/>
      <c r="G598" s="504"/>
      <c r="H598" s="504"/>
      <c r="I598" s="504"/>
      <c r="J598" s="504"/>
      <c r="K598" s="504"/>
      <c r="L598" s="504"/>
      <c r="M598" s="504"/>
      <c r="N598" s="504"/>
      <c r="O598" s="110"/>
      <c r="P598" s="109"/>
      <c r="Q598" s="504"/>
      <c r="R598" s="107"/>
    </row>
    <row r="599" spans="2:18" ht="9.75" customHeight="1">
      <c r="B599" s="503"/>
      <c r="C599" s="13"/>
      <c r="D599" s="13" t="s">
        <v>120</v>
      </c>
      <c r="E599" s="13"/>
      <c r="F599" s="109"/>
      <c r="G599" s="504"/>
      <c r="H599" s="504"/>
      <c r="I599" s="504"/>
      <c r="J599" s="504"/>
      <c r="K599" s="504"/>
      <c r="L599" s="504"/>
      <c r="M599" s="504"/>
      <c r="N599" s="504"/>
      <c r="O599" s="110"/>
      <c r="P599" s="109"/>
      <c r="Q599" s="504"/>
      <c r="R599" s="107"/>
    </row>
    <row r="600" spans="2:18" ht="9.75" customHeight="1">
      <c r="B600" s="503"/>
      <c r="C600" s="13"/>
      <c r="D600" s="13" t="s">
        <v>120</v>
      </c>
      <c r="E600" s="13"/>
      <c r="F600" s="109"/>
      <c r="G600" s="504"/>
      <c r="H600" s="504"/>
      <c r="I600" s="504"/>
      <c r="J600" s="504"/>
      <c r="K600" s="504"/>
      <c r="L600" s="504"/>
      <c r="M600" s="504"/>
      <c r="N600" s="504"/>
      <c r="O600" s="110"/>
      <c r="P600" s="109"/>
      <c r="Q600" s="504"/>
      <c r="R600" s="107"/>
    </row>
    <row r="601" spans="2:18" ht="9.75" customHeight="1">
      <c r="B601" s="503"/>
      <c r="C601" s="13"/>
      <c r="D601" s="13" t="s">
        <v>34</v>
      </c>
      <c r="E601" s="13"/>
      <c r="F601" s="109"/>
      <c r="G601" s="504"/>
      <c r="H601" s="504"/>
      <c r="I601" s="504"/>
      <c r="J601" s="504"/>
      <c r="K601" s="504"/>
      <c r="L601" s="504"/>
      <c r="M601" s="504"/>
      <c r="N601" s="504"/>
      <c r="O601" s="110"/>
      <c r="P601" s="109"/>
      <c r="Q601" s="504"/>
      <c r="R601" s="107"/>
    </row>
    <row r="602" spans="2:18" ht="9.75" customHeight="1">
      <c r="B602" s="503"/>
      <c r="C602" s="13"/>
      <c r="D602" s="13" t="s">
        <v>35</v>
      </c>
      <c r="E602" s="13"/>
      <c r="F602" s="109"/>
      <c r="G602" s="504"/>
      <c r="H602" s="504"/>
      <c r="I602" s="504"/>
      <c r="J602" s="504"/>
      <c r="K602" s="504"/>
      <c r="L602" s="504"/>
      <c r="M602" s="504"/>
      <c r="N602" s="504"/>
      <c r="O602" s="110"/>
      <c r="P602" s="109"/>
      <c r="Q602" s="504"/>
      <c r="R602" s="107"/>
    </row>
    <row r="603" spans="2:18" ht="9.75" customHeight="1">
      <c r="B603" s="503"/>
      <c r="C603" s="13"/>
      <c r="D603" s="13" t="s">
        <v>36</v>
      </c>
      <c r="E603" s="13"/>
      <c r="F603" s="109"/>
      <c r="G603" s="504"/>
      <c r="H603" s="504"/>
      <c r="I603" s="504"/>
      <c r="J603" s="504"/>
      <c r="K603" s="504"/>
      <c r="L603" s="504"/>
      <c r="M603" s="504"/>
      <c r="N603" s="504"/>
      <c r="O603" s="110"/>
      <c r="P603" s="109"/>
      <c r="Q603" s="504"/>
      <c r="R603" s="107"/>
    </row>
    <row r="604" spans="2:18" ht="9.75" customHeight="1">
      <c r="B604" s="503"/>
      <c r="C604" s="13"/>
      <c r="D604" s="13" t="s">
        <v>37</v>
      </c>
      <c r="E604" s="13"/>
      <c r="F604" s="109"/>
      <c r="G604" s="504"/>
      <c r="H604" s="504"/>
      <c r="I604" s="504"/>
      <c r="J604" s="504"/>
      <c r="K604" s="504"/>
      <c r="L604" s="504"/>
      <c r="M604" s="504"/>
      <c r="N604" s="504"/>
      <c r="O604" s="110"/>
      <c r="P604" s="109"/>
      <c r="Q604" s="504"/>
      <c r="R604" s="107"/>
    </row>
    <row r="605" spans="2:18" ht="9.75" customHeight="1">
      <c r="B605" s="503" t="s">
        <v>127</v>
      </c>
      <c r="C605" s="2"/>
      <c r="D605" s="3" t="s">
        <v>38</v>
      </c>
      <c r="E605" s="3">
        <f t="shared" ref="E605:O605" si="84">SUM(E589:E604)</f>
        <v>2</v>
      </c>
      <c r="F605" s="21">
        <f t="shared" si="84"/>
        <v>2</v>
      </c>
      <c r="G605" s="71">
        <f t="shared" si="84"/>
        <v>0</v>
      </c>
      <c r="H605" s="71">
        <f t="shared" si="84"/>
        <v>0</v>
      </c>
      <c r="I605" s="71">
        <f t="shared" si="84"/>
        <v>0</v>
      </c>
      <c r="J605" s="71">
        <f t="shared" si="84"/>
        <v>0</v>
      </c>
      <c r="K605" s="71">
        <f t="shared" si="84"/>
        <v>0</v>
      </c>
      <c r="L605" s="71">
        <f t="shared" si="84"/>
        <v>0</v>
      </c>
      <c r="M605" s="71">
        <f t="shared" si="84"/>
        <v>0</v>
      </c>
      <c r="N605" s="71">
        <f t="shared" si="84"/>
        <v>2</v>
      </c>
      <c r="O605" s="26">
        <f t="shared" si="84"/>
        <v>2</v>
      </c>
      <c r="P605" s="21">
        <f>MIN(F605:O605)</f>
        <v>0</v>
      </c>
      <c r="Q605" s="71">
        <f>E605-P605</f>
        <v>2</v>
      </c>
      <c r="R605" s="7">
        <f>Q605/E605</f>
        <v>1</v>
      </c>
    </row>
    <row r="606" spans="2:18" ht="9.75" customHeight="1">
      <c r="B606" s="503"/>
      <c r="C606" s="43" t="s">
        <v>185</v>
      </c>
      <c r="D606" s="43" t="s">
        <v>23</v>
      </c>
      <c r="E606" s="43"/>
      <c r="F606" s="116"/>
      <c r="G606" s="128"/>
      <c r="H606" s="128"/>
      <c r="I606" s="128"/>
      <c r="J606" s="128"/>
      <c r="K606" s="128"/>
      <c r="L606" s="128"/>
      <c r="M606" s="128"/>
      <c r="N606" s="128"/>
      <c r="O606" s="129"/>
      <c r="P606" s="116"/>
      <c r="Q606" s="128"/>
      <c r="R606" s="141"/>
    </row>
    <row r="607" spans="2:18" ht="9.75" customHeight="1">
      <c r="B607" s="503"/>
      <c r="C607" s="13"/>
      <c r="D607" s="13" t="s">
        <v>25</v>
      </c>
      <c r="E607" s="13"/>
      <c r="F607" s="109"/>
      <c r="G607" s="504"/>
      <c r="H607" s="504"/>
      <c r="I607" s="504"/>
      <c r="J607" s="504"/>
      <c r="K607" s="504"/>
      <c r="L607" s="504"/>
      <c r="M607" s="504"/>
      <c r="N607" s="504"/>
      <c r="O607" s="110"/>
      <c r="P607" s="109"/>
      <c r="Q607" s="504"/>
      <c r="R607" s="107"/>
    </row>
    <row r="608" spans="2:18" ht="9.75" customHeight="1">
      <c r="B608" s="503"/>
      <c r="C608" s="13"/>
      <c r="D608" s="13" t="s">
        <v>27</v>
      </c>
      <c r="E608" s="13"/>
      <c r="F608" s="109"/>
      <c r="G608" s="504"/>
      <c r="H608" s="504"/>
      <c r="I608" s="504"/>
      <c r="J608" s="504"/>
      <c r="K608" s="504"/>
      <c r="L608" s="504"/>
      <c r="M608" s="504"/>
      <c r="N608" s="504"/>
      <c r="O608" s="110"/>
      <c r="P608" s="109"/>
      <c r="Q608" s="504"/>
      <c r="R608" s="107"/>
    </row>
    <row r="609" spans="2:18" ht="9.75" customHeight="1">
      <c r="B609" s="503"/>
      <c r="C609" s="13"/>
      <c r="D609" s="13" t="s">
        <v>115</v>
      </c>
      <c r="E609" s="13"/>
      <c r="F609" s="109"/>
      <c r="G609" s="504"/>
      <c r="H609" s="504"/>
      <c r="I609" s="504"/>
      <c r="J609" s="504"/>
      <c r="K609" s="504"/>
      <c r="L609" s="504"/>
      <c r="M609" s="504"/>
      <c r="N609" s="504"/>
      <c r="O609" s="110"/>
      <c r="P609" s="109"/>
      <c r="Q609" s="504"/>
      <c r="R609" s="107"/>
    </row>
    <row r="610" spans="2:18" ht="9.75" customHeight="1">
      <c r="B610" s="503"/>
      <c r="C610" s="13"/>
      <c r="D610" s="13" t="s">
        <v>115</v>
      </c>
      <c r="E610" s="13"/>
      <c r="F610" s="109"/>
      <c r="G610" s="504"/>
      <c r="H610" s="504"/>
      <c r="I610" s="504"/>
      <c r="J610" s="504"/>
      <c r="K610" s="504"/>
      <c r="L610" s="504"/>
      <c r="M610" s="504"/>
      <c r="N610" s="504"/>
      <c r="O610" s="110"/>
      <c r="P610" s="109"/>
      <c r="Q610" s="504"/>
      <c r="R610" s="107"/>
    </row>
    <row r="611" spans="2:18" ht="9.75" customHeight="1">
      <c r="B611" s="503"/>
      <c r="C611" s="13"/>
      <c r="D611" s="13" t="s">
        <v>32</v>
      </c>
      <c r="E611" s="13"/>
      <c r="F611" s="109"/>
      <c r="G611" s="504"/>
      <c r="H611" s="504"/>
      <c r="I611" s="504"/>
      <c r="J611" s="504"/>
      <c r="K611" s="504"/>
      <c r="L611" s="504"/>
      <c r="M611" s="504"/>
      <c r="N611" s="504"/>
      <c r="O611" s="110"/>
      <c r="P611" s="109"/>
      <c r="Q611" s="504"/>
      <c r="R611" s="107"/>
    </row>
    <row r="612" spans="2:18" ht="9.75" customHeight="1">
      <c r="B612" s="503"/>
      <c r="C612" s="13"/>
      <c r="D612" s="13" t="s">
        <v>120</v>
      </c>
      <c r="E612" s="13"/>
      <c r="F612" s="109"/>
      <c r="G612" s="504"/>
      <c r="H612" s="504"/>
      <c r="I612" s="504"/>
      <c r="J612" s="504"/>
      <c r="K612" s="504"/>
      <c r="L612" s="504"/>
      <c r="M612" s="504"/>
      <c r="N612" s="504"/>
      <c r="O612" s="110"/>
      <c r="P612" s="109"/>
      <c r="Q612" s="504"/>
      <c r="R612" s="107"/>
    </row>
    <row r="613" spans="2:18" ht="9.75" customHeight="1">
      <c r="B613" s="503"/>
      <c r="C613" s="13"/>
      <c r="D613" s="13" t="s">
        <v>120</v>
      </c>
      <c r="E613" s="13"/>
      <c r="F613" s="109"/>
      <c r="G613" s="504"/>
      <c r="H613" s="504"/>
      <c r="I613" s="504"/>
      <c r="J613" s="504"/>
      <c r="K613" s="504"/>
      <c r="L613" s="504"/>
      <c r="M613" s="504"/>
      <c r="N613" s="504"/>
      <c r="O613" s="110"/>
      <c r="P613" s="109"/>
      <c r="Q613" s="504"/>
      <c r="R613" s="107"/>
    </row>
    <row r="614" spans="2:18" ht="9.75" customHeight="1">
      <c r="B614" s="503"/>
      <c r="C614" s="13"/>
      <c r="D614" s="13" t="s">
        <v>120</v>
      </c>
      <c r="E614" s="13"/>
      <c r="F614" s="109"/>
      <c r="G614" s="504"/>
      <c r="H614" s="504"/>
      <c r="I614" s="504"/>
      <c r="J614" s="504"/>
      <c r="K614" s="504"/>
      <c r="L614" s="504"/>
      <c r="M614" s="504"/>
      <c r="N614" s="504"/>
      <c r="O614" s="110"/>
      <c r="P614" s="109"/>
      <c r="Q614" s="504"/>
      <c r="R614" s="107"/>
    </row>
    <row r="615" spans="2:18" ht="9.75" customHeight="1">
      <c r="B615" s="503"/>
      <c r="C615" s="13"/>
      <c r="D615" s="13" t="s">
        <v>120</v>
      </c>
      <c r="E615" s="13"/>
      <c r="F615" s="109"/>
      <c r="G615" s="504"/>
      <c r="H615" s="504"/>
      <c r="I615" s="504"/>
      <c r="J615" s="504"/>
      <c r="K615" s="504"/>
      <c r="L615" s="504"/>
      <c r="M615" s="504"/>
      <c r="N615" s="504"/>
      <c r="O615" s="110"/>
      <c r="P615" s="109"/>
      <c r="Q615" s="504"/>
      <c r="R615" s="107"/>
    </row>
    <row r="616" spans="2:18" ht="9.75" customHeight="1">
      <c r="B616" s="503"/>
      <c r="C616" s="13"/>
      <c r="D616" s="13" t="s">
        <v>120</v>
      </c>
      <c r="E616" s="13"/>
      <c r="F616" s="109"/>
      <c r="G616" s="504"/>
      <c r="H616" s="504"/>
      <c r="I616" s="504"/>
      <c r="J616" s="504"/>
      <c r="K616" s="504"/>
      <c r="L616" s="504"/>
      <c r="M616" s="504"/>
      <c r="N616" s="504"/>
      <c r="O616" s="110"/>
      <c r="P616" s="109"/>
      <c r="Q616" s="504"/>
      <c r="R616" s="107"/>
    </row>
    <row r="617" spans="2:18" ht="9.75" customHeight="1">
      <c r="B617" s="503"/>
      <c r="C617" s="13"/>
      <c r="D617" s="13" t="s">
        <v>120</v>
      </c>
      <c r="E617" s="13"/>
      <c r="F617" s="109"/>
      <c r="G617" s="504"/>
      <c r="H617" s="504"/>
      <c r="I617" s="504"/>
      <c r="J617" s="504"/>
      <c r="K617" s="504"/>
      <c r="L617" s="504"/>
      <c r="M617" s="504"/>
      <c r="N617" s="504"/>
      <c r="O617" s="110"/>
      <c r="P617" s="109"/>
      <c r="Q617" s="504"/>
      <c r="R617" s="107"/>
    </row>
    <row r="618" spans="2:18" ht="9.75" customHeight="1">
      <c r="B618" s="503"/>
      <c r="C618" s="13"/>
      <c r="D618" s="13" t="s">
        <v>34</v>
      </c>
      <c r="E618" s="13"/>
      <c r="F618" s="109"/>
      <c r="G618" s="504"/>
      <c r="H618" s="504"/>
      <c r="I618" s="504"/>
      <c r="J618" s="504"/>
      <c r="K618" s="504"/>
      <c r="L618" s="504"/>
      <c r="M618" s="504"/>
      <c r="N618" s="504"/>
      <c r="O618" s="110"/>
      <c r="P618" s="109"/>
      <c r="Q618" s="504"/>
      <c r="R618" s="107"/>
    </row>
    <row r="619" spans="2:18" ht="9.75" customHeight="1">
      <c r="B619" s="503"/>
      <c r="C619" s="13"/>
      <c r="D619" s="13" t="s">
        <v>35</v>
      </c>
      <c r="E619" s="13"/>
      <c r="F619" s="109"/>
      <c r="G619" s="504"/>
      <c r="H619" s="504"/>
      <c r="I619" s="504"/>
      <c r="J619" s="504"/>
      <c r="K619" s="504"/>
      <c r="L619" s="504"/>
      <c r="M619" s="504"/>
      <c r="N619" s="504"/>
      <c r="O619" s="110"/>
      <c r="P619" s="109"/>
      <c r="Q619" s="504"/>
      <c r="R619" s="107"/>
    </row>
    <row r="620" spans="2:18" ht="9.75" customHeight="1">
      <c r="B620" s="503"/>
      <c r="C620" s="13"/>
      <c r="D620" s="13" t="s">
        <v>36</v>
      </c>
      <c r="E620" s="13">
        <v>4</v>
      </c>
      <c r="F620" s="109">
        <v>0</v>
      </c>
      <c r="G620" s="504">
        <v>0</v>
      </c>
      <c r="H620" s="504">
        <v>0</v>
      </c>
      <c r="I620" s="504">
        <v>0</v>
      </c>
      <c r="J620" s="504">
        <v>0</v>
      </c>
      <c r="K620" s="11">
        <v>0</v>
      </c>
      <c r="L620" s="11">
        <v>0</v>
      </c>
      <c r="M620" s="11">
        <v>0</v>
      </c>
      <c r="N620" s="11">
        <v>0</v>
      </c>
      <c r="O620" s="136">
        <v>0</v>
      </c>
      <c r="P620" s="109">
        <f>MIN(F620:O620)</f>
        <v>0</v>
      </c>
      <c r="Q620" s="504">
        <f>E620-P620</f>
        <v>4</v>
      </c>
      <c r="R620" s="107">
        <f>Q620/E620</f>
        <v>1</v>
      </c>
    </row>
    <row r="621" spans="2:18" ht="9.75" customHeight="1">
      <c r="B621" s="503"/>
      <c r="C621" s="13"/>
      <c r="D621" s="13" t="s">
        <v>37</v>
      </c>
      <c r="E621" s="13"/>
      <c r="F621" s="109"/>
      <c r="G621" s="504"/>
      <c r="H621" s="504"/>
      <c r="I621" s="504"/>
      <c r="J621" s="504"/>
      <c r="K621" s="504"/>
      <c r="L621" s="504"/>
      <c r="M621" s="504"/>
      <c r="N621" s="504"/>
      <c r="O621" s="110"/>
      <c r="P621" s="109"/>
      <c r="Q621" s="504"/>
      <c r="R621" s="107"/>
    </row>
    <row r="622" spans="2:18" ht="9.75" customHeight="1">
      <c r="B622" s="503" t="s">
        <v>127</v>
      </c>
      <c r="C622" s="2"/>
      <c r="D622" s="3" t="s">
        <v>38</v>
      </c>
      <c r="E622" s="3">
        <f t="shared" ref="E622:O622" si="85">SUM(E606:E621)</f>
        <v>4</v>
      </c>
      <c r="F622" s="21">
        <f t="shared" si="85"/>
        <v>0</v>
      </c>
      <c r="G622" s="71">
        <f t="shared" si="85"/>
        <v>0</v>
      </c>
      <c r="H622" s="71">
        <f t="shared" si="85"/>
        <v>0</v>
      </c>
      <c r="I622" s="71">
        <f t="shared" si="85"/>
        <v>0</v>
      </c>
      <c r="J622" s="71">
        <f t="shared" si="85"/>
        <v>0</v>
      </c>
      <c r="K622" s="71">
        <f t="shared" si="85"/>
        <v>0</v>
      </c>
      <c r="L622" s="71">
        <f t="shared" si="85"/>
        <v>0</v>
      </c>
      <c r="M622" s="71">
        <f t="shared" si="85"/>
        <v>0</v>
      </c>
      <c r="N622" s="71">
        <f t="shared" si="85"/>
        <v>0</v>
      </c>
      <c r="O622" s="26">
        <f t="shared" si="85"/>
        <v>0</v>
      </c>
      <c r="P622" s="21">
        <f t="shared" ref="P622:P626" si="86">MIN(F622:O622)</f>
        <v>0</v>
      </c>
      <c r="Q622" s="71">
        <f t="shared" ref="Q622:Q626" si="87">E622-P622</f>
        <v>4</v>
      </c>
      <c r="R622" s="7">
        <f t="shared" ref="R622:R626" si="88">Q622/E622</f>
        <v>1</v>
      </c>
    </row>
    <row r="623" spans="2:18" ht="9.75" customHeight="1">
      <c r="B623" s="503"/>
      <c r="C623" s="43" t="s">
        <v>186</v>
      </c>
      <c r="D623" s="43" t="s">
        <v>187</v>
      </c>
      <c r="E623" s="13">
        <v>2</v>
      </c>
      <c r="F623" s="109">
        <v>0</v>
      </c>
      <c r="G623" s="504">
        <v>0</v>
      </c>
      <c r="H623" s="504">
        <v>0</v>
      </c>
      <c r="I623" s="504">
        <v>0</v>
      </c>
      <c r="J623" s="504">
        <v>0</v>
      </c>
      <c r="K623" s="504">
        <v>0</v>
      </c>
      <c r="L623" s="504">
        <v>0</v>
      </c>
      <c r="M623" s="504">
        <v>0</v>
      </c>
      <c r="N623" s="504">
        <v>0</v>
      </c>
      <c r="O623" s="110">
        <v>0</v>
      </c>
      <c r="P623" s="109">
        <f t="shared" si="86"/>
        <v>0</v>
      </c>
      <c r="Q623" s="504">
        <f t="shared" si="87"/>
        <v>2</v>
      </c>
      <c r="R623" s="107">
        <f t="shared" si="88"/>
        <v>1</v>
      </c>
    </row>
    <row r="624" spans="2:18" ht="9.75" customHeight="1">
      <c r="B624" s="503"/>
      <c r="C624" s="13"/>
      <c r="D624" s="13" t="s">
        <v>188</v>
      </c>
      <c r="E624" s="13">
        <f>23+22+22</f>
        <v>67</v>
      </c>
      <c r="F624" s="109">
        <f>E624-4-3-14</f>
        <v>46</v>
      </c>
      <c r="G624" s="504">
        <f>E624-5-7-15</f>
        <v>40</v>
      </c>
      <c r="H624" s="504">
        <f>E624-6-10-17</f>
        <v>34</v>
      </c>
      <c r="I624" s="504">
        <f>E624-17-17-7</f>
        <v>26</v>
      </c>
      <c r="J624" s="504">
        <f>E624-30</f>
        <v>37</v>
      </c>
      <c r="K624" s="504">
        <v>37</v>
      </c>
      <c r="L624" s="504">
        <f>E624-14-10-16</f>
        <v>27</v>
      </c>
      <c r="M624" s="504">
        <f>E624-15-10-17</f>
        <v>25</v>
      </c>
      <c r="N624" s="504">
        <f>E624-10-9-16</f>
        <v>32</v>
      </c>
      <c r="O624" s="504">
        <f>E624-12-9-16</f>
        <v>30</v>
      </c>
      <c r="P624" s="109">
        <f t="shared" si="86"/>
        <v>25</v>
      </c>
      <c r="Q624" s="504">
        <f t="shared" si="87"/>
        <v>42</v>
      </c>
      <c r="R624" s="107">
        <f t="shared" si="88"/>
        <v>0.62686567164179108</v>
      </c>
    </row>
    <row r="625" spans="1:19" ht="9.75" customHeight="1">
      <c r="A625" s="503"/>
      <c r="B625" s="503"/>
      <c r="C625" s="13"/>
      <c r="D625" s="13" t="s">
        <v>189</v>
      </c>
      <c r="E625" s="13">
        <v>20</v>
      </c>
      <c r="F625" s="109">
        <v>20</v>
      </c>
      <c r="G625" s="504">
        <v>18</v>
      </c>
      <c r="H625" s="504">
        <v>17</v>
      </c>
      <c r="I625" s="504">
        <v>20</v>
      </c>
      <c r="J625" s="504">
        <v>19</v>
      </c>
      <c r="K625" s="504">
        <v>19</v>
      </c>
      <c r="L625" s="504">
        <v>19</v>
      </c>
      <c r="M625" s="504">
        <v>19</v>
      </c>
      <c r="N625" s="504">
        <v>19</v>
      </c>
      <c r="O625" s="110">
        <v>19</v>
      </c>
      <c r="P625" s="109">
        <f>MIN(F625:O625)</f>
        <v>17</v>
      </c>
      <c r="Q625" s="504">
        <f t="shared" si="87"/>
        <v>3</v>
      </c>
      <c r="R625" s="107">
        <f>Q625/E625</f>
        <v>0.15</v>
      </c>
      <c r="S625" s="503"/>
    </row>
    <row r="626" spans="1:19" ht="9.75" customHeight="1">
      <c r="A626" s="503"/>
      <c r="B626" s="503"/>
      <c r="C626" s="13"/>
      <c r="D626" s="13" t="s">
        <v>25</v>
      </c>
      <c r="E626" s="13">
        <v>10</v>
      </c>
      <c r="F626" s="109">
        <v>0</v>
      </c>
      <c r="G626" s="504">
        <v>0</v>
      </c>
      <c r="H626" s="504">
        <v>0</v>
      </c>
      <c r="I626" s="504">
        <v>2</v>
      </c>
      <c r="J626" s="504">
        <v>1</v>
      </c>
      <c r="K626" s="504">
        <v>0</v>
      </c>
      <c r="L626" s="504">
        <v>0</v>
      </c>
      <c r="M626" s="504">
        <v>0</v>
      </c>
      <c r="N626" s="504">
        <v>0</v>
      </c>
      <c r="O626" s="110">
        <v>0</v>
      </c>
      <c r="P626" s="109">
        <f t="shared" si="86"/>
        <v>0</v>
      </c>
      <c r="Q626" s="504">
        <f t="shared" si="87"/>
        <v>10</v>
      </c>
      <c r="R626" s="107">
        <f t="shared" si="88"/>
        <v>1</v>
      </c>
      <c r="S626" s="503"/>
    </row>
    <row r="627" spans="1:19" ht="9.75" customHeight="1">
      <c r="A627" s="503"/>
      <c r="B627" s="503"/>
      <c r="C627" s="13"/>
      <c r="D627" s="13" t="s">
        <v>27</v>
      </c>
      <c r="E627" s="13"/>
      <c r="F627" s="109"/>
      <c r="G627" s="504"/>
      <c r="H627" s="504"/>
      <c r="I627" s="504"/>
      <c r="J627" s="504"/>
      <c r="K627" s="504"/>
      <c r="L627" s="504"/>
      <c r="M627" s="504"/>
      <c r="N627" s="504"/>
      <c r="O627" s="110"/>
      <c r="P627" s="109"/>
      <c r="Q627" s="504"/>
      <c r="R627" s="107"/>
      <c r="S627" s="503"/>
    </row>
    <row r="628" spans="1:19" ht="9.75" customHeight="1">
      <c r="A628" s="503"/>
      <c r="B628" s="503"/>
      <c r="C628" s="13"/>
      <c r="D628" s="13" t="s">
        <v>115</v>
      </c>
      <c r="E628" s="13"/>
      <c r="F628" s="109"/>
      <c r="G628" s="504"/>
      <c r="H628" s="504"/>
      <c r="I628" s="504"/>
      <c r="J628" s="504"/>
      <c r="K628" s="504"/>
      <c r="L628" s="504"/>
      <c r="M628" s="504"/>
      <c r="N628" s="504"/>
      <c r="O628" s="110"/>
      <c r="P628" s="109"/>
      <c r="Q628" s="504"/>
      <c r="R628" s="107"/>
      <c r="S628" s="503"/>
    </row>
    <row r="629" spans="1:19" ht="9.75" customHeight="1">
      <c r="A629" s="503"/>
      <c r="B629" s="503"/>
      <c r="C629" s="13"/>
      <c r="D629" s="13" t="s">
        <v>115</v>
      </c>
      <c r="E629" s="13"/>
      <c r="F629" s="109"/>
      <c r="G629" s="504"/>
      <c r="H629" s="504"/>
      <c r="I629" s="504"/>
      <c r="J629" s="504"/>
      <c r="K629" s="504"/>
      <c r="L629" s="504"/>
      <c r="M629" s="504"/>
      <c r="N629" s="504"/>
      <c r="O629" s="110"/>
      <c r="P629" s="109"/>
      <c r="Q629" s="504"/>
      <c r="R629" s="107"/>
      <c r="S629" s="503"/>
    </row>
    <row r="630" spans="1:19" ht="9.75" customHeight="1">
      <c r="A630" s="503"/>
      <c r="B630" s="503"/>
      <c r="C630" s="13"/>
      <c r="D630" s="13" t="s">
        <v>32</v>
      </c>
      <c r="E630" s="13">
        <v>15</v>
      </c>
      <c r="F630" s="109">
        <v>14</v>
      </c>
      <c r="G630" s="504">
        <v>15</v>
      </c>
      <c r="H630" s="504">
        <v>15</v>
      </c>
      <c r="I630" s="504">
        <v>15</v>
      </c>
      <c r="J630" s="504">
        <v>15</v>
      </c>
      <c r="K630" s="504">
        <v>15</v>
      </c>
      <c r="L630" s="504">
        <v>15</v>
      </c>
      <c r="M630" s="504">
        <v>15</v>
      </c>
      <c r="N630" s="504">
        <v>15</v>
      </c>
      <c r="O630" s="110">
        <v>15</v>
      </c>
      <c r="P630" s="109">
        <f t="shared" ref="P630:P631" si="89">MIN(F630:O630)</f>
        <v>14</v>
      </c>
      <c r="Q630" s="504">
        <f t="shared" ref="Q630:Q631" si="90">E630-P630</f>
        <v>1</v>
      </c>
      <c r="R630" s="107">
        <f t="shared" ref="R630:R631" si="91">Q630/E630</f>
        <v>6.6666666666666666E-2</v>
      </c>
      <c r="S630" s="503"/>
    </row>
    <row r="631" spans="1:19" ht="9.75" customHeight="1">
      <c r="A631" s="503"/>
      <c r="B631" s="503"/>
      <c r="C631" s="13"/>
      <c r="D631" s="13" t="s">
        <v>118</v>
      </c>
      <c r="E631" s="13">
        <v>2</v>
      </c>
      <c r="F631" s="109">
        <v>1</v>
      </c>
      <c r="G631" s="504">
        <v>1</v>
      </c>
      <c r="H631" s="504">
        <v>1</v>
      </c>
      <c r="I631" s="504">
        <v>1</v>
      </c>
      <c r="J631" s="504">
        <v>1</v>
      </c>
      <c r="K631" s="504">
        <v>1</v>
      </c>
      <c r="L631" s="504">
        <v>1</v>
      </c>
      <c r="M631" s="504">
        <v>1</v>
      </c>
      <c r="N631" s="504">
        <v>1</v>
      </c>
      <c r="O631" s="110">
        <v>1</v>
      </c>
      <c r="P631" s="109">
        <f t="shared" si="89"/>
        <v>1</v>
      </c>
      <c r="Q631" s="504">
        <f t="shared" si="90"/>
        <v>1</v>
      </c>
      <c r="R631" s="107">
        <f t="shared" si="91"/>
        <v>0.5</v>
      </c>
      <c r="S631" s="503"/>
    </row>
    <row r="632" spans="1:19" ht="9.75" customHeight="1">
      <c r="A632" s="503"/>
      <c r="B632" s="503"/>
      <c r="C632" s="13"/>
      <c r="D632" s="13" t="s">
        <v>190</v>
      </c>
      <c r="E632" s="13"/>
      <c r="F632" s="109"/>
      <c r="G632" s="504"/>
      <c r="H632" s="504"/>
      <c r="I632" s="504"/>
      <c r="J632" s="504"/>
      <c r="K632" s="504"/>
      <c r="L632" s="504"/>
      <c r="M632" s="504"/>
      <c r="N632" s="504"/>
      <c r="O632" s="110"/>
      <c r="P632" s="109"/>
      <c r="Q632" s="504"/>
      <c r="R632" s="107"/>
      <c r="S632" s="503"/>
    </row>
    <row r="633" spans="1:19" ht="9.75" customHeight="1">
      <c r="A633" s="503"/>
      <c r="B633" s="503"/>
      <c r="C633" s="13"/>
      <c r="D633" s="13" t="s">
        <v>191</v>
      </c>
      <c r="E633" s="13"/>
      <c r="F633" s="109"/>
      <c r="G633" s="504"/>
      <c r="H633" s="504"/>
      <c r="I633" s="504"/>
      <c r="J633" s="504"/>
      <c r="K633" s="504"/>
      <c r="L633" s="504"/>
      <c r="M633" s="504"/>
      <c r="N633" s="504"/>
      <c r="O633" s="110"/>
      <c r="P633" s="109"/>
      <c r="Q633" s="504"/>
      <c r="R633" s="107"/>
      <c r="S633" s="503"/>
    </row>
    <row r="634" spans="1:19" ht="9.75" customHeight="1">
      <c r="A634" s="503"/>
      <c r="B634" s="503"/>
      <c r="C634" s="13"/>
      <c r="D634" s="13" t="s">
        <v>120</v>
      </c>
      <c r="E634" s="13"/>
      <c r="F634" s="109"/>
      <c r="G634" s="504"/>
      <c r="H634" s="504"/>
      <c r="I634" s="504"/>
      <c r="J634" s="504"/>
      <c r="K634" s="504"/>
      <c r="L634" s="504"/>
      <c r="M634" s="504"/>
      <c r="N634" s="504"/>
      <c r="O634" s="110"/>
      <c r="P634" s="109"/>
      <c r="Q634" s="504"/>
      <c r="R634" s="107"/>
      <c r="S634" s="503"/>
    </row>
    <row r="635" spans="1:19" ht="9.75" customHeight="1">
      <c r="A635" s="503"/>
      <c r="B635" s="503"/>
      <c r="C635" s="13"/>
      <c r="D635" s="13" t="s">
        <v>120</v>
      </c>
      <c r="E635" s="13"/>
      <c r="F635" s="109"/>
      <c r="G635" s="504"/>
      <c r="H635" s="504"/>
      <c r="I635" s="504"/>
      <c r="J635" s="504"/>
      <c r="K635" s="504"/>
      <c r="L635" s="504"/>
      <c r="M635" s="504"/>
      <c r="N635" s="504"/>
      <c r="O635" s="110"/>
      <c r="P635" s="109"/>
      <c r="Q635" s="504"/>
      <c r="R635" s="107"/>
      <c r="S635" s="503"/>
    </row>
    <row r="636" spans="1:19" ht="9.75" customHeight="1">
      <c r="A636" s="503"/>
      <c r="B636" s="503"/>
      <c r="C636" s="30"/>
      <c r="D636" s="13" t="s">
        <v>34</v>
      </c>
      <c r="E636" s="13">
        <v>14</v>
      </c>
      <c r="F636" s="109">
        <v>10</v>
      </c>
      <c r="G636" s="504">
        <v>9</v>
      </c>
      <c r="H636" s="504">
        <v>7</v>
      </c>
      <c r="I636" s="504">
        <v>7</v>
      </c>
      <c r="J636" s="504">
        <v>7</v>
      </c>
      <c r="K636" s="504">
        <v>6</v>
      </c>
      <c r="L636" s="504">
        <v>6</v>
      </c>
      <c r="M636" s="504">
        <v>5</v>
      </c>
      <c r="N636" s="504">
        <v>4</v>
      </c>
      <c r="O636" s="110">
        <v>10</v>
      </c>
      <c r="P636" s="109">
        <f>MIN(F636:O636)</f>
        <v>4</v>
      </c>
      <c r="Q636" s="504">
        <f>E636-P636</f>
        <v>10</v>
      </c>
      <c r="R636" s="107">
        <f>Q636/E636</f>
        <v>0.7142857142857143</v>
      </c>
      <c r="S636" s="503"/>
    </row>
    <row r="637" spans="1:19" ht="9.75" customHeight="1">
      <c r="A637" s="503"/>
      <c r="B637" s="503"/>
      <c r="C637" s="30"/>
      <c r="D637" s="13" t="s">
        <v>35</v>
      </c>
      <c r="E637" s="13"/>
      <c r="F637" s="109"/>
      <c r="G637" s="504"/>
      <c r="H637" s="504"/>
      <c r="I637" s="504"/>
      <c r="J637" s="504"/>
      <c r="K637" s="504"/>
      <c r="L637" s="504"/>
      <c r="M637" s="504"/>
      <c r="N637" s="504"/>
      <c r="O637" s="110"/>
      <c r="P637" s="109"/>
      <c r="Q637" s="504"/>
      <c r="R637" s="107"/>
      <c r="S637" s="503"/>
    </row>
    <row r="638" spans="1:19" ht="9.75" customHeight="1">
      <c r="A638" s="503"/>
      <c r="B638" s="503"/>
      <c r="C638" s="30"/>
      <c r="D638" s="13" t="s">
        <v>36</v>
      </c>
      <c r="E638" s="13"/>
      <c r="F638" s="109"/>
      <c r="G638" s="504"/>
      <c r="H638" s="504"/>
      <c r="I638" s="504"/>
      <c r="J638" s="504"/>
      <c r="K638" s="504"/>
      <c r="L638" s="504"/>
      <c r="M638" s="504"/>
      <c r="N638" s="504"/>
      <c r="O638" s="110"/>
      <c r="P638" s="109"/>
      <c r="Q638" s="504"/>
      <c r="R638" s="107"/>
      <c r="S638" s="503"/>
    </row>
    <row r="639" spans="1:19" ht="9.75" customHeight="1">
      <c r="A639" s="503"/>
      <c r="B639" s="503"/>
      <c r="C639" s="30"/>
      <c r="D639" s="13" t="s">
        <v>37</v>
      </c>
      <c r="E639" s="13"/>
      <c r="F639" s="109"/>
      <c r="G639" s="504"/>
      <c r="H639" s="504"/>
      <c r="I639" s="504"/>
      <c r="J639" s="504"/>
      <c r="K639" s="504"/>
      <c r="L639" s="504"/>
      <c r="M639" s="504"/>
      <c r="N639" s="504"/>
      <c r="O639" s="110"/>
      <c r="P639" s="109"/>
      <c r="Q639" s="504"/>
      <c r="R639" s="107"/>
      <c r="S639" s="503"/>
    </row>
    <row r="640" spans="1:19" ht="9.75" customHeight="1">
      <c r="A640" s="503"/>
      <c r="B640" s="503" t="s">
        <v>127</v>
      </c>
      <c r="C640" s="31"/>
      <c r="D640" s="3" t="s">
        <v>38</v>
      </c>
      <c r="E640" s="3">
        <f t="shared" ref="E640:O640" si="92">SUM(E623:E639)</f>
        <v>130</v>
      </c>
      <c r="F640" s="21">
        <f t="shared" si="92"/>
        <v>91</v>
      </c>
      <c r="G640" s="71">
        <f t="shared" si="92"/>
        <v>83</v>
      </c>
      <c r="H640" s="71">
        <f t="shared" si="92"/>
        <v>74</v>
      </c>
      <c r="I640" s="71">
        <f t="shared" si="92"/>
        <v>71</v>
      </c>
      <c r="J640" s="71">
        <f t="shared" si="92"/>
        <v>80</v>
      </c>
      <c r="K640" s="71">
        <f t="shared" si="92"/>
        <v>78</v>
      </c>
      <c r="L640" s="71">
        <f t="shared" si="92"/>
        <v>68</v>
      </c>
      <c r="M640" s="71">
        <f t="shared" si="92"/>
        <v>65</v>
      </c>
      <c r="N640" s="71">
        <f t="shared" si="92"/>
        <v>71</v>
      </c>
      <c r="O640" s="26">
        <f t="shared" si="92"/>
        <v>75</v>
      </c>
      <c r="P640" s="21">
        <f t="shared" ref="P640:P693" si="93">MIN(F640:O640)</f>
        <v>65</v>
      </c>
      <c r="Q640" s="71">
        <f t="shared" ref="Q640:Q693" si="94">E640-P640</f>
        <v>65</v>
      </c>
      <c r="R640" s="7">
        <f t="shared" ref="R640:R693" si="95">Q640/E640</f>
        <v>0.5</v>
      </c>
      <c r="S640" s="503"/>
    </row>
    <row r="641" spans="3:21" s="448" customFormat="1" ht="9.75" customHeight="1">
      <c r="C641" s="43" t="s">
        <v>192</v>
      </c>
      <c r="D641" s="43" t="s">
        <v>23</v>
      </c>
      <c r="E641" s="43"/>
      <c r="F641" s="119"/>
      <c r="G641" s="118"/>
      <c r="H641" s="118"/>
      <c r="I641" s="118"/>
      <c r="J641" s="118"/>
      <c r="K641" s="118"/>
      <c r="L641" s="118"/>
      <c r="M641" s="118"/>
      <c r="N641" s="118"/>
      <c r="O641" s="135"/>
      <c r="P641" s="104"/>
      <c r="Q641" s="105"/>
      <c r="R641" s="141"/>
      <c r="T641" s="547"/>
      <c r="U641" s="547"/>
    </row>
    <row r="642" spans="3:21" s="448" customFormat="1" ht="9.75" customHeight="1">
      <c r="C642" s="551" t="s">
        <v>693</v>
      </c>
      <c r="D642" s="13" t="s">
        <v>25</v>
      </c>
      <c r="E642" s="13"/>
      <c r="F642" s="121"/>
      <c r="G642" s="11"/>
      <c r="H642" s="11"/>
      <c r="I642" s="11"/>
      <c r="J642" s="11"/>
      <c r="K642" s="11"/>
      <c r="L642" s="11"/>
      <c r="M642" s="11"/>
      <c r="N642" s="11"/>
      <c r="O642" s="136"/>
      <c r="P642" s="103"/>
      <c r="Q642" s="91"/>
      <c r="R642" s="107"/>
      <c r="T642" s="547"/>
      <c r="U642" s="547"/>
    </row>
    <row r="643" spans="3:21" s="448" customFormat="1" ht="9.75" customHeight="1">
      <c r="C643" s="30"/>
      <c r="D643" s="13" t="s">
        <v>27</v>
      </c>
      <c r="E643" s="13"/>
      <c r="F643" s="121"/>
      <c r="G643" s="11"/>
      <c r="H643" s="11"/>
      <c r="I643" s="11"/>
      <c r="J643" s="11"/>
      <c r="K643" s="199"/>
      <c r="L643" s="199"/>
      <c r="M643" s="199"/>
      <c r="N643" s="199"/>
      <c r="O643" s="200"/>
      <c r="P643" s="109"/>
      <c r="Q643" s="504"/>
      <c r="R643" s="107"/>
      <c r="T643" s="547"/>
      <c r="U643" s="547"/>
    </row>
    <row r="644" spans="3:21" s="448" customFormat="1" ht="9.75" customHeight="1">
      <c r="C644" s="30"/>
      <c r="D644" s="13" t="s">
        <v>115</v>
      </c>
      <c r="E644" s="13"/>
      <c r="F644" s="121"/>
      <c r="G644" s="11"/>
      <c r="H644" s="11"/>
      <c r="I644" s="11"/>
      <c r="J644" s="11"/>
      <c r="K644" s="11"/>
      <c r="L644" s="11"/>
      <c r="M644" s="11"/>
      <c r="N644" s="11"/>
      <c r="O644" s="136"/>
      <c r="P644" s="109"/>
      <c r="Q644" s="504"/>
      <c r="R644" s="107"/>
      <c r="T644" s="547"/>
      <c r="U644" s="547"/>
    </row>
    <row r="645" spans="3:21" s="448" customFormat="1" ht="9.75" customHeight="1">
      <c r="C645" s="30"/>
      <c r="D645" s="13" t="s">
        <v>115</v>
      </c>
      <c r="E645" s="13"/>
      <c r="F645" s="149"/>
      <c r="G645" s="32"/>
      <c r="H645" s="32"/>
      <c r="I645" s="32"/>
      <c r="J645" s="32"/>
      <c r="K645" s="32"/>
      <c r="L645" s="32"/>
      <c r="M645" s="32"/>
      <c r="N645" s="32"/>
      <c r="O645" s="142"/>
      <c r="P645" s="109"/>
      <c r="Q645" s="504"/>
      <c r="R645" s="107"/>
      <c r="T645" s="547"/>
      <c r="U645" s="547"/>
    </row>
    <row r="646" spans="3:21" s="448" customFormat="1" ht="9.75" customHeight="1">
      <c r="C646" s="30"/>
      <c r="D646" s="13" t="s">
        <v>32</v>
      </c>
      <c r="E646" s="13"/>
      <c r="F646" s="149"/>
      <c r="G646" s="32"/>
      <c r="H646" s="32"/>
      <c r="I646" s="32"/>
      <c r="J646" s="32"/>
      <c r="K646" s="32"/>
      <c r="L646" s="32"/>
      <c r="M646" s="32"/>
      <c r="N646" s="32"/>
      <c r="O646" s="142"/>
      <c r="P646" s="109"/>
      <c r="Q646" s="504"/>
      <c r="R646" s="107"/>
      <c r="T646" s="547"/>
      <c r="U646" s="547"/>
    </row>
    <row r="647" spans="3:21" s="448" customFormat="1" ht="9.75" customHeight="1">
      <c r="C647" s="30"/>
      <c r="D647" s="13" t="s">
        <v>193</v>
      </c>
      <c r="E647" s="13">
        <f>428+18+4</f>
        <v>450</v>
      </c>
      <c r="F647" s="121">
        <f>E647-6</f>
        <v>444</v>
      </c>
      <c r="G647" s="11">
        <f>E647-2</f>
        <v>448</v>
      </c>
      <c r="H647" s="11">
        <f>E647-6</f>
        <v>444</v>
      </c>
      <c r="I647" s="11">
        <f>E647-6</f>
        <v>444</v>
      </c>
      <c r="J647" s="11">
        <f>E647-2</f>
        <v>448</v>
      </c>
      <c r="K647" s="11">
        <f>E647-3</f>
        <v>447</v>
      </c>
      <c r="L647" s="11">
        <f>E647-2</f>
        <v>448</v>
      </c>
      <c r="M647" s="11">
        <f>E647-3</f>
        <v>447</v>
      </c>
      <c r="N647" s="11">
        <f>E647-3</f>
        <v>447</v>
      </c>
      <c r="O647" s="136">
        <f>E647-1</f>
        <v>449</v>
      </c>
      <c r="P647" s="109">
        <f>MIN(F647:O647)</f>
        <v>444</v>
      </c>
      <c r="Q647" s="504">
        <f>E647-P647</f>
        <v>6</v>
      </c>
      <c r="R647" s="107">
        <f>Q647/E647</f>
        <v>1.3333333333333334E-2</v>
      </c>
      <c r="T647" s="547"/>
      <c r="U647" s="547"/>
    </row>
    <row r="648" spans="3:21" s="448" customFormat="1" ht="9.75" customHeight="1">
      <c r="C648" s="30"/>
      <c r="D648" s="13" t="s">
        <v>120</v>
      </c>
      <c r="E648" s="13"/>
      <c r="F648" s="121"/>
      <c r="G648" s="11"/>
      <c r="H648" s="11"/>
      <c r="I648" s="11"/>
      <c r="J648" s="11"/>
      <c r="K648" s="11"/>
      <c r="L648" s="11"/>
      <c r="M648" s="11"/>
      <c r="N648" s="11"/>
      <c r="O648" s="136"/>
      <c r="P648" s="109"/>
      <c r="Q648" s="504"/>
      <c r="R648" s="107"/>
      <c r="T648" s="547"/>
      <c r="U648" s="547"/>
    </row>
    <row r="649" spans="3:21" s="448" customFormat="1" ht="9.75" customHeight="1">
      <c r="C649" s="30"/>
      <c r="D649" s="13" t="s">
        <v>120</v>
      </c>
      <c r="E649" s="13"/>
      <c r="F649" s="149"/>
      <c r="G649" s="32"/>
      <c r="H649" s="32"/>
      <c r="I649" s="32"/>
      <c r="J649" s="32"/>
      <c r="K649" s="32"/>
      <c r="L649" s="32"/>
      <c r="M649" s="32"/>
      <c r="N649" s="32"/>
      <c r="O649" s="142"/>
      <c r="P649" s="109"/>
      <c r="Q649" s="504"/>
      <c r="R649" s="107"/>
      <c r="T649" s="547"/>
      <c r="U649" s="547"/>
    </row>
    <row r="650" spans="3:21" s="448" customFormat="1" ht="9.75" customHeight="1">
      <c r="C650" s="30"/>
      <c r="D650" s="13" t="s">
        <v>120</v>
      </c>
      <c r="E650" s="13"/>
      <c r="F650" s="149"/>
      <c r="G650" s="32"/>
      <c r="H650" s="32"/>
      <c r="I650" s="32"/>
      <c r="J650" s="32"/>
      <c r="K650" s="32"/>
      <c r="L650" s="32"/>
      <c r="M650" s="32"/>
      <c r="N650" s="32"/>
      <c r="O650" s="142"/>
      <c r="P650" s="109"/>
      <c r="Q650" s="504"/>
      <c r="R650" s="107"/>
      <c r="T650" s="547"/>
      <c r="U650" s="547"/>
    </row>
    <row r="651" spans="3:21" s="448" customFormat="1" ht="9.75" customHeight="1">
      <c r="C651" s="30"/>
      <c r="D651" s="13" t="s">
        <v>120</v>
      </c>
      <c r="E651" s="13"/>
      <c r="F651" s="149"/>
      <c r="G651" s="32"/>
      <c r="H651" s="32"/>
      <c r="I651" s="32"/>
      <c r="J651" s="32"/>
      <c r="K651" s="32"/>
      <c r="L651" s="32"/>
      <c r="M651" s="32"/>
      <c r="N651" s="32"/>
      <c r="O651" s="142"/>
      <c r="P651" s="109"/>
      <c r="Q651" s="504"/>
      <c r="R651" s="107"/>
      <c r="T651" s="547"/>
      <c r="U651" s="547"/>
    </row>
    <row r="652" spans="3:21" s="448" customFormat="1" ht="9.75" customHeight="1">
      <c r="C652" s="30"/>
      <c r="D652" s="13" t="s">
        <v>120</v>
      </c>
      <c r="E652" s="13"/>
      <c r="F652" s="103"/>
      <c r="G652" s="91"/>
      <c r="H652" s="91"/>
      <c r="I652" s="91"/>
      <c r="J652" s="91"/>
      <c r="K652" s="32"/>
      <c r="L652" s="32"/>
      <c r="M652" s="32"/>
      <c r="N652" s="32"/>
      <c r="O652" s="142"/>
      <c r="P652" s="109"/>
      <c r="Q652" s="504"/>
      <c r="R652" s="107"/>
      <c r="T652" s="547"/>
      <c r="U652" s="547"/>
    </row>
    <row r="653" spans="3:21" s="448" customFormat="1" ht="9.75" customHeight="1">
      <c r="C653" s="30"/>
      <c r="D653" s="13" t="s">
        <v>34</v>
      </c>
      <c r="E653" s="13">
        <v>13</v>
      </c>
      <c r="F653" s="103">
        <v>13</v>
      </c>
      <c r="G653" s="91">
        <v>13</v>
      </c>
      <c r="H653" s="91">
        <v>13</v>
      </c>
      <c r="I653" s="91">
        <v>13</v>
      </c>
      <c r="J653" s="91">
        <v>13</v>
      </c>
      <c r="K653" s="91">
        <v>13</v>
      </c>
      <c r="L653" s="11">
        <v>13</v>
      </c>
      <c r="M653" s="11">
        <v>13</v>
      </c>
      <c r="N653" s="11">
        <v>13</v>
      </c>
      <c r="O653" s="136">
        <v>13</v>
      </c>
      <c r="P653" s="109">
        <f>MIN(F653:O653)</f>
        <v>13</v>
      </c>
      <c r="Q653" s="504">
        <f>E653-P653</f>
        <v>0</v>
      </c>
      <c r="R653" s="107">
        <f>Q653/E653</f>
        <v>0</v>
      </c>
      <c r="T653" s="547"/>
      <c r="U653" s="547"/>
    </row>
    <row r="654" spans="3:21" s="448" customFormat="1" ht="9.75" customHeight="1">
      <c r="C654" s="30"/>
      <c r="D654" s="13" t="s">
        <v>35</v>
      </c>
      <c r="E654" s="13"/>
      <c r="F654" s="109"/>
      <c r="G654" s="504"/>
      <c r="H654" s="504"/>
      <c r="I654" s="504"/>
      <c r="J654" s="504"/>
      <c r="K654" s="504"/>
      <c r="L654" s="504"/>
      <c r="M654" s="504"/>
      <c r="N654" s="504"/>
      <c r="O654" s="110"/>
      <c r="P654" s="109"/>
      <c r="Q654" s="504"/>
      <c r="R654" s="107"/>
      <c r="T654" s="547"/>
      <c r="U654" s="547"/>
    </row>
    <row r="655" spans="3:21" s="448" customFormat="1" ht="9.75" customHeight="1">
      <c r="C655" s="30"/>
      <c r="D655" s="13" t="s">
        <v>36</v>
      </c>
      <c r="E655" s="13"/>
      <c r="F655" s="109"/>
      <c r="G655" s="504"/>
      <c r="H655" s="504"/>
      <c r="I655" s="504"/>
      <c r="J655" s="504"/>
      <c r="K655" s="504"/>
      <c r="L655" s="504"/>
      <c r="M655" s="504"/>
      <c r="N655" s="504"/>
      <c r="O655" s="110"/>
      <c r="P655" s="109"/>
      <c r="Q655" s="504"/>
      <c r="R655" s="107"/>
      <c r="T655" s="547"/>
      <c r="U655" s="547"/>
    </row>
    <row r="656" spans="3:21" s="448" customFormat="1" ht="9.75" customHeight="1">
      <c r="C656" s="30"/>
      <c r="D656" s="13" t="s">
        <v>37</v>
      </c>
      <c r="E656" s="13"/>
      <c r="F656" s="109"/>
      <c r="G656" s="504"/>
      <c r="H656" s="504"/>
      <c r="I656" s="504"/>
      <c r="J656" s="504"/>
      <c r="K656" s="504"/>
      <c r="L656" s="504"/>
      <c r="M656" s="504"/>
      <c r="N656" s="504"/>
      <c r="O656" s="110"/>
      <c r="P656" s="109"/>
      <c r="Q656" s="504"/>
      <c r="R656" s="107"/>
      <c r="T656" s="547"/>
      <c r="U656" s="547"/>
    </row>
    <row r="657" spans="3:21" s="448" customFormat="1" ht="9.75" customHeight="1">
      <c r="C657" s="31"/>
      <c r="D657" s="3" t="s">
        <v>38</v>
      </c>
      <c r="E657" s="3">
        <f t="shared" ref="E657:O657" si="96">SUM(E641:E656)</f>
        <v>463</v>
      </c>
      <c r="F657" s="6">
        <f t="shared" si="96"/>
        <v>457</v>
      </c>
      <c r="G657" s="70">
        <f t="shared" si="96"/>
        <v>461</v>
      </c>
      <c r="H657" s="70">
        <f t="shared" si="96"/>
        <v>457</v>
      </c>
      <c r="I657" s="70">
        <f t="shared" si="96"/>
        <v>457</v>
      </c>
      <c r="J657" s="70">
        <f t="shared" si="96"/>
        <v>461</v>
      </c>
      <c r="K657" s="70">
        <f t="shared" si="96"/>
        <v>460</v>
      </c>
      <c r="L657" s="70">
        <f t="shared" si="96"/>
        <v>461</v>
      </c>
      <c r="M657" s="70">
        <f t="shared" si="96"/>
        <v>460</v>
      </c>
      <c r="N657" s="70">
        <f t="shared" si="96"/>
        <v>460</v>
      </c>
      <c r="O657" s="27">
        <f t="shared" si="96"/>
        <v>462</v>
      </c>
      <c r="P657" s="6">
        <f t="shared" ref="P657" si="97">MIN(F657:O657)</f>
        <v>457</v>
      </c>
      <c r="Q657" s="70">
        <f t="shared" ref="Q657" si="98">E657-P657</f>
        <v>6</v>
      </c>
      <c r="R657" s="7">
        <f t="shared" ref="R657" si="99">Q657/E657</f>
        <v>1.2958963282937365E-2</v>
      </c>
      <c r="T657" s="547"/>
      <c r="U657" s="547"/>
    </row>
    <row r="658" spans="3:21" s="448" customFormat="1" ht="9.75" customHeight="1">
      <c r="C658" s="43" t="s">
        <v>194</v>
      </c>
      <c r="D658" s="43" t="s">
        <v>23</v>
      </c>
      <c r="E658" s="43"/>
      <c r="F658" s="119"/>
      <c r="G658" s="118"/>
      <c r="H658" s="118"/>
      <c r="I658" s="118"/>
      <c r="J658" s="118"/>
      <c r="K658" s="118"/>
      <c r="L658" s="118"/>
      <c r="M658" s="118"/>
      <c r="N658" s="118"/>
      <c r="O658" s="135"/>
      <c r="P658" s="104"/>
      <c r="Q658" s="105"/>
      <c r="R658" s="141"/>
      <c r="T658" s="547"/>
      <c r="U658" s="547"/>
    </row>
    <row r="659" spans="3:21" s="448" customFormat="1" ht="9.75" customHeight="1">
      <c r="C659" s="30"/>
      <c r="D659" s="13" t="s">
        <v>25</v>
      </c>
      <c r="E659" s="13"/>
      <c r="F659" s="121"/>
      <c r="G659" s="11"/>
      <c r="H659" s="11"/>
      <c r="I659" s="11"/>
      <c r="J659" s="11"/>
      <c r="K659" s="11"/>
      <c r="L659" s="11"/>
      <c r="M659" s="11"/>
      <c r="N659" s="11"/>
      <c r="O659" s="136"/>
      <c r="P659" s="103"/>
      <c r="Q659" s="91"/>
      <c r="R659" s="107"/>
      <c r="T659" s="547"/>
      <c r="U659" s="547"/>
    </row>
    <row r="660" spans="3:21" s="448" customFormat="1" ht="9.75" customHeight="1">
      <c r="C660" s="30"/>
      <c r="D660" s="13" t="s">
        <v>27</v>
      </c>
      <c r="E660" s="13"/>
      <c r="F660" s="121"/>
      <c r="G660" s="11"/>
      <c r="H660" s="11"/>
      <c r="I660" s="11"/>
      <c r="J660" s="11"/>
      <c r="K660" s="199"/>
      <c r="L660" s="199"/>
      <c r="M660" s="199"/>
      <c r="N660" s="199"/>
      <c r="O660" s="200"/>
      <c r="P660" s="109"/>
      <c r="Q660" s="504"/>
      <c r="R660" s="107"/>
      <c r="T660" s="547"/>
      <c r="U660" s="547"/>
    </row>
    <row r="661" spans="3:21" s="448" customFormat="1" ht="9.75" customHeight="1">
      <c r="C661" s="30"/>
      <c r="D661" s="13" t="s">
        <v>115</v>
      </c>
      <c r="E661" s="13"/>
      <c r="F661" s="121"/>
      <c r="G661" s="11"/>
      <c r="H661" s="11"/>
      <c r="I661" s="11"/>
      <c r="J661" s="11"/>
      <c r="K661" s="11"/>
      <c r="L661" s="11"/>
      <c r="M661" s="11"/>
      <c r="N661" s="11"/>
      <c r="O661" s="136"/>
      <c r="P661" s="103"/>
      <c r="Q661" s="91"/>
      <c r="R661" s="107"/>
      <c r="T661" s="547"/>
      <c r="U661" s="547"/>
    </row>
    <row r="662" spans="3:21" s="448" customFormat="1" ht="9.75" customHeight="1">
      <c r="C662" s="30"/>
      <c r="D662" s="13" t="s">
        <v>115</v>
      </c>
      <c r="E662" s="13"/>
      <c r="F662" s="149"/>
      <c r="G662" s="32"/>
      <c r="H662" s="32"/>
      <c r="I662" s="32"/>
      <c r="J662" s="32"/>
      <c r="K662" s="32"/>
      <c r="L662" s="32"/>
      <c r="M662" s="32"/>
      <c r="N662" s="32"/>
      <c r="O662" s="142"/>
      <c r="P662" s="109"/>
      <c r="Q662" s="504"/>
      <c r="R662" s="107"/>
      <c r="T662" s="547"/>
      <c r="U662" s="547"/>
    </row>
    <row r="663" spans="3:21" s="448" customFormat="1" ht="9.75" customHeight="1">
      <c r="C663" s="30"/>
      <c r="D663" s="13" t="s">
        <v>32</v>
      </c>
      <c r="E663" s="13"/>
      <c r="F663" s="149"/>
      <c r="G663" s="32"/>
      <c r="H663" s="32"/>
      <c r="I663" s="32"/>
      <c r="J663" s="32"/>
      <c r="K663" s="32"/>
      <c r="L663" s="32"/>
      <c r="M663" s="32"/>
      <c r="N663" s="32"/>
      <c r="O663" s="142"/>
      <c r="P663" s="109"/>
      <c r="Q663" s="504"/>
      <c r="R663" s="107"/>
      <c r="T663" s="547"/>
      <c r="U663" s="547"/>
    </row>
    <row r="664" spans="3:21" s="448" customFormat="1" ht="9.75" customHeight="1">
      <c r="C664" s="30"/>
      <c r="D664" s="13" t="s">
        <v>193</v>
      </c>
      <c r="E664" s="13">
        <v>434</v>
      </c>
      <c r="F664" s="149">
        <f>E664-140</f>
        <v>294</v>
      </c>
      <c r="G664" s="32">
        <f>E664-156</f>
        <v>278</v>
      </c>
      <c r="H664" s="32">
        <f>E664-186</f>
        <v>248</v>
      </c>
      <c r="I664" s="32">
        <f>E664-177</f>
        <v>257</v>
      </c>
      <c r="J664" s="32">
        <f>E664-184</f>
        <v>250</v>
      </c>
      <c r="K664" s="32">
        <f>E664-198</f>
        <v>236</v>
      </c>
      <c r="L664" s="32">
        <f>E664-199</f>
        <v>235</v>
      </c>
      <c r="M664" s="32">
        <f>E664-181</f>
        <v>253</v>
      </c>
      <c r="N664" s="32">
        <f>E664-180</f>
        <v>254</v>
      </c>
      <c r="O664" s="142">
        <f>E664-153</f>
        <v>281</v>
      </c>
      <c r="P664" s="109">
        <f>MIN(F664:O664)</f>
        <v>235</v>
      </c>
      <c r="Q664" s="504">
        <f>E664-P664</f>
        <v>199</v>
      </c>
      <c r="R664" s="107">
        <f>Q664/E664</f>
        <v>0.45852534562211983</v>
      </c>
      <c r="T664" s="547"/>
      <c r="U664" s="547"/>
    </row>
    <row r="665" spans="3:21" s="448" customFormat="1" ht="9.75" customHeight="1">
      <c r="C665" s="30"/>
      <c r="D665" s="13" t="s">
        <v>118</v>
      </c>
      <c r="E665" s="13">
        <v>6</v>
      </c>
      <c r="F665" s="149">
        <v>6</v>
      </c>
      <c r="G665" s="32">
        <v>6</v>
      </c>
      <c r="H665" s="32">
        <v>6</v>
      </c>
      <c r="I665" s="32">
        <v>6</v>
      </c>
      <c r="J665" s="32">
        <v>6</v>
      </c>
      <c r="K665" s="32">
        <v>6</v>
      </c>
      <c r="L665" s="32">
        <v>6</v>
      </c>
      <c r="M665" s="32">
        <v>6</v>
      </c>
      <c r="N665" s="32">
        <v>6</v>
      </c>
      <c r="O665" s="142">
        <v>6</v>
      </c>
      <c r="P665" s="109">
        <f>MIN(F665:O665)</f>
        <v>6</v>
      </c>
      <c r="Q665" s="504">
        <f>E665-P665</f>
        <v>0</v>
      </c>
      <c r="R665" s="107">
        <f>Q665/E665</f>
        <v>0</v>
      </c>
      <c r="T665" s="547"/>
      <c r="U665" s="547"/>
    </row>
    <row r="666" spans="3:21" s="448" customFormat="1" ht="9.75" customHeight="1">
      <c r="C666" s="30"/>
      <c r="D666" s="13" t="s">
        <v>120</v>
      </c>
      <c r="E666" s="13"/>
      <c r="F666" s="149"/>
      <c r="G666" s="32"/>
      <c r="H666" s="32"/>
      <c r="I666" s="32"/>
      <c r="J666" s="32"/>
      <c r="K666" s="32"/>
      <c r="L666" s="32"/>
      <c r="M666" s="32"/>
      <c r="N666" s="32"/>
      <c r="O666" s="142"/>
      <c r="P666" s="109"/>
      <c r="Q666" s="504"/>
      <c r="R666" s="107"/>
      <c r="T666" s="547"/>
      <c r="U666" s="547"/>
    </row>
    <row r="667" spans="3:21" s="448" customFormat="1" ht="9.75" customHeight="1">
      <c r="C667" s="30"/>
      <c r="D667" s="13" t="s">
        <v>120</v>
      </c>
      <c r="E667" s="13"/>
      <c r="F667" s="149"/>
      <c r="G667" s="32"/>
      <c r="H667" s="32"/>
      <c r="I667" s="32"/>
      <c r="J667" s="32"/>
      <c r="K667" s="32"/>
      <c r="L667" s="32"/>
      <c r="M667" s="32"/>
      <c r="N667" s="32"/>
      <c r="O667" s="142"/>
      <c r="P667" s="109"/>
      <c r="Q667" s="504"/>
      <c r="R667" s="107"/>
      <c r="T667" s="547"/>
      <c r="U667" s="547"/>
    </row>
    <row r="668" spans="3:21" s="448" customFormat="1" ht="9.75" customHeight="1">
      <c r="C668" s="30"/>
      <c r="D668" s="13" t="s">
        <v>120</v>
      </c>
      <c r="E668" s="13"/>
      <c r="F668" s="149"/>
      <c r="G668" s="32"/>
      <c r="H668" s="32"/>
      <c r="I668" s="32"/>
      <c r="J668" s="32"/>
      <c r="K668" s="32"/>
      <c r="L668" s="32"/>
      <c r="M668" s="32"/>
      <c r="N668" s="32"/>
      <c r="O668" s="142"/>
      <c r="P668" s="109"/>
      <c r="Q668" s="504"/>
      <c r="R668" s="107"/>
      <c r="T668" s="547"/>
      <c r="U668" s="547"/>
    </row>
    <row r="669" spans="3:21" s="448" customFormat="1" ht="9.75" customHeight="1">
      <c r="C669" s="30"/>
      <c r="D669" s="13" t="s">
        <v>120</v>
      </c>
      <c r="E669" s="13"/>
      <c r="F669" s="103"/>
      <c r="G669" s="91"/>
      <c r="H669" s="91"/>
      <c r="I669" s="91"/>
      <c r="J669" s="91"/>
      <c r="K669" s="32"/>
      <c r="L669" s="32"/>
      <c r="M669" s="32"/>
      <c r="N669" s="32"/>
      <c r="O669" s="142"/>
      <c r="P669" s="109"/>
      <c r="Q669" s="504"/>
      <c r="R669" s="107"/>
      <c r="T669" s="547"/>
      <c r="U669" s="547"/>
    </row>
    <row r="670" spans="3:21" s="448" customFormat="1" ht="9.75" customHeight="1">
      <c r="C670" s="30"/>
      <c r="D670" s="13" t="s">
        <v>34</v>
      </c>
      <c r="E670" s="13">
        <v>17</v>
      </c>
      <c r="F670" s="103">
        <f>16-3</f>
        <v>13</v>
      </c>
      <c r="G670" s="91">
        <v>13</v>
      </c>
      <c r="H670" s="91">
        <v>13</v>
      </c>
      <c r="I670" s="91">
        <v>12</v>
      </c>
      <c r="J670" s="91">
        <v>12</v>
      </c>
      <c r="K670" s="11">
        <v>12</v>
      </c>
      <c r="L670" s="11">
        <v>12</v>
      </c>
      <c r="M670" s="11">
        <v>12</v>
      </c>
      <c r="N670" s="11">
        <v>16</v>
      </c>
      <c r="O670" s="136">
        <v>16</v>
      </c>
      <c r="P670" s="109">
        <f>MIN(F670:O670)</f>
        <v>12</v>
      </c>
      <c r="Q670" s="504">
        <f>E670-P670</f>
        <v>5</v>
      </c>
      <c r="R670" s="107">
        <f>Q670/E670</f>
        <v>0.29411764705882354</v>
      </c>
      <c r="T670" s="547"/>
      <c r="U670" s="547"/>
    </row>
    <row r="671" spans="3:21" s="448" customFormat="1" ht="9.75" customHeight="1">
      <c r="C671" s="30"/>
      <c r="D671" s="13" t="s">
        <v>35</v>
      </c>
      <c r="E671" s="13"/>
      <c r="F671" s="109"/>
      <c r="G671" s="504"/>
      <c r="H671" s="504"/>
      <c r="I671" s="504"/>
      <c r="J671" s="504"/>
      <c r="K671" s="504"/>
      <c r="L671" s="504"/>
      <c r="M671" s="504"/>
      <c r="N671" s="504"/>
      <c r="O671" s="110"/>
      <c r="P671" s="109"/>
      <c r="Q671" s="504"/>
      <c r="R671" s="107"/>
      <c r="T671" s="547"/>
      <c r="U671" s="547"/>
    </row>
    <row r="672" spans="3:21" s="448" customFormat="1" ht="9.75" customHeight="1">
      <c r="C672" s="30"/>
      <c r="D672" s="13" t="s">
        <v>36</v>
      </c>
      <c r="E672" s="13"/>
      <c r="F672" s="109"/>
      <c r="G672" s="504"/>
      <c r="H672" s="504"/>
      <c r="I672" s="504"/>
      <c r="J672" s="504"/>
      <c r="K672" s="504"/>
      <c r="L672" s="504"/>
      <c r="M672" s="504"/>
      <c r="N672" s="504"/>
      <c r="O672" s="110"/>
      <c r="P672" s="109"/>
      <c r="Q672" s="504"/>
      <c r="R672" s="107"/>
      <c r="T672" s="547"/>
      <c r="U672" s="547"/>
    </row>
    <row r="673" spans="3:21" s="448" customFormat="1" ht="9.75" customHeight="1">
      <c r="C673" s="30"/>
      <c r="D673" s="13" t="s">
        <v>37</v>
      </c>
      <c r="E673" s="13"/>
      <c r="F673" s="109"/>
      <c r="G673" s="504"/>
      <c r="H673" s="504"/>
      <c r="I673" s="504"/>
      <c r="J673" s="504"/>
      <c r="K673" s="504"/>
      <c r="L673" s="504"/>
      <c r="M673" s="504"/>
      <c r="N673" s="504"/>
      <c r="O673" s="110"/>
      <c r="P673" s="109"/>
      <c r="Q673" s="504"/>
      <c r="R673" s="107"/>
      <c r="T673" s="547"/>
      <c r="U673" s="547"/>
    </row>
    <row r="674" spans="3:21" s="448" customFormat="1" ht="9.75" customHeight="1">
      <c r="C674" s="31"/>
      <c r="D674" s="3" t="s">
        <v>38</v>
      </c>
      <c r="E674" s="3">
        <f t="shared" ref="E674:O674" si="100">SUM(E658:E673)</f>
        <v>457</v>
      </c>
      <c r="F674" s="6">
        <f t="shared" si="100"/>
        <v>313</v>
      </c>
      <c r="G674" s="70">
        <f t="shared" si="100"/>
        <v>297</v>
      </c>
      <c r="H674" s="70">
        <f t="shared" si="100"/>
        <v>267</v>
      </c>
      <c r="I674" s="70">
        <f t="shared" si="100"/>
        <v>275</v>
      </c>
      <c r="J674" s="70">
        <f t="shared" si="100"/>
        <v>268</v>
      </c>
      <c r="K674" s="70">
        <f t="shared" si="100"/>
        <v>254</v>
      </c>
      <c r="L674" s="70">
        <f t="shared" si="100"/>
        <v>253</v>
      </c>
      <c r="M674" s="70">
        <f t="shared" si="100"/>
        <v>271</v>
      </c>
      <c r="N674" s="70">
        <f t="shared" si="100"/>
        <v>276</v>
      </c>
      <c r="O674" s="27">
        <f t="shared" si="100"/>
        <v>303</v>
      </c>
      <c r="P674" s="6">
        <f t="shared" ref="P674" si="101">MIN(F674:O674)</f>
        <v>253</v>
      </c>
      <c r="Q674" s="70">
        <f t="shared" ref="Q674" si="102">E674-P674</f>
        <v>204</v>
      </c>
      <c r="R674" s="7">
        <f t="shared" ref="R674" si="103">Q674/E674</f>
        <v>0.44638949671772427</v>
      </c>
      <c r="T674" s="547"/>
      <c r="U674" s="547"/>
    </row>
    <row r="675" spans="3:21" s="448" customFormat="1" ht="9.75" customHeight="1">
      <c r="C675" s="43" t="s">
        <v>195</v>
      </c>
      <c r="D675" s="43" t="s">
        <v>23</v>
      </c>
      <c r="E675" s="43"/>
      <c r="F675" s="119"/>
      <c r="G675" s="118"/>
      <c r="H675" s="118"/>
      <c r="I675" s="118"/>
      <c r="J675" s="118"/>
      <c r="K675" s="118"/>
      <c r="L675" s="118"/>
      <c r="M675" s="118"/>
      <c r="N675" s="118"/>
      <c r="O675" s="135"/>
      <c r="P675" s="104"/>
      <c r="Q675" s="105"/>
      <c r="R675" s="141"/>
      <c r="T675" s="547"/>
      <c r="U675" s="547"/>
    </row>
    <row r="676" spans="3:21" s="448" customFormat="1" ht="9.75" customHeight="1">
      <c r="C676" s="30"/>
      <c r="D676" s="13" t="s">
        <v>25</v>
      </c>
      <c r="E676" s="13"/>
      <c r="F676" s="121"/>
      <c r="G676" s="11"/>
      <c r="H676" s="11"/>
      <c r="I676" s="11"/>
      <c r="J676" s="11"/>
      <c r="K676" s="11"/>
      <c r="L676" s="11"/>
      <c r="M676" s="11"/>
      <c r="N676" s="11"/>
      <c r="O676" s="136"/>
      <c r="P676" s="103"/>
      <c r="Q676" s="91"/>
      <c r="R676" s="107"/>
      <c r="T676" s="547"/>
      <c r="U676" s="547"/>
    </row>
    <row r="677" spans="3:21" s="448" customFormat="1" ht="9.75" customHeight="1">
      <c r="C677" s="30"/>
      <c r="D677" s="13" t="s">
        <v>27</v>
      </c>
      <c r="E677" s="13"/>
      <c r="F677" s="121"/>
      <c r="G677" s="11"/>
      <c r="H677" s="11"/>
      <c r="I677" s="11"/>
      <c r="J677" s="11"/>
      <c r="K677" s="199"/>
      <c r="L677" s="199"/>
      <c r="M677" s="199"/>
      <c r="N677" s="199"/>
      <c r="O677" s="200"/>
      <c r="P677" s="109"/>
      <c r="Q677" s="504"/>
      <c r="R677" s="107"/>
      <c r="T677" s="547"/>
      <c r="U677" s="547"/>
    </row>
    <row r="678" spans="3:21" s="448" customFormat="1" ht="9.75" customHeight="1">
      <c r="C678" s="30"/>
      <c r="D678" s="13" t="s">
        <v>115</v>
      </c>
      <c r="E678" s="13">
        <f>59+3</f>
        <v>62</v>
      </c>
      <c r="F678" s="121">
        <f>59-33+2</f>
        <v>28</v>
      </c>
      <c r="G678" s="11">
        <f>59-36+1</f>
        <v>24</v>
      </c>
      <c r="H678" s="11">
        <f>59-41+1</f>
        <v>19</v>
      </c>
      <c r="I678" s="11">
        <f>59-38</f>
        <v>21</v>
      </c>
      <c r="J678" s="11">
        <f>59-44</f>
        <v>15</v>
      </c>
      <c r="K678" s="11">
        <f>59-38+1</f>
        <v>22</v>
      </c>
      <c r="L678" s="11">
        <f>59-41+1</f>
        <v>19</v>
      </c>
      <c r="M678" s="11">
        <f>59-34+1</f>
        <v>26</v>
      </c>
      <c r="N678" s="11">
        <f>59-37</f>
        <v>22</v>
      </c>
      <c r="O678" s="136">
        <f>59-28</f>
        <v>31</v>
      </c>
      <c r="P678" s="109">
        <f>MIN(F678:O678)</f>
        <v>15</v>
      </c>
      <c r="Q678" s="504">
        <f>E678-P678</f>
        <v>47</v>
      </c>
      <c r="R678" s="107">
        <f>Q678/E678</f>
        <v>0.75806451612903225</v>
      </c>
      <c r="T678" s="547"/>
      <c r="U678" s="547"/>
    </row>
    <row r="679" spans="3:21" s="448" customFormat="1" ht="9.75" customHeight="1">
      <c r="C679" s="30"/>
      <c r="D679" s="13" t="s">
        <v>115</v>
      </c>
      <c r="E679" s="13"/>
      <c r="F679" s="149"/>
      <c r="G679" s="32"/>
      <c r="H679" s="32"/>
      <c r="I679" s="32"/>
      <c r="J679" s="32"/>
      <c r="K679" s="32"/>
      <c r="L679" s="32"/>
      <c r="M679" s="32"/>
      <c r="N679" s="32"/>
      <c r="O679" s="142"/>
      <c r="P679" s="109"/>
      <c r="Q679" s="504"/>
      <c r="R679" s="107"/>
      <c r="T679" s="547"/>
      <c r="U679" s="547"/>
    </row>
    <row r="680" spans="3:21" s="448" customFormat="1" ht="9.75" customHeight="1">
      <c r="C680" s="30"/>
      <c r="D680" s="13" t="s">
        <v>32</v>
      </c>
      <c r="E680" s="13">
        <v>3</v>
      </c>
      <c r="F680" s="149"/>
      <c r="G680" s="32"/>
      <c r="H680" s="32"/>
      <c r="I680" s="32"/>
      <c r="J680" s="32"/>
      <c r="K680" s="32"/>
      <c r="L680" s="32"/>
      <c r="M680" s="32"/>
      <c r="N680" s="32"/>
      <c r="O680" s="142"/>
      <c r="P680" s="109"/>
      <c r="Q680" s="504"/>
      <c r="R680" s="107"/>
      <c r="T680" s="547"/>
      <c r="U680" s="547"/>
    </row>
    <row r="681" spans="3:21" s="448" customFormat="1" ht="9.75" customHeight="1">
      <c r="C681" s="30"/>
      <c r="D681" s="13" t="s">
        <v>120</v>
      </c>
      <c r="E681" s="13">
        <f>56+26+19-3</f>
        <v>98</v>
      </c>
      <c r="F681" s="121">
        <v>6</v>
      </c>
      <c r="G681" s="11">
        <v>3</v>
      </c>
      <c r="H681" s="11">
        <v>2</v>
      </c>
      <c r="I681" s="11">
        <v>7</v>
      </c>
      <c r="J681" s="11">
        <v>1</v>
      </c>
      <c r="K681" s="11">
        <v>5</v>
      </c>
      <c r="L681" s="11">
        <v>6</v>
      </c>
      <c r="M681" s="11">
        <v>10</v>
      </c>
      <c r="N681" s="11">
        <v>36</v>
      </c>
      <c r="O681" s="136">
        <v>47</v>
      </c>
      <c r="P681" s="109">
        <f>MIN(F681:O681)</f>
        <v>1</v>
      </c>
      <c r="Q681" s="504">
        <f>E681-P681</f>
        <v>97</v>
      </c>
      <c r="R681" s="107">
        <f>Q681/E681</f>
        <v>0.98979591836734693</v>
      </c>
      <c r="T681" s="547"/>
      <c r="U681" s="547"/>
    </row>
    <row r="682" spans="3:21" s="448" customFormat="1" ht="9.75" customHeight="1">
      <c r="C682" s="30"/>
      <c r="D682" s="13" t="s">
        <v>120</v>
      </c>
      <c r="E682" s="13">
        <v>16</v>
      </c>
      <c r="F682" s="121">
        <v>10</v>
      </c>
      <c r="G682" s="11">
        <v>8</v>
      </c>
      <c r="H682" s="11">
        <v>3</v>
      </c>
      <c r="I682" s="11">
        <v>8</v>
      </c>
      <c r="J682" s="11">
        <v>13</v>
      </c>
      <c r="K682" s="11">
        <v>13</v>
      </c>
      <c r="L682" s="11">
        <v>10</v>
      </c>
      <c r="M682" s="11">
        <v>10</v>
      </c>
      <c r="N682" s="11">
        <v>9</v>
      </c>
      <c r="O682" s="136">
        <v>10</v>
      </c>
      <c r="P682" s="109">
        <f>MIN(F682:O682)</f>
        <v>3</v>
      </c>
      <c r="Q682" s="504">
        <f>E682-P682</f>
        <v>13</v>
      </c>
      <c r="R682" s="107">
        <f>Q682/E682</f>
        <v>0.8125</v>
      </c>
      <c r="T682" s="547"/>
      <c r="U682" s="547"/>
    </row>
    <row r="683" spans="3:21" s="448" customFormat="1" ht="9.75" customHeight="1">
      <c r="C683" s="30"/>
      <c r="D683" s="13" t="s">
        <v>120</v>
      </c>
      <c r="E683" s="13"/>
      <c r="F683" s="149"/>
      <c r="G683" s="32"/>
      <c r="H683" s="32"/>
      <c r="I683" s="32"/>
      <c r="J683" s="32"/>
      <c r="K683" s="32"/>
      <c r="L683" s="32"/>
      <c r="M683" s="32"/>
      <c r="N683" s="32"/>
      <c r="O683" s="142"/>
      <c r="P683" s="109"/>
      <c r="Q683" s="504"/>
      <c r="R683" s="107"/>
      <c r="T683" s="547"/>
      <c r="U683" s="547"/>
    </row>
    <row r="684" spans="3:21" s="448" customFormat="1" ht="9.75" customHeight="1">
      <c r="C684" s="30"/>
      <c r="D684" s="13" t="s">
        <v>120</v>
      </c>
      <c r="E684" s="13"/>
      <c r="F684" s="149"/>
      <c r="G684" s="32"/>
      <c r="H684" s="32"/>
      <c r="I684" s="32"/>
      <c r="J684" s="32"/>
      <c r="K684" s="32"/>
      <c r="L684" s="32"/>
      <c r="M684" s="32"/>
      <c r="N684" s="32"/>
      <c r="O684" s="142"/>
      <c r="P684" s="109"/>
      <c r="Q684" s="504"/>
      <c r="R684" s="107"/>
      <c r="T684" s="547"/>
      <c r="U684" s="547"/>
    </row>
    <row r="685" spans="3:21" s="448" customFormat="1" ht="9.75" customHeight="1">
      <c r="C685" s="30"/>
      <c r="D685" s="13" t="s">
        <v>120</v>
      </c>
      <c r="E685" s="13"/>
      <c r="F685" s="149"/>
      <c r="G685" s="32"/>
      <c r="H685" s="32"/>
      <c r="I685" s="32"/>
      <c r="J685" s="32"/>
      <c r="K685" s="32"/>
      <c r="L685" s="32"/>
      <c r="M685" s="32"/>
      <c r="N685" s="32"/>
      <c r="O685" s="142"/>
      <c r="P685" s="109"/>
      <c r="Q685" s="504"/>
      <c r="R685" s="107"/>
      <c r="T685" s="547"/>
      <c r="U685" s="547"/>
    </row>
    <row r="686" spans="3:21" s="448" customFormat="1" ht="9.75" customHeight="1">
      <c r="C686" s="30"/>
      <c r="D686" s="13" t="s">
        <v>120</v>
      </c>
      <c r="E686" s="13"/>
      <c r="F686" s="103"/>
      <c r="G686" s="91"/>
      <c r="H686" s="91"/>
      <c r="I686" s="91"/>
      <c r="J686" s="91"/>
      <c r="K686" s="32"/>
      <c r="L686" s="32"/>
      <c r="M686" s="32"/>
      <c r="N686" s="32"/>
      <c r="O686" s="142"/>
      <c r="P686" s="109"/>
      <c r="Q686" s="504"/>
      <c r="R686" s="107"/>
      <c r="T686" s="547"/>
      <c r="U686" s="547"/>
    </row>
    <row r="687" spans="3:21" s="448" customFormat="1" ht="9.75" customHeight="1">
      <c r="C687" s="30"/>
      <c r="D687" s="13" t="s">
        <v>34</v>
      </c>
      <c r="E687" s="13">
        <f>33+2</f>
        <v>35</v>
      </c>
      <c r="F687" s="103">
        <f>33-6+2</f>
        <v>29</v>
      </c>
      <c r="G687" s="91">
        <f>33-5+2</f>
        <v>30</v>
      </c>
      <c r="H687" s="91">
        <f>33-5+2</f>
        <v>30</v>
      </c>
      <c r="I687" s="91">
        <f>33-8+2</f>
        <v>27</v>
      </c>
      <c r="J687" s="91">
        <f>33-6+2</f>
        <v>29</v>
      </c>
      <c r="K687" s="91">
        <f>33-7+2</f>
        <v>28</v>
      </c>
      <c r="L687" s="11">
        <f>33-8+2</f>
        <v>27</v>
      </c>
      <c r="M687" s="11">
        <f>33-8+2</f>
        <v>27</v>
      </c>
      <c r="N687" s="11">
        <f>33-5+2</f>
        <v>30</v>
      </c>
      <c r="O687" s="136">
        <f>33-3+2</f>
        <v>32</v>
      </c>
      <c r="P687" s="109">
        <f>MIN(F687:O687)</f>
        <v>27</v>
      </c>
      <c r="Q687" s="504">
        <f>E687-P687</f>
        <v>8</v>
      </c>
      <c r="R687" s="107">
        <f>Q687/E687</f>
        <v>0.22857142857142856</v>
      </c>
      <c r="T687" s="547"/>
      <c r="U687" s="547"/>
    </row>
    <row r="688" spans="3:21" s="448" customFormat="1" ht="9.75" customHeight="1">
      <c r="C688" s="30"/>
      <c r="D688" s="13" t="s">
        <v>35</v>
      </c>
      <c r="E688" s="13"/>
      <c r="F688" s="109"/>
      <c r="G688" s="504"/>
      <c r="H688" s="504"/>
      <c r="I688" s="504"/>
      <c r="J688" s="504"/>
      <c r="K688" s="504"/>
      <c r="L688" s="504"/>
      <c r="M688" s="504"/>
      <c r="N688" s="504"/>
      <c r="O688" s="110"/>
      <c r="P688" s="109"/>
      <c r="Q688" s="504"/>
      <c r="R688" s="107"/>
      <c r="T688" s="547"/>
      <c r="U688" s="547"/>
    </row>
    <row r="689" spans="1:21" s="448" customFormat="1" ht="9.75" customHeight="1">
      <c r="A689" s="503"/>
      <c r="B689" s="503"/>
      <c r="C689" s="30"/>
      <c r="D689" s="13" t="s">
        <v>36</v>
      </c>
      <c r="E689" s="13"/>
      <c r="F689" s="109"/>
      <c r="G689" s="504"/>
      <c r="H689" s="504"/>
      <c r="I689" s="504"/>
      <c r="J689" s="504"/>
      <c r="K689" s="504"/>
      <c r="L689" s="504"/>
      <c r="M689" s="504"/>
      <c r="N689" s="504"/>
      <c r="O689" s="110"/>
      <c r="P689" s="109"/>
      <c r="Q689" s="504"/>
      <c r="R689" s="107"/>
      <c r="S689" s="503"/>
      <c r="T689" s="547"/>
      <c r="U689" s="547"/>
    </row>
    <row r="690" spans="1:21" s="448" customFormat="1" ht="9.75" customHeight="1">
      <c r="A690" s="503"/>
      <c r="B690" s="503"/>
      <c r="C690" s="30"/>
      <c r="D690" s="13" t="s">
        <v>37</v>
      </c>
      <c r="E690" s="13"/>
      <c r="F690" s="109"/>
      <c r="G690" s="504"/>
      <c r="H690" s="504"/>
      <c r="I690" s="504"/>
      <c r="J690" s="504"/>
      <c r="K690" s="504"/>
      <c r="L690" s="504"/>
      <c r="M690" s="504"/>
      <c r="N690" s="504"/>
      <c r="O690" s="110"/>
      <c r="P690" s="109"/>
      <c r="Q690" s="504"/>
      <c r="R690" s="107"/>
      <c r="S690" s="503"/>
      <c r="T690" s="547"/>
      <c r="U690" s="547"/>
    </row>
    <row r="691" spans="1:21" s="448" customFormat="1" ht="9.75" customHeight="1">
      <c r="A691" s="503"/>
      <c r="B691" s="503"/>
      <c r="C691" s="31"/>
      <c r="D691" s="3" t="s">
        <v>38</v>
      </c>
      <c r="E691" s="3">
        <f t="shared" ref="E691:O691" si="104">SUM(E675:E690)</f>
        <v>214</v>
      </c>
      <c r="F691" s="6">
        <f t="shared" si="104"/>
        <v>73</v>
      </c>
      <c r="G691" s="70">
        <f t="shared" si="104"/>
        <v>65</v>
      </c>
      <c r="H691" s="70">
        <f t="shared" si="104"/>
        <v>54</v>
      </c>
      <c r="I691" s="70">
        <f t="shared" si="104"/>
        <v>63</v>
      </c>
      <c r="J691" s="70">
        <f t="shared" si="104"/>
        <v>58</v>
      </c>
      <c r="K691" s="70">
        <f t="shared" si="104"/>
        <v>68</v>
      </c>
      <c r="L691" s="70">
        <f t="shared" si="104"/>
        <v>62</v>
      </c>
      <c r="M691" s="70">
        <f t="shared" si="104"/>
        <v>73</v>
      </c>
      <c r="N691" s="70">
        <f t="shared" si="104"/>
        <v>97</v>
      </c>
      <c r="O691" s="27">
        <f t="shared" si="104"/>
        <v>120</v>
      </c>
      <c r="P691" s="6">
        <f t="shared" ref="P691" si="105">MIN(F691:O691)</f>
        <v>54</v>
      </c>
      <c r="Q691" s="70">
        <f t="shared" ref="Q691" si="106">E691-P691</f>
        <v>160</v>
      </c>
      <c r="R691" s="7">
        <f t="shared" ref="R691" si="107">Q691/E691</f>
        <v>0.74766355140186913</v>
      </c>
      <c r="S691" s="503"/>
      <c r="T691" s="547"/>
      <c r="U691" s="547"/>
    </row>
    <row r="692" spans="1:21" ht="9.75" customHeight="1">
      <c r="A692" s="503"/>
      <c r="B692" s="503"/>
      <c r="C692" s="29" t="s">
        <v>196</v>
      </c>
      <c r="D692" s="43" t="s">
        <v>23</v>
      </c>
      <c r="E692" s="43">
        <v>35</v>
      </c>
      <c r="F692" s="119">
        <v>24</v>
      </c>
      <c r="G692" s="118">
        <f>E692-17</f>
        <v>18</v>
      </c>
      <c r="H692" s="118">
        <f>E692-23</f>
        <v>12</v>
      </c>
      <c r="I692" s="118">
        <v>12</v>
      </c>
      <c r="J692" s="118">
        <v>14</v>
      </c>
      <c r="K692" s="118">
        <v>11</v>
      </c>
      <c r="L692" s="118">
        <v>11</v>
      </c>
      <c r="M692" s="118">
        <v>9</v>
      </c>
      <c r="N692" s="118">
        <v>12</v>
      </c>
      <c r="O692" s="135">
        <v>15</v>
      </c>
      <c r="P692" s="104">
        <f t="shared" si="93"/>
        <v>9</v>
      </c>
      <c r="Q692" s="105">
        <f t="shared" si="94"/>
        <v>26</v>
      </c>
      <c r="R692" s="141">
        <f t="shared" si="95"/>
        <v>0.74285714285714288</v>
      </c>
      <c r="S692" s="503"/>
    </row>
    <row r="693" spans="1:21" ht="9.75" customHeight="1">
      <c r="A693" s="503"/>
      <c r="B693" s="503"/>
      <c r="C693" s="30"/>
      <c r="D693" s="13" t="s">
        <v>25</v>
      </c>
      <c r="E693" s="13">
        <v>69</v>
      </c>
      <c r="F693" s="121">
        <v>3</v>
      </c>
      <c r="G693" s="11">
        <v>2</v>
      </c>
      <c r="H693" s="11">
        <v>1</v>
      </c>
      <c r="I693" s="11">
        <v>2</v>
      </c>
      <c r="J693" s="11">
        <v>0</v>
      </c>
      <c r="K693" s="11">
        <v>0</v>
      </c>
      <c r="L693" s="11">
        <v>1</v>
      </c>
      <c r="M693" s="11">
        <v>2</v>
      </c>
      <c r="N693" s="11">
        <v>5</v>
      </c>
      <c r="O693" s="136">
        <v>7</v>
      </c>
      <c r="P693" s="103">
        <f t="shared" si="93"/>
        <v>0</v>
      </c>
      <c r="Q693" s="91">
        <f t="shared" si="94"/>
        <v>69</v>
      </c>
      <c r="R693" s="107">
        <f t="shared" si="95"/>
        <v>1</v>
      </c>
      <c r="S693" s="503"/>
    </row>
    <row r="694" spans="1:21" ht="9.75" customHeight="1">
      <c r="A694" s="503"/>
      <c r="B694" s="503"/>
      <c r="C694" s="30"/>
      <c r="D694" s="13" t="s">
        <v>27</v>
      </c>
      <c r="E694" s="13"/>
      <c r="F694" s="121"/>
      <c r="G694" s="11"/>
      <c r="H694" s="11"/>
      <c r="I694" s="11"/>
      <c r="J694" s="11"/>
      <c r="K694" s="199"/>
      <c r="L694" s="199"/>
      <c r="M694" s="199"/>
      <c r="N694" s="199"/>
      <c r="O694" s="200"/>
      <c r="P694" s="109"/>
      <c r="Q694" s="504"/>
      <c r="R694" s="107"/>
      <c r="S694" s="503"/>
    </row>
    <row r="695" spans="1:21" ht="9.75" customHeight="1">
      <c r="A695" s="503"/>
      <c r="B695" s="503"/>
      <c r="C695" s="30"/>
      <c r="D695" s="13" t="s">
        <v>115</v>
      </c>
      <c r="E695" s="13">
        <v>6</v>
      </c>
      <c r="F695" s="121">
        <v>5</v>
      </c>
      <c r="G695" s="11">
        <v>5</v>
      </c>
      <c r="H695" s="11">
        <v>5</v>
      </c>
      <c r="I695" s="11">
        <v>4</v>
      </c>
      <c r="J695" s="11">
        <v>4</v>
      </c>
      <c r="K695" s="11">
        <v>5</v>
      </c>
      <c r="L695" s="11">
        <v>4</v>
      </c>
      <c r="M695" s="11">
        <v>5</v>
      </c>
      <c r="N695" s="11">
        <v>4</v>
      </c>
      <c r="O695" s="136">
        <v>5</v>
      </c>
      <c r="P695" s="103">
        <f>MIN(F695:O695)</f>
        <v>4</v>
      </c>
      <c r="Q695" s="91">
        <f>E695-P695</f>
        <v>2</v>
      </c>
      <c r="R695" s="107">
        <f>Q695/E695</f>
        <v>0.33333333333333331</v>
      </c>
      <c r="S695" s="503"/>
    </row>
    <row r="696" spans="1:21" ht="9.75" customHeight="1">
      <c r="A696" s="503"/>
      <c r="B696" s="503"/>
      <c r="C696" s="30"/>
      <c r="D696" s="13" t="s">
        <v>115</v>
      </c>
      <c r="E696" s="13"/>
      <c r="F696" s="149"/>
      <c r="G696" s="32"/>
      <c r="H696" s="32"/>
      <c r="I696" s="32"/>
      <c r="J696" s="32"/>
      <c r="K696" s="32"/>
      <c r="L696" s="32"/>
      <c r="M696" s="32"/>
      <c r="N696" s="32"/>
      <c r="O696" s="142"/>
      <c r="P696" s="109"/>
      <c r="Q696" s="504"/>
      <c r="R696" s="107"/>
      <c r="S696" s="503"/>
    </row>
    <row r="697" spans="1:21" ht="9.75" customHeight="1">
      <c r="A697" s="503"/>
      <c r="B697" s="503"/>
      <c r="C697" s="30"/>
      <c r="D697" s="13" t="s">
        <v>32</v>
      </c>
      <c r="E697" s="13"/>
      <c r="F697" s="149"/>
      <c r="G697" s="32"/>
      <c r="H697" s="32"/>
      <c r="I697" s="32"/>
      <c r="J697" s="32"/>
      <c r="K697" s="32"/>
      <c r="L697" s="32"/>
      <c r="M697" s="32"/>
      <c r="N697" s="32"/>
      <c r="O697" s="142"/>
      <c r="P697" s="109"/>
      <c r="Q697" s="504"/>
      <c r="R697" s="107"/>
      <c r="S697" s="503"/>
    </row>
    <row r="698" spans="1:21" ht="9.75" customHeight="1">
      <c r="A698" s="503"/>
      <c r="B698" s="503"/>
      <c r="C698" s="30"/>
      <c r="D698" s="13" t="s">
        <v>120</v>
      </c>
      <c r="E698" s="13"/>
      <c r="F698" s="149"/>
      <c r="G698" s="32"/>
      <c r="H698" s="32"/>
      <c r="I698" s="32"/>
      <c r="J698" s="32"/>
      <c r="K698" s="32"/>
      <c r="L698" s="32"/>
      <c r="M698" s="32"/>
      <c r="N698" s="32"/>
      <c r="O698" s="142"/>
      <c r="P698" s="109"/>
      <c r="Q698" s="504"/>
      <c r="R698" s="107"/>
      <c r="S698" s="503"/>
    </row>
    <row r="699" spans="1:21" ht="9.75" customHeight="1">
      <c r="A699" s="503"/>
      <c r="B699" s="503"/>
      <c r="C699" s="30"/>
      <c r="D699" s="13" t="s">
        <v>120</v>
      </c>
      <c r="E699" s="13"/>
      <c r="F699" s="149"/>
      <c r="G699" s="32"/>
      <c r="H699" s="32"/>
      <c r="I699" s="32"/>
      <c r="J699" s="32"/>
      <c r="K699" s="32"/>
      <c r="L699" s="32"/>
      <c r="M699" s="32"/>
      <c r="N699" s="32"/>
      <c r="O699" s="142"/>
      <c r="P699" s="109"/>
      <c r="Q699" s="504"/>
      <c r="R699" s="107"/>
      <c r="S699" s="503"/>
    </row>
    <row r="700" spans="1:21" ht="9.75" customHeight="1">
      <c r="A700" s="503"/>
      <c r="B700" s="503"/>
      <c r="C700" s="30"/>
      <c r="D700" s="13" t="s">
        <v>120</v>
      </c>
      <c r="E700" s="13"/>
      <c r="F700" s="149"/>
      <c r="G700" s="32"/>
      <c r="H700" s="32"/>
      <c r="I700" s="32"/>
      <c r="J700" s="32"/>
      <c r="K700" s="32"/>
      <c r="L700" s="32"/>
      <c r="M700" s="32"/>
      <c r="N700" s="32"/>
      <c r="O700" s="142"/>
      <c r="P700" s="109"/>
      <c r="Q700" s="504"/>
      <c r="R700" s="107"/>
      <c r="S700" s="503"/>
    </row>
    <row r="701" spans="1:21" ht="9.75" customHeight="1">
      <c r="A701" s="503"/>
      <c r="B701" s="503"/>
      <c r="C701" s="30"/>
      <c r="D701" s="13" t="s">
        <v>120</v>
      </c>
      <c r="E701" s="13"/>
      <c r="F701" s="149"/>
      <c r="G701" s="32"/>
      <c r="H701" s="32"/>
      <c r="I701" s="32"/>
      <c r="J701" s="32"/>
      <c r="K701" s="32"/>
      <c r="L701" s="32"/>
      <c r="M701" s="32"/>
      <c r="N701" s="32"/>
      <c r="O701" s="142"/>
      <c r="P701" s="109"/>
      <c r="Q701" s="504"/>
      <c r="R701" s="107"/>
      <c r="S701" s="503"/>
    </row>
    <row r="702" spans="1:21" ht="9.75" customHeight="1">
      <c r="A702" s="503"/>
      <c r="B702" s="503"/>
      <c r="C702" s="30"/>
      <c r="D702" s="13" t="s">
        <v>120</v>
      </c>
      <c r="E702" s="13"/>
      <c r="F702" s="149"/>
      <c r="G702" s="32"/>
      <c r="H702" s="32"/>
      <c r="I702" s="32"/>
      <c r="J702" s="32"/>
      <c r="K702" s="32"/>
      <c r="L702" s="32"/>
      <c r="M702" s="32"/>
      <c r="N702" s="32"/>
      <c r="O702" s="142"/>
      <c r="P702" s="109"/>
      <c r="Q702" s="504"/>
      <c r="R702" s="107"/>
      <c r="S702" s="503"/>
    </row>
    <row r="703" spans="1:21" ht="9.75" customHeight="1">
      <c r="A703" s="503"/>
      <c r="B703" s="503"/>
      <c r="C703" s="30"/>
      <c r="D703" s="13" t="s">
        <v>120</v>
      </c>
      <c r="E703" s="13"/>
      <c r="F703" s="103"/>
      <c r="G703" s="91"/>
      <c r="H703" s="91"/>
      <c r="I703" s="91"/>
      <c r="J703" s="91"/>
      <c r="K703" s="32"/>
      <c r="L703" s="32"/>
      <c r="M703" s="32"/>
      <c r="N703" s="32"/>
      <c r="O703" s="142"/>
      <c r="P703" s="109"/>
      <c r="Q703" s="504"/>
      <c r="R703" s="107"/>
      <c r="S703" s="503"/>
    </row>
    <row r="704" spans="1:21" ht="9.75" customHeight="1">
      <c r="A704" s="503"/>
      <c r="B704" s="503"/>
      <c r="C704" s="30"/>
      <c r="D704" s="13" t="s">
        <v>34</v>
      </c>
      <c r="E704" s="13">
        <v>5</v>
      </c>
      <c r="F704" s="103">
        <v>4</v>
      </c>
      <c r="G704" s="91">
        <v>4</v>
      </c>
      <c r="H704" s="91">
        <v>4</v>
      </c>
      <c r="I704" s="91">
        <v>4</v>
      </c>
      <c r="J704" s="91">
        <v>4</v>
      </c>
      <c r="K704" s="11">
        <v>4</v>
      </c>
      <c r="L704" s="11">
        <v>5</v>
      </c>
      <c r="M704" s="11">
        <v>5</v>
      </c>
      <c r="N704" s="11">
        <v>5</v>
      </c>
      <c r="O704" s="136">
        <v>5</v>
      </c>
      <c r="P704" s="103">
        <f>MIN(F704:O704)</f>
        <v>4</v>
      </c>
      <c r="Q704" s="91">
        <f>E704-P704</f>
        <v>1</v>
      </c>
      <c r="R704" s="107">
        <f>Q704/E704</f>
        <v>0.2</v>
      </c>
      <c r="S704" s="503"/>
    </row>
    <row r="705" spans="1:19" ht="9.75" customHeight="1">
      <c r="A705" s="503"/>
      <c r="B705" s="503"/>
      <c r="C705" s="30"/>
      <c r="D705" s="13" t="s">
        <v>35</v>
      </c>
      <c r="E705" s="13"/>
      <c r="F705" s="109"/>
      <c r="G705" s="504"/>
      <c r="H705" s="504"/>
      <c r="I705" s="504"/>
      <c r="J705" s="504"/>
      <c r="K705" s="504"/>
      <c r="L705" s="504"/>
      <c r="M705" s="504"/>
      <c r="N705" s="504"/>
      <c r="O705" s="110"/>
      <c r="P705" s="109"/>
      <c r="Q705" s="504"/>
      <c r="R705" s="107"/>
      <c r="S705" s="503"/>
    </row>
    <row r="706" spans="1:19" ht="9.75" customHeight="1">
      <c r="A706" s="503"/>
      <c r="B706" s="503"/>
      <c r="C706" s="30"/>
      <c r="D706" s="13" t="s">
        <v>36</v>
      </c>
      <c r="E706" s="13"/>
      <c r="F706" s="109"/>
      <c r="G706" s="504"/>
      <c r="H706" s="504"/>
      <c r="I706" s="504"/>
      <c r="J706" s="504"/>
      <c r="K706" s="504"/>
      <c r="L706" s="504"/>
      <c r="M706" s="504"/>
      <c r="N706" s="504"/>
      <c r="O706" s="110"/>
      <c r="P706" s="109"/>
      <c r="Q706" s="504"/>
      <c r="R706" s="107"/>
      <c r="S706" s="503"/>
    </row>
    <row r="707" spans="1:19" ht="9.75" customHeight="1">
      <c r="A707" s="503"/>
      <c r="B707" s="503"/>
      <c r="C707" s="30"/>
      <c r="D707" s="13" t="s">
        <v>37</v>
      </c>
      <c r="E707" s="13"/>
      <c r="F707" s="109"/>
      <c r="G707" s="504"/>
      <c r="H707" s="504"/>
      <c r="I707" s="504"/>
      <c r="J707" s="504"/>
      <c r="K707" s="504"/>
      <c r="L707" s="504"/>
      <c r="M707" s="504"/>
      <c r="N707" s="504"/>
      <c r="O707" s="110"/>
      <c r="P707" s="109"/>
      <c r="Q707" s="504"/>
      <c r="R707" s="107"/>
      <c r="S707" s="503"/>
    </row>
    <row r="708" spans="1:19" ht="9.75" customHeight="1">
      <c r="A708" s="503"/>
      <c r="B708" s="503" t="s">
        <v>127</v>
      </c>
      <c r="C708" s="31"/>
      <c r="D708" s="3" t="s">
        <v>38</v>
      </c>
      <c r="E708" s="3">
        <f t="shared" ref="E708:O708" si="108">SUM(E692:E707)</f>
        <v>115</v>
      </c>
      <c r="F708" s="6">
        <f t="shared" si="108"/>
        <v>36</v>
      </c>
      <c r="G708" s="70">
        <f t="shared" si="108"/>
        <v>29</v>
      </c>
      <c r="H708" s="70">
        <f t="shared" si="108"/>
        <v>22</v>
      </c>
      <c r="I708" s="70">
        <f t="shared" si="108"/>
        <v>22</v>
      </c>
      <c r="J708" s="70">
        <f t="shared" si="108"/>
        <v>22</v>
      </c>
      <c r="K708" s="70">
        <f t="shared" si="108"/>
        <v>20</v>
      </c>
      <c r="L708" s="70">
        <f t="shared" si="108"/>
        <v>21</v>
      </c>
      <c r="M708" s="70">
        <f t="shared" si="108"/>
        <v>21</v>
      </c>
      <c r="N708" s="70">
        <f t="shared" si="108"/>
        <v>26</v>
      </c>
      <c r="O708" s="27">
        <f t="shared" si="108"/>
        <v>32</v>
      </c>
      <c r="P708" s="6">
        <f t="shared" ref="P708:P709" si="109">MIN(F708:O708)</f>
        <v>20</v>
      </c>
      <c r="Q708" s="70">
        <f t="shared" ref="Q708:Q709" si="110">E708-P708</f>
        <v>95</v>
      </c>
      <c r="R708" s="7">
        <f t="shared" ref="R708:R709" si="111">Q708/E708</f>
        <v>0.82608695652173914</v>
      </c>
      <c r="S708" s="503"/>
    </row>
    <row r="709" spans="1:19" ht="9.75" customHeight="1">
      <c r="A709" s="503"/>
      <c r="B709" s="503"/>
      <c r="C709" s="29" t="s">
        <v>197</v>
      </c>
      <c r="D709" s="43" t="s">
        <v>23</v>
      </c>
      <c r="E709" s="43">
        <v>84</v>
      </c>
      <c r="F709" s="116">
        <f>E709-37</f>
        <v>47</v>
      </c>
      <c r="G709" s="128">
        <f>E709-42</f>
        <v>42</v>
      </c>
      <c r="H709" s="128">
        <f>E709-47</f>
        <v>37</v>
      </c>
      <c r="I709" s="128">
        <f>E709-50</f>
        <v>34</v>
      </c>
      <c r="J709" s="128">
        <v>35</v>
      </c>
      <c r="K709" s="118">
        <v>35</v>
      </c>
      <c r="L709" s="118">
        <v>38</v>
      </c>
      <c r="M709" s="118">
        <v>40</v>
      </c>
      <c r="N709" s="118">
        <f>E709-35</f>
        <v>49</v>
      </c>
      <c r="O709" s="135">
        <f>E709-35</f>
        <v>49</v>
      </c>
      <c r="P709" s="116">
        <f t="shared" si="109"/>
        <v>34</v>
      </c>
      <c r="Q709" s="128">
        <f t="shared" si="110"/>
        <v>50</v>
      </c>
      <c r="R709" s="141">
        <f t="shared" si="111"/>
        <v>0.59523809523809523</v>
      </c>
      <c r="S709" s="503"/>
    </row>
    <row r="710" spans="1:19" ht="9.75" customHeight="1">
      <c r="A710" s="503"/>
      <c r="B710" s="503"/>
      <c r="C710" s="30"/>
      <c r="D710" s="13" t="s">
        <v>25</v>
      </c>
      <c r="E710" s="13"/>
      <c r="F710" s="109"/>
      <c r="G710" s="504"/>
      <c r="H710" s="504"/>
      <c r="I710" s="504"/>
      <c r="J710" s="504"/>
      <c r="K710" s="32"/>
      <c r="L710" s="32"/>
      <c r="M710" s="32"/>
      <c r="N710" s="32"/>
      <c r="O710" s="142"/>
      <c r="P710" s="109"/>
      <c r="Q710" s="504"/>
      <c r="R710" s="107"/>
      <c r="S710" s="503"/>
    </row>
    <row r="711" spans="1:19" ht="9.75" customHeight="1">
      <c r="A711" s="503"/>
      <c r="B711" s="503"/>
      <c r="C711" s="30"/>
      <c r="D711" s="13" t="s">
        <v>27</v>
      </c>
      <c r="E711" s="13"/>
      <c r="F711" s="109"/>
      <c r="G711" s="504"/>
      <c r="H711" s="504"/>
      <c r="I711" s="504"/>
      <c r="J711" s="504"/>
      <c r="K711" s="32"/>
      <c r="L711" s="32"/>
      <c r="M711" s="32"/>
      <c r="N711" s="32"/>
      <c r="O711" s="142"/>
      <c r="P711" s="109"/>
      <c r="Q711" s="504"/>
      <c r="R711" s="107"/>
      <c r="S711" s="503"/>
    </row>
    <row r="712" spans="1:19" ht="9.75" customHeight="1">
      <c r="A712" s="503"/>
      <c r="B712" s="503"/>
      <c r="C712" s="30"/>
      <c r="D712" s="13" t="s">
        <v>198</v>
      </c>
      <c r="E712" s="13">
        <v>26</v>
      </c>
      <c r="F712" s="109">
        <f>E712-9</f>
        <v>17</v>
      </c>
      <c r="G712" s="504">
        <f>E712-19</f>
        <v>7</v>
      </c>
      <c r="H712" s="504">
        <f>E712-21</f>
        <v>5</v>
      </c>
      <c r="I712" s="504">
        <v>6</v>
      </c>
      <c r="J712" s="504">
        <v>12</v>
      </c>
      <c r="K712" s="11">
        <v>12</v>
      </c>
      <c r="L712" s="11">
        <v>9</v>
      </c>
      <c r="M712" s="11">
        <v>9</v>
      </c>
      <c r="N712" s="11">
        <v>9</v>
      </c>
      <c r="O712" s="136">
        <v>8</v>
      </c>
      <c r="P712" s="109">
        <f>MIN(F712:O712)</f>
        <v>5</v>
      </c>
      <c r="Q712" s="504">
        <f>E712-P712</f>
        <v>21</v>
      </c>
      <c r="R712" s="107">
        <f>Q712/E712</f>
        <v>0.80769230769230771</v>
      </c>
      <c r="S712" s="503"/>
    </row>
    <row r="713" spans="1:19" ht="9.75" customHeight="1">
      <c r="A713" s="503"/>
      <c r="B713" s="503"/>
      <c r="C713" s="30"/>
      <c r="D713" s="13" t="s">
        <v>115</v>
      </c>
      <c r="E713" s="13"/>
      <c r="F713" s="109"/>
      <c r="G713" s="504"/>
      <c r="H713" s="504"/>
      <c r="I713" s="504"/>
      <c r="J713" s="504"/>
      <c r="K713" s="32"/>
      <c r="L713" s="32"/>
      <c r="M713" s="32"/>
      <c r="N713" s="32"/>
      <c r="O713" s="142"/>
      <c r="P713" s="109"/>
      <c r="Q713" s="504"/>
      <c r="R713" s="107"/>
      <c r="S713" s="503"/>
    </row>
    <row r="714" spans="1:19" ht="9.75" customHeight="1">
      <c r="A714" s="503"/>
      <c r="B714" s="503"/>
      <c r="C714" s="30"/>
      <c r="D714" s="13" t="s">
        <v>32</v>
      </c>
      <c r="E714" s="13">
        <v>5</v>
      </c>
      <c r="F714" s="109">
        <v>5</v>
      </c>
      <c r="G714" s="504">
        <v>5</v>
      </c>
      <c r="H714" s="504">
        <v>4</v>
      </c>
      <c r="I714" s="504">
        <v>4</v>
      </c>
      <c r="J714" s="504">
        <v>3</v>
      </c>
      <c r="K714" s="11">
        <v>3</v>
      </c>
      <c r="L714" s="11">
        <v>3</v>
      </c>
      <c r="M714" s="11">
        <v>3</v>
      </c>
      <c r="N714" s="11">
        <v>4</v>
      </c>
      <c r="O714" s="136">
        <v>4</v>
      </c>
      <c r="P714" s="109">
        <f t="shared" ref="P714:P715" si="112">MIN(F714:O714)</f>
        <v>3</v>
      </c>
      <c r="Q714" s="504">
        <f t="shared" ref="Q714:Q715" si="113">E714-P714</f>
        <v>2</v>
      </c>
      <c r="R714" s="107">
        <f t="shared" ref="R714:R715" si="114">Q714/E714</f>
        <v>0.4</v>
      </c>
      <c r="S714" s="503"/>
    </row>
    <row r="715" spans="1:19" ht="9.75" customHeight="1">
      <c r="A715" s="503"/>
      <c r="B715" s="503"/>
      <c r="C715" s="30"/>
      <c r="D715" s="13" t="s">
        <v>199</v>
      </c>
      <c r="E715" s="13">
        <v>2</v>
      </c>
      <c r="F715" s="109">
        <v>2</v>
      </c>
      <c r="G715" s="504">
        <v>2</v>
      </c>
      <c r="H715" s="504">
        <v>2</v>
      </c>
      <c r="I715" s="504">
        <v>2</v>
      </c>
      <c r="J715" s="504">
        <v>2</v>
      </c>
      <c r="K715" s="11">
        <v>2</v>
      </c>
      <c r="L715" s="11">
        <v>2</v>
      </c>
      <c r="M715" s="11">
        <v>2</v>
      </c>
      <c r="N715" s="11">
        <v>2</v>
      </c>
      <c r="O715" s="136">
        <v>2</v>
      </c>
      <c r="P715" s="109">
        <f t="shared" si="112"/>
        <v>2</v>
      </c>
      <c r="Q715" s="504">
        <f t="shared" si="113"/>
        <v>0</v>
      </c>
      <c r="R715" s="107">
        <f t="shared" si="114"/>
        <v>0</v>
      </c>
      <c r="S715" s="503"/>
    </row>
    <row r="716" spans="1:19" ht="9.75" customHeight="1">
      <c r="A716" s="503"/>
      <c r="B716" s="503"/>
      <c r="C716" s="30"/>
      <c r="D716" s="13" t="s">
        <v>120</v>
      </c>
      <c r="E716" s="13"/>
      <c r="F716" s="109"/>
      <c r="G716" s="504"/>
      <c r="H716" s="504"/>
      <c r="I716" s="504"/>
      <c r="J716" s="504"/>
      <c r="K716" s="32"/>
      <c r="L716" s="32"/>
      <c r="M716" s="32"/>
      <c r="N716" s="32"/>
      <c r="O716" s="142"/>
      <c r="P716" s="109"/>
      <c r="Q716" s="504"/>
      <c r="R716" s="107"/>
      <c r="S716" s="503"/>
    </row>
    <row r="717" spans="1:19" ht="9.75" customHeight="1">
      <c r="A717" s="503"/>
      <c r="B717" s="503"/>
      <c r="C717" s="30"/>
      <c r="D717" s="13" t="s">
        <v>120</v>
      </c>
      <c r="E717" s="13"/>
      <c r="F717" s="109"/>
      <c r="G717" s="504"/>
      <c r="H717" s="504"/>
      <c r="I717" s="504"/>
      <c r="J717" s="504"/>
      <c r="K717" s="32"/>
      <c r="L717" s="32"/>
      <c r="M717" s="32"/>
      <c r="N717" s="32"/>
      <c r="O717" s="142"/>
      <c r="P717" s="109"/>
      <c r="Q717" s="504"/>
      <c r="R717" s="107"/>
      <c r="S717" s="503"/>
    </row>
    <row r="718" spans="1:19" ht="9.75" customHeight="1">
      <c r="A718" s="503"/>
      <c r="B718" s="503"/>
      <c r="C718" s="30"/>
      <c r="D718" s="13" t="s">
        <v>120</v>
      </c>
      <c r="E718" s="13"/>
      <c r="F718" s="109"/>
      <c r="G718" s="504"/>
      <c r="H718" s="504"/>
      <c r="I718" s="504"/>
      <c r="J718" s="504"/>
      <c r="K718" s="32"/>
      <c r="L718" s="32"/>
      <c r="M718" s="32"/>
      <c r="N718" s="32"/>
      <c r="O718" s="142"/>
      <c r="P718" s="109"/>
      <c r="Q718" s="504"/>
      <c r="R718" s="107"/>
      <c r="S718" s="503"/>
    </row>
    <row r="719" spans="1:19" ht="9.75" customHeight="1">
      <c r="A719" s="503"/>
      <c r="B719" s="503"/>
      <c r="C719" s="30"/>
      <c r="D719" s="13" t="s">
        <v>120</v>
      </c>
      <c r="E719" s="13"/>
      <c r="F719" s="109"/>
      <c r="G719" s="504"/>
      <c r="H719" s="504"/>
      <c r="I719" s="504"/>
      <c r="J719" s="504"/>
      <c r="K719" s="32"/>
      <c r="L719" s="32"/>
      <c r="M719" s="32"/>
      <c r="N719" s="32"/>
      <c r="O719" s="142"/>
      <c r="P719" s="109"/>
      <c r="Q719" s="504"/>
      <c r="R719" s="107"/>
      <c r="S719" s="503"/>
    </row>
    <row r="720" spans="1:19" ht="9.75" customHeight="1">
      <c r="A720" s="503"/>
      <c r="B720" s="503"/>
      <c r="C720" s="30"/>
      <c r="D720" s="13" t="s">
        <v>120</v>
      </c>
      <c r="E720" s="13"/>
      <c r="F720" s="109"/>
      <c r="G720" s="504"/>
      <c r="H720" s="504"/>
      <c r="I720" s="504"/>
      <c r="J720" s="504"/>
      <c r="K720" s="32"/>
      <c r="L720" s="32"/>
      <c r="M720" s="32"/>
      <c r="N720" s="32"/>
      <c r="O720" s="142"/>
      <c r="P720" s="109"/>
      <c r="Q720" s="504"/>
      <c r="R720" s="107"/>
      <c r="S720" s="503"/>
    </row>
    <row r="721" spans="1:19" ht="9.75" customHeight="1">
      <c r="A721" s="503"/>
      <c r="B721" s="503"/>
      <c r="C721" s="30"/>
      <c r="D721" s="13" t="s">
        <v>34</v>
      </c>
      <c r="E721" s="13">
        <v>6</v>
      </c>
      <c r="F721" s="109">
        <v>5</v>
      </c>
      <c r="G721" s="504">
        <v>5</v>
      </c>
      <c r="H721" s="504">
        <v>5</v>
      </c>
      <c r="I721" s="504">
        <v>5</v>
      </c>
      <c r="J721" s="504">
        <v>6</v>
      </c>
      <c r="K721" s="11">
        <v>5</v>
      </c>
      <c r="L721" s="11">
        <v>5</v>
      </c>
      <c r="M721" s="11">
        <v>5</v>
      </c>
      <c r="N721" s="11">
        <v>6</v>
      </c>
      <c r="O721" s="136">
        <v>6</v>
      </c>
      <c r="P721" s="109">
        <f>MIN(F721:O721)</f>
        <v>5</v>
      </c>
      <c r="Q721" s="504">
        <f>E721-P721</f>
        <v>1</v>
      </c>
      <c r="R721" s="107">
        <f>Q721/E721</f>
        <v>0.16666666666666666</v>
      </c>
      <c r="S721" s="503"/>
    </row>
    <row r="722" spans="1:19" ht="9.75" customHeight="1">
      <c r="A722" s="503"/>
      <c r="B722" s="503"/>
      <c r="C722" s="30"/>
      <c r="D722" s="13" t="s">
        <v>35</v>
      </c>
      <c r="E722" s="13"/>
      <c r="F722" s="109"/>
      <c r="G722" s="504"/>
      <c r="H722" s="504"/>
      <c r="I722" s="504"/>
      <c r="J722" s="504"/>
      <c r="K722" s="32"/>
      <c r="L722" s="32"/>
      <c r="M722" s="32"/>
      <c r="N722" s="32"/>
      <c r="O722" s="142"/>
      <c r="P722" s="109"/>
      <c r="Q722" s="504"/>
      <c r="R722" s="107"/>
      <c r="S722" s="503"/>
    </row>
    <row r="723" spans="1:19" ht="9.75" customHeight="1">
      <c r="A723" s="503"/>
      <c r="B723" s="503"/>
      <c r="C723" s="30"/>
      <c r="D723" s="13" t="s">
        <v>36</v>
      </c>
      <c r="E723" s="13">
        <v>2</v>
      </c>
      <c r="F723" s="109">
        <v>1</v>
      </c>
      <c r="G723" s="504">
        <v>1</v>
      </c>
      <c r="H723" s="504">
        <v>1</v>
      </c>
      <c r="I723" s="504">
        <v>2</v>
      </c>
      <c r="J723" s="504">
        <v>1</v>
      </c>
      <c r="K723" s="11">
        <v>1</v>
      </c>
      <c r="L723" s="11">
        <v>1</v>
      </c>
      <c r="M723" s="11">
        <v>1</v>
      </c>
      <c r="N723" s="11">
        <v>1</v>
      </c>
      <c r="O723" s="136">
        <v>1</v>
      </c>
      <c r="P723" s="109">
        <f t="shared" ref="P723:P726" si="115">MIN(F723:O723)</f>
        <v>1</v>
      </c>
      <c r="Q723" s="504">
        <f t="shared" ref="Q723:Q726" si="116">E723-P723</f>
        <v>1</v>
      </c>
      <c r="R723" s="107">
        <f t="shared" ref="R723:R726" si="117">Q723/E723</f>
        <v>0.5</v>
      </c>
      <c r="S723" s="503"/>
    </row>
    <row r="724" spans="1:19" ht="9.75" customHeight="1">
      <c r="A724" s="503"/>
      <c r="B724" s="503"/>
      <c r="C724" s="30"/>
      <c r="D724" s="13" t="s">
        <v>37</v>
      </c>
      <c r="E724" s="13">
        <v>2</v>
      </c>
      <c r="F724" s="109">
        <v>2</v>
      </c>
      <c r="G724" s="504">
        <v>2</v>
      </c>
      <c r="H724" s="504">
        <v>1</v>
      </c>
      <c r="I724" s="504">
        <v>1</v>
      </c>
      <c r="J724" s="504">
        <v>1</v>
      </c>
      <c r="K724" s="143">
        <v>2</v>
      </c>
      <c r="L724" s="143">
        <v>2</v>
      </c>
      <c r="M724" s="143">
        <v>2</v>
      </c>
      <c r="N724" s="143">
        <v>2</v>
      </c>
      <c r="O724" s="144">
        <v>2</v>
      </c>
      <c r="P724" s="109">
        <f t="shared" si="115"/>
        <v>1</v>
      </c>
      <c r="Q724" s="504">
        <f t="shared" si="116"/>
        <v>1</v>
      </c>
      <c r="R724" s="107">
        <f t="shared" si="117"/>
        <v>0.5</v>
      </c>
      <c r="S724" s="503"/>
    </row>
    <row r="725" spans="1:19" ht="9.75" customHeight="1">
      <c r="A725" s="503"/>
      <c r="B725" s="503" t="s">
        <v>127</v>
      </c>
      <c r="C725" s="31"/>
      <c r="D725" s="3" t="s">
        <v>38</v>
      </c>
      <c r="E725" s="3">
        <f t="shared" ref="E725:O725" si="118">SUM(E709:E724)</f>
        <v>127</v>
      </c>
      <c r="F725" s="21">
        <f t="shared" si="118"/>
        <v>79</v>
      </c>
      <c r="G725" s="71">
        <f t="shared" si="118"/>
        <v>64</v>
      </c>
      <c r="H725" s="71">
        <f t="shared" si="118"/>
        <v>55</v>
      </c>
      <c r="I725" s="71">
        <f t="shared" si="118"/>
        <v>54</v>
      </c>
      <c r="J725" s="71">
        <f t="shared" si="118"/>
        <v>60</v>
      </c>
      <c r="K725" s="70">
        <f t="shared" si="118"/>
        <v>60</v>
      </c>
      <c r="L725" s="70">
        <f t="shared" si="118"/>
        <v>60</v>
      </c>
      <c r="M725" s="70">
        <f t="shared" si="118"/>
        <v>62</v>
      </c>
      <c r="N725" s="70">
        <f t="shared" si="118"/>
        <v>73</v>
      </c>
      <c r="O725" s="27">
        <f t="shared" si="118"/>
        <v>72</v>
      </c>
      <c r="P725" s="21">
        <f t="shared" si="115"/>
        <v>54</v>
      </c>
      <c r="Q725" s="71">
        <f t="shared" si="116"/>
        <v>73</v>
      </c>
      <c r="R725" s="7">
        <f t="shared" si="117"/>
        <v>0.57480314960629919</v>
      </c>
      <c r="S725" s="503"/>
    </row>
    <row r="726" spans="1:19" ht="9.75" customHeight="1">
      <c r="A726" s="503"/>
      <c r="B726" s="503"/>
      <c r="C726" s="29" t="s">
        <v>200</v>
      </c>
      <c r="D726" s="43" t="s">
        <v>23</v>
      </c>
      <c r="E726" s="43">
        <v>73</v>
      </c>
      <c r="F726" s="116">
        <v>62</v>
      </c>
      <c r="G726" s="128">
        <v>61</v>
      </c>
      <c r="H726" s="128">
        <f>E726-17</f>
        <v>56</v>
      </c>
      <c r="I726" s="128">
        <f>E726-16</f>
        <v>57</v>
      </c>
      <c r="J726" s="128">
        <v>63</v>
      </c>
      <c r="K726" s="118">
        <f>E726-11</f>
        <v>62</v>
      </c>
      <c r="L726" s="118">
        <v>62</v>
      </c>
      <c r="M726" s="118">
        <f>E726-15</f>
        <v>58</v>
      </c>
      <c r="N726" s="118">
        <v>62</v>
      </c>
      <c r="O726" s="135">
        <v>63</v>
      </c>
      <c r="P726" s="109">
        <f t="shared" si="115"/>
        <v>56</v>
      </c>
      <c r="Q726" s="504">
        <f t="shared" si="116"/>
        <v>17</v>
      </c>
      <c r="R726" s="107">
        <f t="shared" si="117"/>
        <v>0.23287671232876711</v>
      </c>
      <c r="S726" s="503"/>
    </row>
    <row r="727" spans="1:19" ht="9.75" customHeight="1">
      <c r="A727" s="503"/>
      <c r="B727" s="503"/>
      <c r="C727" s="30"/>
      <c r="D727" s="13" t="s">
        <v>25</v>
      </c>
      <c r="E727" s="13"/>
      <c r="F727" s="109"/>
      <c r="G727" s="504"/>
      <c r="H727" s="504"/>
      <c r="I727" s="504"/>
      <c r="J727" s="504"/>
      <c r="K727" s="32"/>
      <c r="L727" s="32"/>
      <c r="M727" s="32"/>
      <c r="N727" s="32"/>
      <c r="O727" s="142"/>
      <c r="P727" s="109"/>
      <c r="Q727" s="504"/>
      <c r="R727" s="107"/>
      <c r="S727" s="503"/>
    </row>
    <row r="728" spans="1:19" ht="9.75" customHeight="1">
      <c r="A728" s="503"/>
      <c r="B728" s="503"/>
      <c r="C728" s="30"/>
      <c r="D728" s="13" t="s">
        <v>27</v>
      </c>
      <c r="E728" s="13"/>
      <c r="F728" s="109"/>
      <c r="G728" s="504"/>
      <c r="H728" s="504"/>
      <c r="I728" s="504"/>
      <c r="J728" s="504"/>
      <c r="K728" s="32"/>
      <c r="L728" s="32"/>
      <c r="M728" s="32"/>
      <c r="N728" s="32"/>
      <c r="O728" s="142"/>
      <c r="P728" s="109"/>
      <c r="Q728" s="504"/>
      <c r="R728" s="107"/>
      <c r="S728" s="503"/>
    </row>
    <row r="729" spans="1:19" ht="9.75" customHeight="1">
      <c r="A729" s="503"/>
      <c r="B729" s="503"/>
      <c r="C729" s="30"/>
      <c r="D729" s="13" t="s">
        <v>115</v>
      </c>
      <c r="E729" s="13"/>
      <c r="F729" s="109"/>
      <c r="G729" s="504"/>
      <c r="H729" s="504"/>
      <c r="I729" s="504"/>
      <c r="J729" s="504"/>
      <c r="K729" s="32"/>
      <c r="L729" s="32"/>
      <c r="M729" s="32"/>
      <c r="N729" s="32"/>
      <c r="O729" s="142"/>
      <c r="P729" s="109"/>
      <c r="Q729" s="504"/>
      <c r="R729" s="107"/>
      <c r="S729" s="503"/>
    </row>
    <row r="730" spans="1:19" ht="9.75" customHeight="1">
      <c r="A730" s="503"/>
      <c r="B730" s="503"/>
      <c r="C730" s="30"/>
      <c r="D730" s="13" t="s">
        <v>115</v>
      </c>
      <c r="E730" s="13"/>
      <c r="F730" s="109"/>
      <c r="G730" s="504"/>
      <c r="H730" s="504"/>
      <c r="I730" s="504"/>
      <c r="J730" s="504"/>
      <c r="K730" s="32"/>
      <c r="L730" s="32"/>
      <c r="M730" s="32"/>
      <c r="N730" s="32"/>
      <c r="O730" s="142"/>
      <c r="P730" s="109"/>
      <c r="Q730" s="504"/>
      <c r="R730" s="107"/>
      <c r="S730" s="503"/>
    </row>
    <row r="731" spans="1:19" ht="9.75" customHeight="1">
      <c r="A731" s="503"/>
      <c r="B731" s="503"/>
      <c r="C731" s="30"/>
      <c r="D731" s="13" t="s">
        <v>32</v>
      </c>
      <c r="E731" s="13"/>
      <c r="F731" s="109"/>
      <c r="G731" s="504"/>
      <c r="H731" s="504"/>
      <c r="I731" s="504"/>
      <c r="J731" s="504"/>
      <c r="K731" s="32"/>
      <c r="L731" s="32"/>
      <c r="M731" s="32"/>
      <c r="N731" s="32"/>
      <c r="O731" s="142"/>
      <c r="P731" s="109"/>
      <c r="Q731" s="504"/>
      <c r="R731" s="107"/>
      <c r="S731" s="503"/>
    </row>
    <row r="732" spans="1:19" ht="9.75" customHeight="1">
      <c r="A732" s="503"/>
      <c r="B732" s="503"/>
      <c r="C732" s="30"/>
      <c r="D732" s="13" t="s">
        <v>120</v>
      </c>
      <c r="E732" s="13"/>
      <c r="F732" s="109"/>
      <c r="G732" s="504"/>
      <c r="H732" s="504"/>
      <c r="I732" s="504"/>
      <c r="J732" s="504"/>
      <c r="K732" s="32"/>
      <c r="L732" s="32"/>
      <c r="M732" s="32"/>
      <c r="N732" s="32"/>
      <c r="O732" s="142"/>
      <c r="P732" s="109"/>
      <c r="Q732" s="504"/>
      <c r="R732" s="107"/>
      <c r="S732" s="503"/>
    </row>
    <row r="733" spans="1:19" ht="9.75" customHeight="1">
      <c r="A733" s="503"/>
      <c r="B733" s="503"/>
      <c r="C733" s="30"/>
      <c r="D733" s="13" t="s">
        <v>120</v>
      </c>
      <c r="E733" s="13"/>
      <c r="F733" s="109"/>
      <c r="G733" s="504"/>
      <c r="H733" s="504"/>
      <c r="I733" s="504"/>
      <c r="J733" s="504"/>
      <c r="K733" s="32"/>
      <c r="L733" s="32"/>
      <c r="M733" s="32"/>
      <c r="N733" s="32"/>
      <c r="O733" s="142"/>
      <c r="P733" s="109"/>
      <c r="Q733" s="504"/>
      <c r="R733" s="107"/>
      <c r="S733" s="503"/>
    </row>
    <row r="734" spans="1:19" ht="9.75" customHeight="1">
      <c r="A734" s="503"/>
      <c r="B734" s="503"/>
      <c r="C734" s="30"/>
      <c r="D734" s="13" t="s">
        <v>120</v>
      </c>
      <c r="E734" s="13"/>
      <c r="F734" s="109"/>
      <c r="G734" s="504"/>
      <c r="H734" s="504"/>
      <c r="I734" s="504"/>
      <c r="J734" s="504"/>
      <c r="K734" s="32"/>
      <c r="L734" s="32"/>
      <c r="M734" s="32"/>
      <c r="N734" s="32"/>
      <c r="O734" s="142"/>
      <c r="P734" s="109"/>
      <c r="Q734" s="504"/>
      <c r="R734" s="107"/>
      <c r="S734" s="503"/>
    </row>
    <row r="735" spans="1:19" ht="9.75" customHeight="1">
      <c r="A735" s="503"/>
      <c r="B735" s="503"/>
      <c r="C735" s="30"/>
      <c r="D735" s="13" t="s">
        <v>120</v>
      </c>
      <c r="E735" s="13"/>
      <c r="F735" s="109"/>
      <c r="G735" s="504"/>
      <c r="H735" s="504"/>
      <c r="I735" s="504"/>
      <c r="J735" s="504"/>
      <c r="K735" s="32"/>
      <c r="L735" s="32"/>
      <c r="M735" s="32"/>
      <c r="N735" s="32"/>
      <c r="O735" s="142"/>
      <c r="P735" s="109"/>
      <c r="Q735" s="504"/>
      <c r="R735" s="107"/>
      <c r="S735" s="503"/>
    </row>
    <row r="736" spans="1:19" ht="9.75" customHeight="1">
      <c r="A736" s="503"/>
      <c r="B736" s="503"/>
      <c r="C736" s="30"/>
      <c r="D736" s="13" t="s">
        <v>120</v>
      </c>
      <c r="E736" s="13"/>
      <c r="F736" s="109"/>
      <c r="G736" s="504"/>
      <c r="H736" s="504"/>
      <c r="I736" s="504"/>
      <c r="J736" s="504"/>
      <c r="K736" s="32"/>
      <c r="L736" s="32"/>
      <c r="M736" s="32"/>
      <c r="N736" s="32"/>
      <c r="O736" s="142"/>
      <c r="P736" s="109"/>
      <c r="Q736" s="504"/>
      <c r="R736" s="107"/>
      <c r="S736" s="503"/>
    </row>
    <row r="737" spans="1:19" ht="9.75" customHeight="1">
      <c r="A737" s="503"/>
      <c r="B737" s="503"/>
      <c r="C737" s="30"/>
      <c r="D737" s="13" t="s">
        <v>120</v>
      </c>
      <c r="E737" s="13"/>
      <c r="F737" s="109"/>
      <c r="G737" s="504"/>
      <c r="H737" s="504"/>
      <c r="I737" s="504"/>
      <c r="J737" s="504"/>
      <c r="K737" s="32"/>
      <c r="L737" s="32"/>
      <c r="M737" s="32"/>
      <c r="N737" s="32"/>
      <c r="O737" s="142"/>
      <c r="P737" s="109"/>
      <c r="Q737" s="504"/>
      <c r="R737" s="107"/>
      <c r="S737" s="503"/>
    </row>
    <row r="738" spans="1:19" ht="9.75" customHeight="1">
      <c r="A738" s="503"/>
      <c r="B738" s="503"/>
      <c r="C738" s="30"/>
      <c r="D738" s="13" t="s">
        <v>34</v>
      </c>
      <c r="E738" s="13">
        <v>2</v>
      </c>
      <c r="F738" s="109">
        <v>2</v>
      </c>
      <c r="G738" s="504">
        <v>2</v>
      </c>
      <c r="H738" s="504">
        <v>2</v>
      </c>
      <c r="I738" s="504">
        <v>2</v>
      </c>
      <c r="J738" s="504">
        <v>2</v>
      </c>
      <c r="K738" s="11">
        <v>0</v>
      </c>
      <c r="L738" s="11">
        <v>1</v>
      </c>
      <c r="M738" s="11">
        <v>2</v>
      </c>
      <c r="N738" s="11">
        <v>2</v>
      </c>
      <c r="O738" s="136">
        <v>2</v>
      </c>
      <c r="P738" s="109">
        <f>MIN(F738:O738)</f>
        <v>0</v>
      </c>
      <c r="Q738" s="504">
        <f>E738-P738</f>
        <v>2</v>
      </c>
      <c r="R738" s="107">
        <f>Q738/E738</f>
        <v>1</v>
      </c>
      <c r="S738" s="503"/>
    </row>
    <row r="739" spans="1:19" ht="9.75" customHeight="1">
      <c r="A739" s="503"/>
      <c r="B739" s="503"/>
      <c r="C739" s="30"/>
      <c r="D739" s="13" t="s">
        <v>35</v>
      </c>
      <c r="E739" s="13"/>
      <c r="F739" s="109"/>
      <c r="G739" s="504"/>
      <c r="H739" s="504"/>
      <c r="I739" s="504"/>
      <c r="J739" s="504"/>
      <c r="K739" s="32"/>
      <c r="L739" s="32"/>
      <c r="M739" s="32"/>
      <c r="N739" s="32"/>
      <c r="O739" s="142"/>
      <c r="P739" s="109"/>
      <c r="Q739" s="504"/>
      <c r="R739" s="107"/>
      <c r="S739" s="503"/>
    </row>
    <row r="740" spans="1:19" ht="9.75" customHeight="1">
      <c r="A740" s="503"/>
      <c r="B740" s="503"/>
      <c r="C740" s="30"/>
      <c r="D740" s="13" t="s">
        <v>36</v>
      </c>
      <c r="E740" s="13">
        <v>2</v>
      </c>
      <c r="F740" s="109">
        <v>1</v>
      </c>
      <c r="G740" s="504">
        <v>1</v>
      </c>
      <c r="H740" s="504">
        <v>1</v>
      </c>
      <c r="I740" s="504">
        <v>1</v>
      </c>
      <c r="J740" s="504">
        <v>1</v>
      </c>
      <c r="K740" s="11">
        <v>1</v>
      </c>
      <c r="L740" s="11">
        <v>1</v>
      </c>
      <c r="M740" s="11">
        <v>1</v>
      </c>
      <c r="N740" s="11">
        <v>2</v>
      </c>
      <c r="O740" s="136">
        <v>2</v>
      </c>
      <c r="P740" s="109">
        <f t="shared" ref="P740:P742" si="119">MIN(F740:O740)</f>
        <v>1</v>
      </c>
      <c r="Q740" s="504">
        <f t="shared" ref="Q740:Q742" si="120">E740-P740</f>
        <v>1</v>
      </c>
      <c r="R740" s="107">
        <f t="shared" ref="R740:R742" si="121">Q740/E740</f>
        <v>0.5</v>
      </c>
      <c r="S740" s="503"/>
    </row>
    <row r="741" spans="1:19" ht="9.75" customHeight="1">
      <c r="A741" s="503"/>
      <c r="B741" s="503"/>
      <c r="C741" s="30"/>
      <c r="D741" s="13" t="s">
        <v>37</v>
      </c>
      <c r="E741" s="13">
        <v>2</v>
      </c>
      <c r="F741" s="109">
        <v>2</v>
      </c>
      <c r="G741" s="504">
        <v>2</v>
      </c>
      <c r="H741" s="504">
        <v>2</v>
      </c>
      <c r="I741" s="504">
        <v>1</v>
      </c>
      <c r="J741" s="504">
        <v>2</v>
      </c>
      <c r="K741" s="143">
        <v>1</v>
      </c>
      <c r="L741" s="143">
        <v>2</v>
      </c>
      <c r="M741" s="143">
        <v>2</v>
      </c>
      <c r="N741" s="143">
        <v>2</v>
      </c>
      <c r="O741" s="144">
        <v>2</v>
      </c>
      <c r="P741" s="109">
        <f t="shared" si="119"/>
        <v>1</v>
      </c>
      <c r="Q741" s="504">
        <f t="shared" si="120"/>
        <v>1</v>
      </c>
      <c r="R741" s="107">
        <f t="shared" si="121"/>
        <v>0.5</v>
      </c>
      <c r="S741" s="503"/>
    </row>
    <row r="742" spans="1:19" ht="9.75" customHeight="1">
      <c r="A742" s="503"/>
      <c r="B742" s="503" t="s">
        <v>127</v>
      </c>
      <c r="C742" s="31"/>
      <c r="D742" s="3" t="s">
        <v>38</v>
      </c>
      <c r="E742" s="3">
        <f t="shared" ref="E742:O742" si="122">SUM(E726:E741)</f>
        <v>79</v>
      </c>
      <c r="F742" s="21">
        <f t="shared" si="122"/>
        <v>67</v>
      </c>
      <c r="G742" s="71">
        <f t="shared" si="122"/>
        <v>66</v>
      </c>
      <c r="H742" s="71">
        <f t="shared" si="122"/>
        <v>61</v>
      </c>
      <c r="I742" s="71">
        <f t="shared" si="122"/>
        <v>61</v>
      </c>
      <c r="J742" s="71">
        <f t="shared" si="122"/>
        <v>68</v>
      </c>
      <c r="K742" s="70">
        <f t="shared" si="122"/>
        <v>64</v>
      </c>
      <c r="L742" s="70">
        <f t="shared" si="122"/>
        <v>66</v>
      </c>
      <c r="M742" s="70">
        <f t="shared" si="122"/>
        <v>63</v>
      </c>
      <c r="N742" s="70">
        <f t="shared" si="122"/>
        <v>68</v>
      </c>
      <c r="O742" s="27">
        <f t="shared" si="122"/>
        <v>69</v>
      </c>
      <c r="P742" s="21">
        <f t="shared" si="119"/>
        <v>61</v>
      </c>
      <c r="Q742" s="71">
        <f t="shared" si="120"/>
        <v>18</v>
      </c>
      <c r="R742" s="7">
        <f t="shared" si="121"/>
        <v>0.22784810126582278</v>
      </c>
      <c r="S742" s="503"/>
    </row>
    <row r="743" spans="1:19" ht="9.75" customHeight="1">
      <c r="A743" s="503"/>
      <c r="B743" s="503"/>
      <c r="C743" s="29" t="s">
        <v>201</v>
      </c>
      <c r="D743" s="29" t="s">
        <v>23</v>
      </c>
      <c r="E743" s="43"/>
      <c r="F743" s="116"/>
      <c r="G743" s="128"/>
      <c r="H743" s="128"/>
      <c r="I743" s="128"/>
      <c r="J743" s="128"/>
      <c r="K743" s="128"/>
      <c r="L743" s="128"/>
      <c r="M743" s="128"/>
      <c r="N743" s="128"/>
      <c r="O743" s="129"/>
      <c r="P743" s="116"/>
      <c r="Q743" s="128"/>
      <c r="R743" s="141"/>
      <c r="S743" s="503"/>
    </row>
    <row r="744" spans="1:19" ht="9.75" customHeight="1">
      <c r="A744" s="503"/>
      <c r="B744" s="503"/>
      <c r="C744" s="30"/>
      <c r="D744" s="13" t="s">
        <v>25</v>
      </c>
      <c r="E744" s="13"/>
      <c r="F744" s="109"/>
      <c r="G744" s="504"/>
      <c r="H744" s="504"/>
      <c r="I744" s="504"/>
      <c r="J744" s="504"/>
      <c r="K744" s="504"/>
      <c r="L744" s="504"/>
      <c r="M744" s="504"/>
      <c r="N744" s="504"/>
      <c r="O744" s="110"/>
      <c r="P744" s="109"/>
      <c r="Q744" s="504"/>
      <c r="R744" s="107"/>
      <c r="S744" s="503"/>
    </row>
    <row r="745" spans="1:19" ht="9.75" customHeight="1">
      <c r="A745" s="503"/>
      <c r="B745" s="503"/>
      <c r="C745" s="30"/>
      <c r="D745" s="13" t="s">
        <v>27</v>
      </c>
      <c r="E745" s="13"/>
      <c r="F745" s="109"/>
      <c r="G745" s="504"/>
      <c r="H745" s="504"/>
      <c r="I745" s="504"/>
      <c r="J745" s="504"/>
      <c r="K745" s="504"/>
      <c r="L745" s="504"/>
      <c r="M745" s="504"/>
      <c r="N745" s="504"/>
      <c r="O745" s="110"/>
      <c r="P745" s="109"/>
      <c r="Q745" s="504"/>
      <c r="R745" s="107"/>
      <c r="S745" s="503"/>
    </row>
    <row r="746" spans="1:19" ht="9.75" customHeight="1">
      <c r="A746" s="503"/>
      <c r="B746" s="503"/>
      <c r="C746" s="30"/>
      <c r="D746" s="13" t="s">
        <v>115</v>
      </c>
      <c r="E746" s="13"/>
      <c r="F746" s="109"/>
      <c r="G746" s="504"/>
      <c r="H746" s="504"/>
      <c r="I746" s="504"/>
      <c r="J746" s="504"/>
      <c r="K746" s="11"/>
      <c r="L746" s="11"/>
      <c r="M746" s="11"/>
      <c r="N746" s="11"/>
      <c r="O746" s="136"/>
      <c r="P746" s="109"/>
      <c r="Q746" s="504"/>
      <c r="R746" s="107"/>
      <c r="S746" s="503"/>
    </row>
    <row r="747" spans="1:19" ht="9.75" customHeight="1">
      <c r="A747" s="503"/>
      <c r="B747" s="503"/>
      <c r="C747" s="30"/>
      <c r="D747" s="13" t="s">
        <v>115</v>
      </c>
      <c r="E747" s="13"/>
      <c r="F747" s="109"/>
      <c r="G747" s="504"/>
      <c r="H747" s="504"/>
      <c r="I747" s="504"/>
      <c r="J747" s="504"/>
      <c r="K747" s="32"/>
      <c r="L747" s="32"/>
      <c r="M747" s="32"/>
      <c r="N747" s="32"/>
      <c r="O747" s="142"/>
      <c r="P747" s="109"/>
      <c r="Q747" s="504"/>
      <c r="R747" s="107"/>
      <c r="S747" s="503"/>
    </row>
    <row r="748" spans="1:19" ht="9.75" customHeight="1">
      <c r="A748" s="503"/>
      <c r="B748" s="503"/>
      <c r="C748" s="30"/>
      <c r="D748" s="13" t="s">
        <v>32</v>
      </c>
      <c r="E748" s="13">
        <v>4</v>
      </c>
      <c r="F748" s="109">
        <v>0</v>
      </c>
      <c r="G748" s="504">
        <v>1</v>
      </c>
      <c r="H748" s="504">
        <v>1</v>
      </c>
      <c r="I748" s="504">
        <v>0</v>
      </c>
      <c r="J748" s="504">
        <v>0</v>
      </c>
      <c r="K748" s="504">
        <v>1</v>
      </c>
      <c r="L748" s="504">
        <v>0</v>
      </c>
      <c r="M748" s="504">
        <v>0</v>
      </c>
      <c r="N748" s="504">
        <v>0</v>
      </c>
      <c r="O748" s="504">
        <v>1</v>
      </c>
      <c r="P748" s="109">
        <f>MIN(F748:O748)</f>
        <v>0</v>
      </c>
      <c r="Q748" s="504">
        <f>E748-P748</f>
        <v>4</v>
      </c>
      <c r="R748" s="107">
        <f>Q748/E748</f>
        <v>1</v>
      </c>
      <c r="S748" s="503"/>
    </row>
    <row r="749" spans="1:19" ht="9.75" customHeight="1">
      <c r="A749" s="503"/>
      <c r="B749" s="503"/>
      <c r="C749" s="30"/>
      <c r="D749" s="13" t="s">
        <v>120</v>
      </c>
      <c r="E749" s="13"/>
      <c r="F749" s="109"/>
      <c r="G749" s="504"/>
      <c r="H749" s="504"/>
      <c r="I749" s="504"/>
      <c r="J749" s="504"/>
      <c r="K749" s="504"/>
      <c r="L749" s="504"/>
      <c r="M749" s="504"/>
      <c r="N749" s="504"/>
      <c r="O749" s="504"/>
      <c r="P749" s="109"/>
      <c r="Q749" s="504"/>
      <c r="R749" s="107"/>
      <c r="S749" s="503"/>
    </row>
    <row r="750" spans="1:19" ht="9.75" customHeight="1">
      <c r="A750" s="503"/>
      <c r="B750" s="503"/>
      <c r="C750" s="30"/>
      <c r="D750" s="13" t="s">
        <v>120</v>
      </c>
      <c r="E750" s="13"/>
      <c r="F750" s="109"/>
      <c r="G750" s="504"/>
      <c r="H750" s="504"/>
      <c r="I750" s="504"/>
      <c r="J750" s="504"/>
      <c r="K750" s="504"/>
      <c r="L750" s="504"/>
      <c r="M750" s="504"/>
      <c r="N750" s="504"/>
      <c r="O750" s="504"/>
      <c r="P750" s="109"/>
      <c r="Q750" s="504"/>
      <c r="R750" s="107"/>
      <c r="S750" s="503"/>
    </row>
    <row r="751" spans="1:19" ht="9.75" customHeight="1">
      <c r="A751" s="503"/>
      <c r="B751" s="503"/>
      <c r="C751" s="30"/>
      <c r="D751" s="13" t="s">
        <v>120</v>
      </c>
      <c r="E751" s="13"/>
      <c r="F751" s="109"/>
      <c r="G751" s="504"/>
      <c r="H751" s="504"/>
      <c r="I751" s="504"/>
      <c r="J751" s="504"/>
      <c r="K751" s="504"/>
      <c r="L751" s="504"/>
      <c r="M751" s="504"/>
      <c r="N751" s="504"/>
      <c r="O751" s="504"/>
      <c r="P751" s="109"/>
      <c r="Q751" s="504"/>
      <c r="R751" s="107"/>
      <c r="S751" s="503"/>
    </row>
    <row r="752" spans="1:19" ht="9.75" customHeight="1">
      <c r="A752" s="503"/>
      <c r="B752" s="503"/>
      <c r="C752" s="30"/>
      <c r="D752" s="13" t="s">
        <v>120</v>
      </c>
      <c r="E752" s="13"/>
      <c r="F752" s="109"/>
      <c r="G752" s="504"/>
      <c r="H752" s="504"/>
      <c r="I752" s="504"/>
      <c r="J752" s="504"/>
      <c r="K752" s="504"/>
      <c r="L752" s="504"/>
      <c r="M752" s="504"/>
      <c r="N752" s="504"/>
      <c r="O752" s="504"/>
      <c r="P752" s="109"/>
      <c r="Q752" s="504"/>
      <c r="R752" s="107"/>
      <c r="S752" s="503"/>
    </row>
    <row r="753" spans="1:19" ht="9.75" customHeight="1">
      <c r="A753" s="503"/>
      <c r="B753" s="503"/>
      <c r="C753" s="30"/>
      <c r="D753" s="13" t="s">
        <v>120</v>
      </c>
      <c r="E753" s="13"/>
      <c r="F753" s="109"/>
      <c r="G753" s="504"/>
      <c r="H753" s="504"/>
      <c r="I753" s="504"/>
      <c r="J753" s="504"/>
      <c r="K753" s="504"/>
      <c r="L753" s="504"/>
      <c r="M753" s="504"/>
      <c r="N753" s="504"/>
      <c r="O753" s="504"/>
      <c r="P753" s="109"/>
      <c r="Q753" s="504"/>
      <c r="R753" s="107"/>
      <c r="S753" s="503"/>
    </row>
    <row r="754" spans="1:19" ht="9.75" customHeight="1">
      <c r="A754" s="503"/>
      <c r="B754" s="503"/>
      <c r="C754" s="30"/>
      <c r="D754" s="13" t="s">
        <v>120</v>
      </c>
      <c r="E754" s="13"/>
      <c r="F754" s="109"/>
      <c r="G754" s="504"/>
      <c r="H754" s="504"/>
      <c r="I754" s="504"/>
      <c r="J754" s="504"/>
      <c r="K754" s="504"/>
      <c r="L754" s="504"/>
      <c r="M754" s="504"/>
      <c r="N754" s="504"/>
      <c r="O754" s="504"/>
      <c r="P754" s="109"/>
      <c r="Q754" s="504"/>
      <c r="R754" s="107"/>
      <c r="S754" s="503"/>
    </row>
    <row r="755" spans="1:19" ht="9.75" customHeight="1">
      <c r="A755" s="503"/>
      <c r="B755" s="503"/>
      <c r="C755" s="30"/>
      <c r="D755" s="13" t="s">
        <v>34</v>
      </c>
      <c r="E755" s="13">
        <v>3</v>
      </c>
      <c r="F755" s="109">
        <v>2</v>
      </c>
      <c r="G755" s="504">
        <v>2</v>
      </c>
      <c r="H755" s="504">
        <v>2</v>
      </c>
      <c r="I755" s="504">
        <v>2</v>
      </c>
      <c r="J755" s="504">
        <v>2</v>
      </c>
      <c r="K755" s="504">
        <v>2</v>
      </c>
      <c r="L755" s="504">
        <v>2</v>
      </c>
      <c r="M755" s="504">
        <v>2</v>
      </c>
      <c r="N755" s="504">
        <v>2</v>
      </c>
      <c r="O755" s="504">
        <v>2</v>
      </c>
      <c r="P755" s="109">
        <f t="shared" ref="P755:P756" si="123">MIN(F755:O755)</f>
        <v>2</v>
      </c>
      <c r="Q755" s="504">
        <f t="shared" ref="Q755:Q756" si="124">E755-P755</f>
        <v>1</v>
      </c>
      <c r="R755" s="107">
        <f t="shared" ref="R755:R756" si="125">Q755/E755</f>
        <v>0.33333333333333331</v>
      </c>
      <c r="S755" s="503"/>
    </row>
    <row r="756" spans="1:19" ht="9.75" customHeight="1">
      <c r="A756" s="503"/>
      <c r="B756" s="503"/>
      <c r="C756" s="13"/>
      <c r="D756" s="13" t="s">
        <v>35</v>
      </c>
      <c r="E756" s="13">
        <v>3</v>
      </c>
      <c r="F756" s="109">
        <v>3</v>
      </c>
      <c r="G756" s="504">
        <v>3</v>
      </c>
      <c r="H756" s="504">
        <v>2</v>
      </c>
      <c r="I756" s="504">
        <v>2</v>
      </c>
      <c r="J756" s="504">
        <v>3</v>
      </c>
      <c r="K756" s="504">
        <v>3</v>
      </c>
      <c r="L756" s="504">
        <v>3</v>
      </c>
      <c r="M756" s="504">
        <v>3</v>
      </c>
      <c r="N756" s="504">
        <v>3</v>
      </c>
      <c r="O756" s="504">
        <v>3</v>
      </c>
      <c r="P756" s="103">
        <f t="shared" si="123"/>
        <v>2</v>
      </c>
      <c r="Q756" s="91">
        <f t="shared" si="124"/>
        <v>1</v>
      </c>
      <c r="R756" s="107">
        <f t="shared" si="125"/>
        <v>0.33333333333333331</v>
      </c>
      <c r="S756" s="503"/>
    </row>
    <row r="757" spans="1:19" ht="9.75" customHeight="1">
      <c r="A757" s="503"/>
      <c r="B757" s="503"/>
      <c r="C757" s="13"/>
      <c r="D757" s="13" t="s">
        <v>36</v>
      </c>
      <c r="E757" s="13"/>
      <c r="F757" s="109"/>
      <c r="G757" s="504"/>
      <c r="H757" s="504"/>
      <c r="I757" s="504"/>
      <c r="J757" s="504"/>
      <c r="K757" s="11"/>
      <c r="L757" s="11"/>
      <c r="M757" s="11"/>
      <c r="N757" s="11"/>
      <c r="O757" s="136"/>
      <c r="P757" s="109"/>
      <c r="Q757" s="504"/>
      <c r="R757" s="107"/>
      <c r="S757" s="503"/>
    </row>
    <row r="758" spans="1:19" ht="9.75" customHeight="1">
      <c r="A758" s="503"/>
      <c r="B758" s="503"/>
      <c r="C758" s="13"/>
      <c r="D758" s="13" t="s">
        <v>37</v>
      </c>
      <c r="E758" s="13">
        <v>4</v>
      </c>
      <c r="F758" s="109">
        <v>4</v>
      </c>
      <c r="G758" s="504">
        <v>4</v>
      </c>
      <c r="H758" s="504">
        <v>1</v>
      </c>
      <c r="I758" s="504">
        <v>2</v>
      </c>
      <c r="J758" s="504">
        <v>3</v>
      </c>
      <c r="K758" s="504">
        <v>3</v>
      </c>
      <c r="L758" s="504">
        <v>2</v>
      </c>
      <c r="M758" s="504">
        <v>4</v>
      </c>
      <c r="N758" s="504">
        <v>4</v>
      </c>
      <c r="O758" s="504">
        <v>3</v>
      </c>
      <c r="P758" s="109">
        <f t="shared" ref="P758:P759" si="126">MIN(F758:O758)</f>
        <v>1</v>
      </c>
      <c r="Q758" s="504">
        <f t="shared" ref="Q758:Q759" si="127">E758-P758</f>
        <v>3</v>
      </c>
      <c r="R758" s="107">
        <f t="shared" ref="R758:R759" si="128">Q758/E758</f>
        <v>0.75</v>
      </c>
      <c r="S758" s="503"/>
    </row>
    <row r="759" spans="1:19" ht="9.75" customHeight="1">
      <c r="A759" s="503"/>
      <c r="B759" s="503" t="s">
        <v>127</v>
      </c>
      <c r="C759" s="2"/>
      <c r="D759" s="3" t="s">
        <v>38</v>
      </c>
      <c r="E759" s="3">
        <f t="shared" ref="E759:O759" si="129">SUM(E743:E758)</f>
        <v>14</v>
      </c>
      <c r="F759" s="21">
        <f t="shared" si="129"/>
        <v>9</v>
      </c>
      <c r="G759" s="71">
        <f t="shared" si="129"/>
        <v>10</v>
      </c>
      <c r="H759" s="71">
        <f t="shared" si="129"/>
        <v>6</v>
      </c>
      <c r="I759" s="71">
        <f t="shared" si="129"/>
        <v>6</v>
      </c>
      <c r="J759" s="71">
        <f t="shared" si="129"/>
        <v>8</v>
      </c>
      <c r="K759" s="71">
        <f t="shared" si="129"/>
        <v>9</v>
      </c>
      <c r="L759" s="71">
        <f t="shared" si="129"/>
        <v>7</v>
      </c>
      <c r="M759" s="71">
        <f t="shared" si="129"/>
        <v>9</v>
      </c>
      <c r="N759" s="71">
        <f t="shared" si="129"/>
        <v>9</v>
      </c>
      <c r="O759" s="26">
        <f t="shared" si="129"/>
        <v>9</v>
      </c>
      <c r="P759" s="21">
        <f t="shared" si="126"/>
        <v>6</v>
      </c>
      <c r="Q759" s="71">
        <f t="shared" si="127"/>
        <v>8</v>
      </c>
      <c r="R759" s="7">
        <f t="shared" si="128"/>
        <v>0.5714285714285714</v>
      </c>
      <c r="S759" s="503"/>
    </row>
    <row r="760" spans="1:19" ht="9.75" customHeight="1">
      <c r="A760" s="503"/>
      <c r="B760" s="503"/>
      <c r="C760" s="43" t="s">
        <v>202</v>
      </c>
      <c r="D760" s="43" t="s">
        <v>23</v>
      </c>
      <c r="E760" s="43"/>
      <c r="F760" s="116"/>
      <c r="G760" s="128"/>
      <c r="H760" s="128"/>
      <c r="I760" s="128"/>
      <c r="J760" s="128"/>
      <c r="K760" s="128"/>
      <c r="L760" s="128"/>
      <c r="M760" s="128"/>
      <c r="N760" s="128"/>
      <c r="O760" s="129"/>
      <c r="P760" s="116"/>
      <c r="Q760" s="128"/>
      <c r="R760" s="141"/>
      <c r="S760" s="503"/>
    </row>
    <row r="761" spans="1:19" ht="9.75" customHeight="1">
      <c r="A761" s="503"/>
      <c r="B761" s="503"/>
      <c r="C761" s="13"/>
      <c r="D761" s="13" t="s">
        <v>25</v>
      </c>
      <c r="E761" s="13">
        <v>95</v>
      </c>
      <c r="F761" s="109">
        <f>E761-5</f>
        <v>90</v>
      </c>
      <c r="G761" s="504">
        <v>85</v>
      </c>
      <c r="H761" s="504">
        <f>E761-15</f>
        <v>80</v>
      </c>
      <c r="I761" s="504">
        <f>E761-20</f>
        <v>75</v>
      </c>
      <c r="J761" s="504">
        <f>E761-22</f>
        <v>73</v>
      </c>
      <c r="K761" s="11">
        <f>E761-30</f>
        <v>65</v>
      </c>
      <c r="L761" s="11">
        <v>10</v>
      </c>
      <c r="M761" s="11">
        <v>15</v>
      </c>
      <c r="N761" s="11">
        <v>14</v>
      </c>
      <c r="O761" s="136">
        <v>10</v>
      </c>
      <c r="P761" s="109">
        <f>MIN(F761:O761)</f>
        <v>10</v>
      </c>
      <c r="Q761" s="504">
        <f>E761-P761</f>
        <v>85</v>
      </c>
      <c r="R761" s="107">
        <f>Q761/E761</f>
        <v>0.89473684210526316</v>
      </c>
      <c r="S761" s="503"/>
    </row>
    <row r="762" spans="1:19" ht="9.75" customHeight="1">
      <c r="A762" s="503"/>
      <c r="B762" s="503"/>
      <c r="C762" s="13"/>
      <c r="D762" s="13" t="s">
        <v>27</v>
      </c>
      <c r="E762" s="13"/>
      <c r="F762" s="109"/>
      <c r="G762" s="504"/>
      <c r="H762" s="504"/>
      <c r="I762" s="504"/>
      <c r="J762" s="504"/>
      <c r="K762" s="32"/>
      <c r="L762" s="32"/>
      <c r="M762" s="32"/>
      <c r="N762" s="32"/>
      <c r="O762" s="142"/>
      <c r="P762" s="109"/>
      <c r="Q762" s="504"/>
      <c r="R762" s="107"/>
      <c r="S762" s="503"/>
    </row>
    <row r="763" spans="1:19" ht="9.75" customHeight="1">
      <c r="A763" s="503"/>
      <c r="B763" s="503"/>
      <c r="C763" s="13"/>
      <c r="D763" s="13" t="s">
        <v>115</v>
      </c>
      <c r="E763" s="13"/>
      <c r="F763" s="109"/>
      <c r="G763" s="504"/>
      <c r="H763" s="504"/>
      <c r="I763" s="504"/>
      <c r="J763" s="504"/>
      <c r="K763" s="32"/>
      <c r="L763" s="32"/>
      <c r="M763" s="32"/>
      <c r="N763" s="32"/>
      <c r="O763" s="142"/>
      <c r="P763" s="109"/>
      <c r="Q763" s="504"/>
      <c r="R763" s="107"/>
      <c r="S763" s="503"/>
    </row>
    <row r="764" spans="1:19" ht="9.75" customHeight="1">
      <c r="A764" s="503"/>
      <c r="B764" s="503"/>
      <c r="C764" s="13"/>
      <c r="D764" s="13" t="s">
        <v>115</v>
      </c>
      <c r="E764" s="13"/>
      <c r="F764" s="109"/>
      <c r="G764" s="504"/>
      <c r="H764" s="504"/>
      <c r="I764" s="504"/>
      <c r="J764" s="504"/>
      <c r="K764" s="32"/>
      <c r="L764" s="32"/>
      <c r="M764" s="32"/>
      <c r="N764" s="32"/>
      <c r="O764" s="142"/>
      <c r="P764" s="109"/>
      <c r="Q764" s="504"/>
      <c r="R764" s="107"/>
      <c r="S764" s="503"/>
    </row>
    <row r="765" spans="1:19" ht="9.75" customHeight="1">
      <c r="A765" s="503"/>
      <c r="B765" s="503"/>
      <c r="C765" s="13"/>
      <c r="D765" s="13" t="s">
        <v>32</v>
      </c>
      <c r="E765" s="13">
        <v>1</v>
      </c>
      <c r="F765" s="109">
        <v>1</v>
      </c>
      <c r="G765" s="504">
        <v>1</v>
      </c>
      <c r="H765" s="504">
        <v>1</v>
      </c>
      <c r="I765" s="504">
        <v>1</v>
      </c>
      <c r="J765" s="504">
        <v>1</v>
      </c>
      <c r="K765" s="11">
        <v>1</v>
      </c>
      <c r="L765" s="11">
        <v>1</v>
      </c>
      <c r="M765" s="11">
        <v>1</v>
      </c>
      <c r="N765" s="11">
        <v>1</v>
      </c>
      <c r="O765" s="136">
        <v>1</v>
      </c>
      <c r="P765" s="109">
        <f t="shared" ref="P765:P767" si="130">MIN(F765:O765)</f>
        <v>1</v>
      </c>
      <c r="Q765" s="504">
        <f t="shared" ref="Q765:Q767" si="131">E765-P765</f>
        <v>0</v>
      </c>
      <c r="R765" s="107">
        <f t="shared" ref="R765:R767" si="132">Q765/E765</f>
        <v>0</v>
      </c>
      <c r="S765" s="503"/>
    </row>
    <row r="766" spans="1:19" ht="9.75" customHeight="1">
      <c r="A766" s="503"/>
      <c r="B766" s="503"/>
      <c r="C766" s="13"/>
      <c r="D766" s="13" t="s">
        <v>177</v>
      </c>
      <c r="E766" s="13">
        <v>3</v>
      </c>
      <c r="F766" s="109">
        <v>3</v>
      </c>
      <c r="G766" s="504">
        <v>3</v>
      </c>
      <c r="H766" s="504">
        <v>1</v>
      </c>
      <c r="I766" s="504">
        <v>1</v>
      </c>
      <c r="J766" s="504">
        <v>1</v>
      </c>
      <c r="K766" s="11">
        <v>1</v>
      </c>
      <c r="L766" s="11">
        <v>1</v>
      </c>
      <c r="M766" s="11">
        <v>1</v>
      </c>
      <c r="N766" s="11">
        <v>1</v>
      </c>
      <c r="O766" s="136">
        <v>1</v>
      </c>
      <c r="P766" s="109">
        <f t="shared" si="130"/>
        <v>1</v>
      </c>
      <c r="Q766" s="504">
        <f t="shared" si="131"/>
        <v>2</v>
      </c>
      <c r="R766" s="107">
        <f t="shared" si="132"/>
        <v>0.66666666666666663</v>
      </c>
      <c r="S766" s="503"/>
    </row>
    <row r="767" spans="1:19" ht="9.75" customHeight="1">
      <c r="A767" s="503"/>
      <c r="B767" s="503"/>
      <c r="C767" s="13"/>
      <c r="D767" s="13" t="s">
        <v>203</v>
      </c>
      <c r="E767" s="13">
        <v>2</v>
      </c>
      <c r="F767" s="109">
        <v>0</v>
      </c>
      <c r="G767" s="504">
        <v>0</v>
      </c>
      <c r="H767" s="504">
        <v>0</v>
      </c>
      <c r="I767" s="504">
        <v>0</v>
      </c>
      <c r="J767" s="504">
        <v>0</v>
      </c>
      <c r="K767" s="11">
        <v>0</v>
      </c>
      <c r="L767" s="11">
        <v>0</v>
      </c>
      <c r="M767" s="11">
        <v>0</v>
      </c>
      <c r="N767" s="11">
        <v>0</v>
      </c>
      <c r="O767" s="136">
        <v>0</v>
      </c>
      <c r="P767" s="109">
        <f t="shared" si="130"/>
        <v>0</v>
      </c>
      <c r="Q767" s="504">
        <f t="shared" si="131"/>
        <v>2</v>
      </c>
      <c r="R767" s="107">
        <f t="shared" si="132"/>
        <v>1</v>
      </c>
      <c r="S767" s="503"/>
    </row>
    <row r="768" spans="1:19" ht="9.75" customHeight="1">
      <c r="A768" s="503"/>
      <c r="B768" s="503"/>
      <c r="C768" s="13"/>
      <c r="D768" s="13" t="s">
        <v>120</v>
      </c>
      <c r="E768" s="13"/>
      <c r="F768" s="109"/>
      <c r="G768" s="504"/>
      <c r="H768" s="504"/>
      <c r="I768" s="504"/>
      <c r="J768" s="504"/>
      <c r="K768" s="32"/>
      <c r="L768" s="32"/>
      <c r="M768" s="32"/>
      <c r="N768" s="32"/>
      <c r="O768" s="142"/>
      <c r="P768" s="109"/>
      <c r="Q768" s="504"/>
      <c r="R768" s="107"/>
      <c r="S768" s="503"/>
    </row>
    <row r="769" spans="1:19" ht="9.75" customHeight="1">
      <c r="A769" s="503"/>
      <c r="B769" s="503"/>
      <c r="C769" s="13"/>
      <c r="D769" s="13" t="s">
        <v>120</v>
      </c>
      <c r="E769" s="13"/>
      <c r="F769" s="109"/>
      <c r="G769" s="504"/>
      <c r="H769" s="504"/>
      <c r="I769" s="504"/>
      <c r="J769" s="504"/>
      <c r="K769" s="32"/>
      <c r="L769" s="32"/>
      <c r="M769" s="32"/>
      <c r="N769" s="32"/>
      <c r="O769" s="142"/>
      <c r="P769" s="109"/>
      <c r="Q769" s="504"/>
      <c r="R769" s="107"/>
      <c r="S769" s="503"/>
    </row>
    <row r="770" spans="1:19" ht="9.75" customHeight="1">
      <c r="A770" s="503"/>
      <c r="B770" s="503"/>
      <c r="C770" s="13"/>
      <c r="D770" s="13" t="s">
        <v>120</v>
      </c>
      <c r="E770" s="13"/>
      <c r="F770" s="109"/>
      <c r="G770" s="504"/>
      <c r="H770" s="504"/>
      <c r="I770" s="504"/>
      <c r="J770" s="504"/>
      <c r="K770" s="32"/>
      <c r="L770" s="32"/>
      <c r="M770" s="32"/>
      <c r="N770" s="32"/>
      <c r="O770" s="142"/>
      <c r="P770" s="109"/>
      <c r="Q770" s="504"/>
      <c r="R770" s="107"/>
      <c r="S770" s="503"/>
    </row>
    <row r="771" spans="1:19" ht="9.75" customHeight="1">
      <c r="A771" s="503"/>
      <c r="B771" s="503"/>
      <c r="C771" s="13"/>
      <c r="D771" s="13" t="s">
        <v>120</v>
      </c>
      <c r="E771" s="13"/>
      <c r="F771" s="109"/>
      <c r="G771" s="504"/>
      <c r="H771" s="504"/>
      <c r="I771" s="504"/>
      <c r="J771" s="504"/>
      <c r="K771" s="32"/>
      <c r="L771" s="32"/>
      <c r="M771" s="32"/>
      <c r="N771" s="32"/>
      <c r="O771" s="142"/>
      <c r="P771" s="109"/>
      <c r="Q771" s="504"/>
      <c r="R771" s="107"/>
      <c r="S771" s="503"/>
    </row>
    <row r="772" spans="1:19" ht="9.75" customHeight="1">
      <c r="A772" s="503"/>
      <c r="B772" s="503"/>
      <c r="C772" s="13"/>
      <c r="D772" s="13" t="s">
        <v>34</v>
      </c>
      <c r="E772" s="13">
        <v>3</v>
      </c>
      <c r="F772" s="109">
        <v>3</v>
      </c>
      <c r="G772" s="504">
        <v>3</v>
      </c>
      <c r="H772" s="504">
        <v>3</v>
      </c>
      <c r="I772" s="504">
        <v>3</v>
      </c>
      <c r="J772" s="504">
        <v>3</v>
      </c>
      <c r="K772" s="11">
        <v>3</v>
      </c>
      <c r="L772" s="11">
        <v>3</v>
      </c>
      <c r="M772" s="11">
        <v>3</v>
      </c>
      <c r="N772" s="11">
        <v>3</v>
      </c>
      <c r="O772" s="136">
        <v>3</v>
      </c>
      <c r="P772" s="109">
        <f>MIN(F772:O772)</f>
        <v>3</v>
      </c>
      <c r="Q772" s="504">
        <f>E772-P772</f>
        <v>0</v>
      </c>
      <c r="R772" s="107">
        <f>Q772/E772</f>
        <v>0</v>
      </c>
      <c r="S772" s="503"/>
    </row>
    <row r="773" spans="1:19" ht="9.75" customHeight="1">
      <c r="A773" s="503"/>
      <c r="B773" s="503"/>
      <c r="C773" s="13"/>
      <c r="D773" s="13" t="s">
        <v>35</v>
      </c>
      <c r="E773" s="13"/>
      <c r="F773" s="109"/>
      <c r="G773" s="504"/>
      <c r="H773" s="504"/>
      <c r="I773" s="504"/>
      <c r="J773" s="504"/>
      <c r="K773" s="32"/>
      <c r="L773" s="32"/>
      <c r="M773" s="32"/>
      <c r="N773" s="32"/>
      <c r="O773" s="142"/>
      <c r="P773" s="109"/>
      <c r="Q773" s="504"/>
      <c r="R773" s="107"/>
      <c r="S773" s="503"/>
    </row>
    <row r="774" spans="1:19" ht="9.75" customHeight="1">
      <c r="A774" s="503"/>
      <c r="B774" s="503"/>
      <c r="C774" s="13"/>
      <c r="D774" s="13" t="s">
        <v>36</v>
      </c>
      <c r="E774" s="13">
        <v>3</v>
      </c>
      <c r="F774" s="109">
        <v>0</v>
      </c>
      <c r="G774" s="504">
        <v>0</v>
      </c>
      <c r="H774" s="504">
        <v>0</v>
      </c>
      <c r="I774" s="504">
        <v>0</v>
      </c>
      <c r="J774" s="504">
        <v>0</v>
      </c>
      <c r="K774" s="11">
        <v>0</v>
      </c>
      <c r="L774" s="11">
        <v>0</v>
      </c>
      <c r="M774" s="11">
        <v>0</v>
      </c>
      <c r="N774" s="11">
        <v>0</v>
      </c>
      <c r="O774" s="136">
        <v>0</v>
      </c>
      <c r="P774" s="109">
        <f t="shared" ref="P774:P777" si="133">MIN(F774:O774)</f>
        <v>0</v>
      </c>
      <c r="Q774" s="504">
        <f t="shared" ref="Q774:Q777" si="134">E774-P774</f>
        <v>3</v>
      </c>
      <c r="R774" s="107">
        <f t="shared" ref="R774:R777" si="135">Q774/E774</f>
        <v>1</v>
      </c>
      <c r="S774" s="503"/>
    </row>
    <row r="775" spans="1:19" ht="9.75" customHeight="1">
      <c r="A775" s="503"/>
      <c r="B775" s="503"/>
      <c r="C775" s="13"/>
      <c r="D775" s="13" t="s">
        <v>37</v>
      </c>
      <c r="E775" s="13">
        <v>3</v>
      </c>
      <c r="F775" s="109">
        <v>3</v>
      </c>
      <c r="G775" s="504">
        <v>3</v>
      </c>
      <c r="H775" s="504">
        <v>2</v>
      </c>
      <c r="I775" s="504">
        <v>0</v>
      </c>
      <c r="J775" s="504">
        <v>0</v>
      </c>
      <c r="K775" s="143">
        <v>0</v>
      </c>
      <c r="L775" s="143">
        <v>1</v>
      </c>
      <c r="M775" s="143">
        <v>1</v>
      </c>
      <c r="N775" s="143">
        <v>2</v>
      </c>
      <c r="O775" s="144">
        <v>3</v>
      </c>
      <c r="P775" s="109">
        <f t="shared" si="133"/>
        <v>0</v>
      </c>
      <c r="Q775" s="504">
        <f t="shared" si="134"/>
        <v>3</v>
      </c>
      <c r="R775" s="107">
        <f t="shared" si="135"/>
        <v>1</v>
      </c>
      <c r="S775" s="503"/>
    </row>
    <row r="776" spans="1:19" ht="9.75" customHeight="1">
      <c r="A776" s="503"/>
      <c r="B776" s="503" t="s">
        <v>127</v>
      </c>
      <c r="C776" s="2"/>
      <c r="D776" s="3" t="s">
        <v>38</v>
      </c>
      <c r="E776" s="3">
        <f t="shared" ref="E776:O776" si="136">SUM(E760:E775)</f>
        <v>110</v>
      </c>
      <c r="F776" s="21">
        <f t="shared" ref="F776:K776" si="137">SUM(F760:F775)</f>
        <v>100</v>
      </c>
      <c r="G776" s="71">
        <f t="shared" si="137"/>
        <v>95</v>
      </c>
      <c r="H776" s="71">
        <f t="shared" si="137"/>
        <v>87</v>
      </c>
      <c r="I776" s="71">
        <f t="shared" si="137"/>
        <v>80</v>
      </c>
      <c r="J776" s="71">
        <f t="shared" si="137"/>
        <v>78</v>
      </c>
      <c r="K776" s="71">
        <f t="shared" si="137"/>
        <v>70</v>
      </c>
      <c r="L776" s="71">
        <f t="shared" si="136"/>
        <v>16</v>
      </c>
      <c r="M776" s="71">
        <f t="shared" si="136"/>
        <v>21</v>
      </c>
      <c r="N776" s="71">
        <f t="shared" si="136"/>
        <v>21</v>
      </c>
      <c r="O776" s="26">
        <f t="shared" si="136"/>
        <v>18</v>
      </c>
      <c r="P776" s="21">
        <f t="shared" si="133"/>
        <v>16</v>
      </c>
      <c r="Q776" s="71">
        <f t="shared" si="134"/>
        <v>94</v>
      </c>
      <c r="R776" s="7">
        <f t="shared" si="135"/>
        <v>0.8545454545454545</v>
      </c>
      <c r="S776" s="503"/>
    </row>
    <row r="777" spans="1:19" ht="9.75" customHeight="1">
      <c r="A777" s="503"/>
      <c r="B777" s="503"/>
      <c r="C777" s="43" t="s">
        <v>204</v>
      </c>
      <c r="D777" s="43" t="s">
        <v>23</v>
      </c>
      <c r="E777" s="13">
        <v>30</v>
      </c>
      <c r="F777" s="109">
        <f>E777-5</f>
        <v>25</v>
      </c>
      <c r="G777" s="504">
        <f>E777-9</f>
        <v>21</v>
      </c>
      <c r="H777" s="504">
        <f>E777-12</f>
        <v>18</v>
      </c>
      <c r="I777" s="504">
        <f>E777-11</f>
        <v>19</v>
      </c>
      <c r="J777" s="504">
        <f>E777-11</f>
        <v>19</v>
      </c>
      <c r="K777" s="504">
        <f>E777-6</f>
        <v>24</v>
      </c>
      <c r="L777" s="504">
        <f>E777-6</f>
        <v>24</v>
      </c>
      <c r="M777" s="504">
        <f>E777-7</f>
        <v>23</v>
      </c>
      <c r="N777" s="504">
        <f>E777-7</f>
        <v>23</v>
      </c>
      <c r="O777" s="110">
        <f>E777-6</f>
        <v>24</v>
      </c>
      <c r="P777" s="109">
        <f t="shared" si="133"/>
        <v>18</v>
      </c>
      <c r="Q777" s="504">
        <f t="shared" si="134"/>
        <v>12</v>
      </c>
      <c r="R777" s="107">
        <f t="shared" si="135"/>
        <v>0.4</v>
      </c>
      <c r="S777" s="503"/>
    </row>
    <row r="778" spans="1:19" ht="9.75" customHeight="1">
      <c r="A778" s="503"/>
      <c r="B778" s="503"/>
      <c r="C778" s="13"/>
      <c r="D778" s="13" t="s">
        <v>25</v>
      </c>
      <c r="E778" s="13"/>
      <c r="F778" s="109"/>
      <c r="G778" s="504"/>
      <c r="H778" s="504"/>
      <c r="I778" s="504"/>
      <c r="J778" s="504"/>
      <c r="K778" s="504"/>
      <c r="L778" s="504"/>
      <c r="M778" s="504"/>
      <c r="N778" s="504"/>
      <c r="O778" s="110"/>
      <c r="P778" s="109"/>
      <c r="Q778" s="504"/>
      <c r="R778" s="107"/>
      <c r="S778" s="503"/>
    </row>
    <row r="779" spans="1:19" ht="9.75" customHeight="1">
      <c r="A779" s="503"/>
      <c r="B779" s="503"/>
      <c r="C779" s="13"/>
      <c r="D779" s="13" t="s">
        <v>27</v>
      </c>
      <c r="E779" s="13"/>
      <c r="F779" s="109"/>
      <c r="G779" s="504"/>
      <c r="H779" s="504"/>
      <c r="I779" s="504"/>
      <c r="J779" s="504"/>
      <c r="K779" s="504"/>
      <c r="L779" s="504"/>
      <c r="M779" s="504"/>
      <c r="N779" s="504"/>
      <c r="O779" s="110"/>
      <c r="P779" s="109"/>
      <c r="Q779" s="504"/>
      <c r="R779" s="107"/>
      <c r="S779" s="503"/>
    </row>
    <row r="780" spans="1:19" ht="9.75" customHeight="1">
      <c r="A780" s="503"/>
      <c r="B780" s="503"/>
      <c r="C780" s="13"/>
      <c r="D780" s="13" t="s">
        <v>115</v>
      </c>
      <c r="E780" s="13"/>
      <c r="F780" s="109"/>
      <c r="G780" s="504"/>
      <c r="H780" s="504"/>
      <c r="I780" s="504"/>
      <c r="J780" s="504"/>
      <c r="K780" s="504"/>
      <c r="L780" s="504"/>
      <c r="M780" s="504"/>
      <c r="N780" s="504"/>
      <c r="O780" s="110"/>
      <c r="P780" s="109"/>
      <c r="Q780" s="504"/>
      <c r="R780" s="107"/>
      <c r="S780" s="503"/>
    </row>
    <row r="781" spans="1:19" ht="9.75" customHeight="1">
      <c r="A781" s="503"/>
      <c r="B781" s="503"/>
      <c r="C781" s="13"/>
      <c r="D781" s="13" t="s">
        <v>115</v>
      </c>
      <c r="E781" s="13"/>
      <c r="F781" s="109"/>
      <c r="G781" s="504"/>
      <c r="H781" s="504"/>
      <c r="I781" s="504"/>
      <c r="J781" s="504"/>
      <c r="K781" s="504"/>
      <c r="L781" s="504"/>
      <c r="M781" s="504"/>
      <c r="N781" s="504"/>
      <c r="O781" s="110"/>
      <c r="P781" s="109"/>
      <c r="Q781" s="504"/>
      <c r="R781" s="107"/>
      <c r="S781" s="503"/>
    </row>
    <row r="782" spans="1:19" ht="9.75" customHeight="1">
      <c r="A782" s="503"/>
      <c r="B782" s="503"/>
      <c r="C782" s="13"/>
      <c r="D782" s="13" t="s">
        <v>32</v>
      </c>
      <c r="E782" s="13">
        <v>3</v>
      </c>
      <c r="F782" s="109">
        <v>3</v>
      </c>
      <c r="G782" s="504">
        <v>3</v>
      </c>
      <c r="H782" s="504">
        <v>3</v>
      </c>
      <c r="I782" s="504">
        <v>3</v>
      </c>
      <c r="J782" s="504">
        <v>3</v>
      </c>
      <c r="K782" s="504">
        <v>3</v>
      </c>
      <c r="L782" s="504">
        <v>3</v>
      </c>
      <c r="M782" s="504">
        <v>3</v>
      </c>
      <c r="N782" s="504">
        <v>3</v>
      </c>
      <c r="O782" s="110">
        <v>3</v>
      </c>
      <c r="P782" s="109">
        <f>MIN(F782:O782)</f>
        <v>3</v>
      </c>
      <c r="Q782" s="504">
        <f>E782-P782</f>
        <v>0</v>
      </c>
      <c r="R782" s="107">
        <f>Q782/E782</f>
        <v>0</v>
      </c>
      <c r="S782" s="503"/>
    </row>
    <row r="783" spans="1:19" ht="9.75" customHeight="1">
      <c r="A783" s="503"/>
      <c r="B783" s="503"/>
      <c r="C783" s="13"/>
      <c r="D783" s="13" t="s">
        <v>120</v>
      </c>
      <c r="E783" s="13"/>
      <c r="F783" s="109"/>
      <c r="G783" s="504"/>
      <c r="H783" s="504"/>
      <c r="I783" s="504"/>
      <c r="J783" s="504"/>
      <c r="K783" s="504"/>
      <c r="L783" s="504"/>
      <c r="M783" s="504"/>
      <c r="N783" s="504"/>
      <c r="O783" s="110"/>
      <c r="P783" s="109"/>
      <c r="Q783" s="504"/>
      <c r="R783" s="107"/>
      <c r="S783" s="503"/>
    </row>
    <row r="784" spans="1:19" ht="9.75" customHeight="1">
      <c r="A784" s="503"/>
      <c r="B784" s="503"/>
      <c r="C784" s="13"/>
      <c r="D784" s="13" t="s">
        <v>120</v>
      </c>
      <c r="E784" s="13"/>
      <c r="F784" s="109"/>
      <c r="G784" s="504"/>
      <c r="H784" s="504"/>
      <c r="I784" s="504"/>
      <c r="J784" s="504"/>
      <c r="K784" s="504"/>
      <c r="L784" s="504"/>
      <c r="M784" s="504"/>
      <c r="N784" s="504"/>
      <c r="O784" s="110"/>
      <c r="P784" s="109"/>
      <c r="Q784" s="504"/>
      <c r="R784" s="107"/>
      <c r="S784" s="503"/>
    </row>
    <row r="785" spans="1:19" ht="9.75" customHeight="1">
      <c r="A785" s="503"/>
      <c r="B785" s="503"/>
      <c r="C785" s="13"/>
      <c r="D785" s="13" t="s">
        <v>120</v>
      </c>
      <c r="E785" s="13"/>
      <c r="F785" s="109"/>
      <c r="G785" s="504"/>
      <c r="H785" s="504"/>
      <c r="I785" s="504"/>
      <c r="J785" s="504"/>
      <c r="K785" s="504"/>
      <c r="L785" s="504"/>
      <c r="M785" s="504"/>
      <c r="N785" s="504"/>
      <c r="O785" s="110"/>
      <c r="P785" s="109"/>
      <c r="Q785" s="504"/>
      <c r="R785" s="107"/>
      <c r="S785" s="503"/>
    </row>
    <row r="786" spans="1:19" ht="9.75" customHeight="1">
      <c r="A786" s="503"/>
      <c r="B786" s="503"/>
      <c r="C786" s="13"/>
      <c r="D786" s="13" t="s">
        <v>120</v>
      </c>
      <c r="E786" s="13"/>
      <c r="F786" s="109"/>
      <c r="G786" s="504"/>
      <c r="H786" s="504"/>
      <c r="I786" s="504"/>
      <c r="J786" s="504"/>
      <c r="K786" s="504"/>
      <c r="L786" s="504"/>
      <c r="M786" s="504"/>
      <c r="N786" s="504"/>
      <c r="O786" s="110"/>
      <c r="P786" s="109"/>
      <c r="Q786" s="504"/>
      <c r="R786" s="107"/>
      <c r="S786" s="503"/>
    </row>
    <row r="787" spans="1:19" ht="9.75" customHeight="1">
      <c r="A787" s="503"/>
      <c r="B787" s="503"/>
      <c r="C787" s="13"/>
      <c r="D787" s="13" t="s">
        <v>120</v>
      </c>
      <c r="E787" s="13"/>
      <c r="F787" s="109"/>
      <c r="G787" s="504"/>
      <c r="H787" s="504"/>
      <c r="I787" s="504"/>
      <c r="J787" s="504"/>
      <c r="K787" s="504"/>
      <c r="L787" s="504"/>
      <c r="M787" s="504"/>
      <c r="N787" s="504"/>
      <c r="O787" s="110"/>
      <c r="P787" s="109"/>
      <c r="Q787" s="504"/>
      <c r="R787" s="107"/>
      <c r="S787" s="503"/>
    </row>
    <row r="788" spans="1:19" ht="9.75" customHeight="1">
      <c r="A788" s="503"/>
      <c r="B788" s="503"/>
      <c r="C788" s="13"/>
      <c r="D788" s="13" t="s">
        <v>120</v>
      </c>
      <c r="E788" s="13"/>
      <c r="F788" s="109"/>
      <c r="G788" s="504"/>
      <c r="H788" s="504"/>
      <c r="I788" s="504"/>
      <c r="J788" s="504"/>
      <c r="K788" s="504"/>
      <c r="L788" s="504"/>
      <c r="M788" s="504"/>
      <c r="N788" s="504"/>
      <c r="O788" s="110"/>
      <c r="P788" s="109"/>
      <c r="Q788" s="504"/>
      <c r="R788" s="107"/>
      <c r="S788" s="503"/>
    </row>
    <row r="789" spans="1:19" ht="9.75" customHeight="1">
      <c r="A789" s="503"/>
      <c r="B789" s="503"/>
      <c r="C789" s="30"/>
      <c r="D789" s="13" t="s">
        <v>34</v>
      </c>
      <c r="E789" s="13">
        <v>9</v>
      </c>
      <c r="F789" s="109">
        <v>9</v>
      </c>
      <c r="G789" s="504">
        <v>9</v>
      </c>
      <c r="H789" s="504">
        <v>9</v>
      </c>
      <c r="I789" s="504">
        <v>9</v>
      </c>
      <c r="J789" s="504">
        <v>9</v>
      </c>
      <c r="K789" s="504">
        <v>9</v>
      </c>
      <c r="L789" s="504">
        <v>9</v>
      </c>
      <c r="M789" s="504">
        <v>9</v>
      </c>
      <c r="N789" s="504">
        <v>9</v>
      </c>
      <c r="O789" s="110">
        <v>7</v>
      </c>
      <c r="P789" s="109">
        <f>MIN(F789:O789)</f>
        <v>7</v>
      </c>
      <c r="Q789" s="504">
        <f>E789-P789</f>
        <v>2</v>
      </c>
      <c r="R789" s="107">
        <f>Q789/E789</f>
        <v>0.22222222222222221</v>
      </c>
      <c r="S789" s="503"/>
    </row>
    <row r="790" spans="1:19" ht="9.75" customHeight="1">
      <c r="A790" s="503"/>
      <c r="B790" s="503"/>
      <c r="C790" s="30"/>
      <c r="D790" s="13" t="s">
        <v>35</v>
      </c>
      <c r="E790" s="13"/>
      <c r="F790" s="109"/>
      <c r="G790" s="504"/>
      <c r="H790" s="504"/>
      <c r="I790" s="504"/>
      <c r="J790" s="504"/>
      <c r="K790" s="504"/>
      <c r="L790" s="504"/>
      <c r="M790" s="504"/>
      <c r="N790" s="504"/>
      <c r="O790" s="110"/>
      <c r="P790" s="109"/>
      <c r="Q790" s="504"/>
      <c r="R790" s="107"/>
      <c r="S790" s="503"/>
    </row>
    <row r="791" spans="1:19" ht="9.75" customHeight="1">
      <c r="A791" s="503"/>
      <c r="B791" s="503"/>
      <c r="C791" s="30"/>
      <c r="D791" s="13" t="s">
        <v>36</v>
      </c>
      <c r="E791" s="13"/>
      <c r="F791" s="109"/>
      <c r="G791" s="504"/>
      <c r="H791" s="504"/>
      <c r="I791" s="504"/>
      <c r="J791" s="504"/>
      <c r="K791" s="504"/>
      <c r="L791" s="504"/>
      <c r="M791" s="504"/>
      <c r="N791" s="504"/>
      <c r="O791" s="110"/>
      <c r="P791" s="109"/>
      <c r="Q791" s="504"/>
      <c r="R791" s="107"/>
      <c r="S791" s="503"/>
    </row>
    <row r="792" spans="1:19" ht="9.75" customHeight="1">
      <c r="A792" s="503"/>
      <c r="B792" s="503"/>
      <c r="C792" s="30"/>
      <c r="D792" s="13" t="s">
        <v>37</v>
      </c>
      <c r="E792" s="13">
        <v>1</v>
      </c>
      <c r="F792" s="109">
        <v>1</v>
      </c>
      <c r="G792" s="504">
        <v>1</v>
      </c>
      <c r="H792" s="504">
        <v>1</v>
      </c>
      <c r="I792" s="504">
        <v>1</v>
      </c>
      <c r="J792" s="504">
        <v>1</v>
      </c>
      <c r="K792" s="504">
        <v>1</v>
      </c>
      <c r="L792" s="504">
        <v>1</v>
      </c>
      <c r="M792" s="504">
        <v>1</v>
      </c>
      <c r="N792" s="504">
        <v>1</v>
      </c>
      <c r="O792" s="110">
        <v>1</v>
      </c>
      <c r="P792" s="109">
        <f t="shared" ref="P792:P793" si="138">MIN(F792:O792)</f>
        <v>1</v>
      </c>
      <c r="Q792" s="504">
        <f t="shared" ref="Q792:Q793" si="139">E792-P792</f>
        <v>0</v>
      </c>
      <c r="R792" s="107">
        <f t="shared" ref="R792:R793" si="140">Q792/E792</f>
        <v>0</v>
      </c>
      <c r="S792" s="503"/>
    </row>
    <row r="793" spans="1:19" ht="9.75" customHeight="1">
      <c r="A793" s="503"/>
      <c r="B793" s="503" t="s">
        <v>127</v>
      </c>
      <c r="C793" s="31"/>
      <c r="D793" s="3" t="s">
        <v>38</v>
      </c>
      <c r="E793" s="3">
        <f t="shared" ref="E793:O793" si="141">SUM(E777:E792)</f>
        <v>43</v>
      </c>
      <c r="F793" s="21">
        <f t="shared" si="141"/>
        <v>38</v>
      </c>
      <c r="G793" s="71">
        <f t="shared" si="141"/>
        <v>34</v>
      </c>
      <c r="H793" s="71">
        <f t="shared" si="141"/>
        <v>31</v>
      </c>
      <c r="I793" s="71">
        <f t="shared" si="141"/>
        <v>32</v>
      </c>
      <c r="J793" s="71">
        <f t="shared" si="141"/>
        <v>32</v>
      </c>
      <c r="K793" s="71">
        <f t="shared" si="141"/>
        <v>37</v>
      </c>
      <c r="L793" s="71">
        <f t="shared" si="141"/>
        <v>37</v>
      </c>
      <c r="M793" s="71">
        <f t="shared" si="141"/>
        <v>36</v>
      </c>
      <c r="N793" s="71">
        <f t="shared" si="141"/>
        <v>36</v>
      </c>
      <c r="O793" s="26">
        <f t="shared" si="141"/>
        <v>35</v>
      </c>
      <c r="P793" s="21">
        <f t="shared" si="138"/>
        <v>31</v>
      </c>
      <c r="Q793" s="71">
        <f t="shared" si="139"/>
        <v>12</v>
      </c>
      <c r="R793" s="7">
        <f t="shared" si="140"/>
        <v>0.27906976744186046</v>
      </c>
      <c r="S793" s="503"/>
    </row>
    <row r="794" spans="1:19" ht="9.75" customHeight="1">
      <c r="A794" s="503"/>
      <c r="B794" s="503"/>
      <c r="C794" s="29" t="s">
        <v>205</v>
      </c>
      <c r="D794" s="29" t="s">
        <v>23</v>
      </c>
      <c r="E794" s="43"/>
      <c r="F794" s="116"/>
      <c r="G794" s="128"/>
      <c r="H794" s="128"/>
      <c r="I794" s="128"/>
      <c r="J794" s="128"/>
      <c r="K794" s="128"/>
      <c r="L794" s="128"/>
      <c r="M794" s="128"/>
      <c r="N794" s="128"/>
      <c r="O794" s="129"/>
      <c r="P794" s="116"/>
      <c r="Q794" s="128"/>
      <c r="R794" s="141"/>
      <c r="S794" s="503"/>
    </row>
    <row r="795" spans="1:19" ht="9.75" customHeight="1">
      <c r="A795" s="503"/>
      <c r="B795" s="503"/>
      <c r="C795" s="30"/>
      <c r="D795" s="13" t="s">
        <v>25</v>
      </c>
      <c r="E795" s="13"/>
      <c r="F795" s="109"/>
      <c r="G795" s="504"/>
      <c r="H795" s="504"/>
      <c r="I795" s="504"/>
      <c r="J795" s="504"/>
      <c r="K795" s="504"/>
      <c r="L795" s="504"/>
      <c r="M795" s="504"/>
      <c r="N795" s="504"/>
      <c r="O795" s="110"/>
      <c r="P795" s="109"/>
      <c r="Q795" s="504"/>
      <c r="R795" s="107"/>
      <c r="S795" s="503"/>
    </row>
    <row r="796" spans="1:19" ht="9.75" customHeight="1">
      <c r="A796" s="503"/>
      <c r="B796" s="503"/>
      <c r="C796" s="30"/>
      <c r="D796" s="13" t="s">
        <v>27</v>
      </c>
      <c r="E796" s="13"/>
      <c r="F796" s="109"/>
      <c r="G796" s="504"/>
      <c r="H796" s="504"/>
      <c r="I796" s="504"/>
      <c r="J796" s="504"/>
      <c r="K796" s="504"/>
      <c r="L796" s="504"/>
      <c r="M796" s="504"/>
      <c r="N796" s="504"/>
      <c r="O796" s="110"/>
      <c r="P796" s="109"/>
      <c r="Q796" s="504"/>
      <c r="R796" s="107"/>
      <c r="S796" s="503"/>
    </row>
    <row r="797" spans="1:19" ht="9.75" customHeight="1">
      <c r="A797" s="503"/>
      <c r="B797" s="503"/>
      <c r="C797" s="30"/>
      <c r="D797" s="13" t="s">
        <v>115</v>
      </c>
      <c r="E797" s="13"/>
      <c r="F797" s="109"/>
      <c r="G797" s="504"/>
      <c r="H797" s="504"/>
      <c r="I797" s="504"/>
      <c r="J797" s="504"/>
      <c r="K797" s="504"/>
      <c r="L797" s="504"/>
      <c r="M797" s="504"/>
      <c r="N797" s="504"/>
      <c r="O797" s="110"/>
      <c r="P797" s="109"/>
      <c r="Q797" s="504"/>
      <c r="R797" s="107"/>
      <c r="S797" s="503"/>
    </row>
    <row r="798" spans="1:19" ht="9.75" customHeight="1">
      <c r="A798" s="503"/>
      <c r="B798" s="503"/>
      <c r="C798" s="30"/>
      <c r="D798" s="13" t="s">
        <v>115</v>
      </c>
      <c r="E798" s="13"/>
      <c r="F798" s="109"/>
      <c r="G798" s="504"/>
      <c r="H798" s="504"/>
      <c r="I798" s="504"/>
      <c r="J798" s="504"/>
      <c r="K798" s="504"/>
      <c r="L798" s="504"/>
      <c r="M798" s="504"/>
      <c r="N798" s="504"/>
      <c r="O798" s="110"/>
      <c r="P798" s="109"/>
      <c r="Q798" s="504"/>
      <c r="R798" s="107"/>
      <c r="S798" s="503"/>
    </row>
    <row r="799" spans="1:19" ht="9.75" customHeight="1">
      <c r="A799" s="503"/>
      <c r="B799" s="503"/>
      <c r="C799" s="30"/>
      <c r="D799" s="13" t="s">
        <v>32</v>
      </c>
      <c r="E799" s="13"/>
      <c r="F799" s="109"/>
      <c r="G799" s="504"/>
      <c r="H799" s="504"/>
      <c r="I799" s="504"/>
      <c r="J799" s="504"/>
      <c r="K799" s="504"/>
      <c r="L799" s="504"/>
      <c r="M799" s="504"/>
      <c r="N799" s="504"/>
      <c r="O799" s="110"/>
      <c r="P799" s="109"/>
      <c r="Q799" s="504"/>
      <c r="R799" s="107"/>
      <c r="S799" s="503"/>
    </row>
    <row r="800" spans="1:19" ht="9.75" customHeight="1">
      <c r="A800" s="503"/>
      <c r="B800" s="503"/>
      <c r="C800" s="30"/>
      <c r="D800" s="13" t="s">
        <v>120</v>
      </c>
      <c r="E800" s="13"/>
      <c r="F800" s="109"/>
      <c r="G800" s="504"/>
      <c r="H800" s="504"/>
      <c r="I800" s="504"/>
      <c r="J800" s="504"/>
      <c r="K800" s="504"/>
      <c r="L800" s="504"/>
      <c r="M800" s="504"/>
      <c r="N800" s="504"/>
      <c r="O800" s="110"/>
      <c r="P800" s="109"/>
      <c r="Q800" s="504"/>
      <c r="R800" s="107"/>
      <c r="S800" s="503"/>
    </row>
    <row r="801" spans="1:19" ht="9.75" customHeight="1">
      <c r="A801" s="503"/>
      <c r="B801" s="503"/>
      <c r="C801" s="30"/>
      <c r="D801" s="13" t="s">
        <v>120</v>
      </c>
      <c r="E801" s="13"/>
      <c r="F801" s="109"/>
      <c r="G801" s="504"/>
      <c r="H801" s="504"/>
      <c r="I801" s="504"/>
      <c r="J801" s="504"/>
      <c r="K801" s="504"/>
      <c r="L801" s="504"/>
      <c r="M801" s="504"/>
      <c r="N801" s="504"/>
      <c r="O801" s="110"/>
      <c r="P801" s="109"/>
      <c r="Q801" s="504"/>
      <c r="R801" s="107"/>
      <c r="S801" s="503"/>
    </row>
    <row r="802" spans="1:19" ht="9.75" customHeight="1">
      <c r="A802" s="503"/>
      <c r="B802" s="503"/>
      <c r="C802" s="30"/>
      <c r="D802" s="13" t="s">
        <v>120</v>
      </c>
      <c r="E802" s="13"/>
      <c r="F802" s="109"/>
      <c r="G802" s="504"/>
      <c r="H802" s="504"/>
      <c r="I802" s="504"/>
      <c r="J802" s="504"/>
      <c r="K802" s="504"/>
      <c r="L802" s="504"/>
      <c r="M802" s="504"/>
      <c r="N802" s="504"/>
      <c r="O802" s="110"/>
      <c r="P802" s="109"/>
      <c r="Q802" s="504"/>
      <c r="R802" s="107"/>
      <c r="S802" s="503"/>
    </row>
    <row r="803" spans="1:19" ht="9.75" customHeight="1">
      <c r="A803" s="503"/>
      <c r="B803" s="503"/>
      <c r="C803" s="30"/>
      <c r="D803" s="13" t="s">
        <v>120</v>
      </c>
      <c r="E803" s="13"/>
      <c r="F803" s="109"/>
      <c r="G803" s="504"/>
      <c r="H803" s="504"/>
      <c r="I803" s="504"/>
      <c r="J803" s="504"/>
      <c r="K803" s="504"/>
      <c r="L803" s="504"/>
      <c r="M803" s="504"/>
      <c r="N803" s="504"/>
      <c r="O803" s="110"/>
      <c r="P803" s="109"/>
      <c r="Q803" s="504"/>
      <c r="R803" s="107"/>
      <c r="S803" s="503"/>
    </row>
    <row r="804" spans="1:19" ht="9.75" customHeight="1">
      <c r="A804" s="503"/>
      <c r="B804" s="503"/>
      <c r="C804" s="30"/>
      <c r="D804" s="13" t="s">
        <v>120</v>
      </c>
      <c r="E804" s="13"/>
      <c r="F804" s="109"/>
      <c r="G804" s="504"/>
      <c r="H804" s="504"/>
      <c r="I804" s="504"/>
      <c r="J804" s="504"/>
      <c r="K804" s="504"/>
      <c r="L804" s="504"/>
      <c r="M804" s="504"/>
      <c r="N804" s="504"/>
      <c r="O804" s="110"/>
      <c r="P804" s="109"/>
      <c r="Q804" s="504"/>
      <c r="R804" s="107"/>
      <c r="S804" s="503"/>
    </row>
    <row r="805" spans="1:19" ht="9.75" customHeight="1">
      <c r="A805" s="503"/>
      <c r="B805" s="503"/>
      <c r="C805" s="30"/>
      <c r="D805" s="13" t="s">
        <v>120</v>
      </c>
      <c r="E805" s="13"/>
      <c r="F805" s="109"/>
      <c r="G805" s="504"/>
      <c r="H805" s="504"/>
      <c r="I805" s="504"/>
      <c r="J805" s="504"/>
      <c r="K805" s="504"/>
      <c r="L805" s="504"/>
      <c r="M805" s="504"/>
      <c r="N805" s="504"/>
      <c r="O805" s="110"/>
      <c r="P805" s="109"/>
      <c r="Q805" s="504"/>
      <c r="R805" s="107"/>
      <c r="S805" s="503"/>
    </row>
    <row r="806" spans="1:19" ht="9.75" customHeight="1">
      <c r="A806" s="503"/>
      <c r="B806" s="503"/>
      <c r="C806" s="30"/>
      <c r="D806" s="13" t="s">
        <v>34</v>
      </c>
      <c r="E806" s="13">
        <v>2</v>
      </c>
      <c r="F806" s="109">
        <v>2</v>
      </c>
      <c r="G806" s="504">
        <v>2</v>
      </c>
      <c r="H806" s="504">
        <v>2</v>
      </c>
      <c r="I806" s="504">
        <v>2</v>
      </c>
      <c r="J806" s="504">
        <v>2</v>
      </c>
      <c r="K806" s="11">
        <v>2</v>
      </c>
      <c r="L806" s="11">
        <v>2</v>
      </c>
      <c r="M806" s="11">
        <v>2</v>
      </c>
      <c r="N806" s="11">
        <v>2</v>
      </c>
      <c r="O806" s="136">
        <v>2</v>
      </c>
      <c r="P806" s="109">
        <f>MIN(F806:O806)</f>
        <v>2</v>
      </c>
      <c r="Q806" s="504">
        <f>E806-P806</f>
        <v>0</v>
      </c>
      <c r="R806" s="107">
        <f>Q806/E806</f>
        <v>0</v>
      </c>
      <c r="S806" s="503"/>
    </row>
    <row r="807" spans="1:19" ht="9.75" customHeight="1">
      <c r="A807" s="503"/>
      <c r="B807" s="503"/>
      <c r="C807" s="30"/>
      <c r="D807" s="13" t="s">
        <v>35</v>
      </c>
      <c r="E807" s="13"/>
      <c r="F807" s="109"/>
      <c r="G807" s="504"/>
      <c r="H807" s="504"/>
      <c r="I807" s="504"/>
      <c r="J807" s="504"/>
      <c r="K807" s="32"/>
      <c r="L807" s="32"/>
      <c r="M807" s="32"/>
      <c r="N807" s="32"/>
      <c r="O807" s="142"/>
      <c r="P807" s="109"/>
      <c r="Q807" s="504"/>
      <c r="R807" s="107"/>
      <c r="S807" s="503"/>
    </row>
    <row r="808" spans="1:19" ht="9.75" customHeight="1">
      <c r="A808" s="503"/>
      <c r="B808" s="503"/>
      <c r="C808" s="30"/>
      <c r="D808" s="13" t="s">
        <v>36</v>
      </c>
      <c r="E808" s="13"/>
      <c r="F808" s="109"/>
      <c r="G808" s="504"/>
      <c r="H808" s="504"/>
      <c r="I808" s="504"/>
      <c r="J808" s="504"/>
      <c r="K808" s="32"/>
      <c r="L808" s="32"/>
      <c r="M808" s="32"/>
      <c r="N808" s="32"/>
      <c r="O808" s="142"/>
      <c r="P808" s="109"/>
      <c r="Q808" s="504"/>
      <c r="R808" s="107"/>
      <c r="S808" s="503"/>
    </row>
    <row r="809" spans="1:19" ht="9.75" customHeight="1">
      <c r="A809" s="503"/>
      <c r="B809" s="503"/>
      <c r="C809" s="13"/>
      <c r="D809" s="13" t="s">
        <v>37</v>
      </c>
      <c r="E809" s="13">
        <v>2</v>
      </c>
      <c r="F809" s="109">
        <v>2</v>
      </c>
      <c r="G809" s="504">
        <v>2</v>
      </c>
      <c r="H809" s="504">
        <v>2</v>
      </c>
      <c r="I809" s="504">
        <v>2</v>
      </c>
      <c r="J809" s="504">
        <v>2</v>
      </c>
      <c r="K809" s="143">
        <v>0</v>
      </c>
      <c r="L809" s="143">
        <v>2</v>
      </c>
      <c r="M809" s="143">
        <v>2</v>
      </c>
      <c r="N809" s="143">
        <v>1</v>
      </c>
      <c r="O809" s="144">
        <v>0</v>
      </c>
      <c r="P809" s="109">
        <f t="shared" ref="P809:P810" si="142">MIN(F809:O809)</f>
        <v>0</v>
      </c>
      <c r="Q809" s="504">
        <f t="shared" ref="Q809:Q810" si="143">E809-P809</f>
        <v>2</v>
      </c>
      <c r="R809" s="107">
        <f t="shared" ref="R809:R810" si="144">Q809/E809</f>
        <v>1</v>
      </c>
      <c r="S809" s="503"/>
    </row>
    <row r="810" spans="1:19" ht="9.75" customHeight="1">
      <c r="A810" s="503"/>
      <c r="B810" s="503" t="s">
        <v>127</v>
      </c>
      <c r="C810" s="2"/>
      <c r="D810" s="3" t="s">
        <v>38</v>
      </c>
      <c r="E810" s="3">
        <f t="shared" ref="E810" si="145">SUM(E794:E809)</f>
        <v>4</v>
      </c>
      <c r="F810" s="21">
        <f t="shared" ref="F810:O810" si="146">SUM(F794:F809)</f>
        <v>4</v>
      </c>
      <c r="G810" s="71">
        <f t="shared" si="146"/>
        <v>4</v>
      </c>
      <c r="H810" s="71">
        <f t="shared" si="146"/>
        <v>4</v>
      </c>
      <c r="I810" s="71">
        <f t="shared" si="146"/>
        <v>4</v>
      </c>
      <c r="J810" s="71">
        <f t="shared" si="146"/>
        <v>4</v>
      </c>
      <c r="K810" s="71">
        <f t="shared" si="146"/>
        <v>2</v>
      </c>
      <c r="L810" s="71">
        <f t="shared" si="146"/>
        <v>4</v>
      </c>
      <c r="M810" s="71">
        <f t="shared" si="146"/>
        <v>4</v>
      </c>
      <c r="N810" s="71">
        <f t="shared" si="146"/>
        <v>3</v>
      </c>
      <c r="O810" s="26">
        <f t="shared" si="146"/>
        <v>2</v>
      </c>
      <c r="P810" s="21">
        <f t="shared" si="142"/>
        <v>2</v>
      </c>
      <c r="Q810" s="71">
        <f t="shared" si="143"/>
        <v>2</v>
      </c>
      <c r="R810" s="7">
        <f t="shared" si="144"/>
        <v>0.5</v>
      </c>
      <c r="S810" s="503"/>
    </row>
    <row r="811" spans="1:19" ht="9.75" customHeight="1">
      <c r="A811" s="503"/>
      <c r="B811" s="503"/>
      <c r="C811" s="43" t="s">
        <v>206</v>
      </c>
      <c r="D811" s="29" t="s">
        <v>23</v>
      </c>
      <c r="E811" s="43"/>
      <c r="F811" s="116"/>
      <c r="G811" s="128"/>
      <c r="H811" s="128"/>
      <c r="I811" s="128"/>
      <c r="J811" s="128"/>
      <c r="K811" s="128"/>
      <c r="L811" s="128"/>
      <c r="M811" s="128"/>
      <c r="N811" s="128"/>
      <c r="O811" s="129"/>
      <c r="P811" s="116"/>
      <c r="Q811" s="128"/>
      <c r="R811" s="141"/>
      <c r="S811" s="503"/>
    </row>
    <row r="812" spans="1:19" ht="9.75" customHeight="1">
      <c r="A812" s="503"/>
      <c r="B812" s="503"/>
      <c r="C812" s="13"/>
      <c r="D812" s="13" t="s">
        <v>25</v>
      </c>
      <c r="E812" s="13"/>
      <c r="F812" s="109"/>
      <c r="G812" s="504"/>
      <c r="H812" s="504"/>
      <c r="I812" s="504"/>
      <c r="J812" s="504"/>
      <c r="K812" s="504"/>
      <c r="L812" s="504"/>
      <c r="M812" s="504"/>
      <c r="N812" s="504"/>
      <c r="O812" s="110"/>
      <c r="P812" s="109"/>
      <c r="Q812" s="504"/>
      <c r="R812" s="107"/>
      <c r="S812" s="503"/>
    </row>
    <row r="813" spans="1:19" ht="9.75" customHeight="1">
      <c r="A813" s="503"/>
      <c r="B813" s="503"/>
      <c r="C813" s="13"/>
      <c r="D813" s="13" t="s">
        <v>27</v>
      </c>
      <c r="E813" s="13"/>
      <c r="F813" s="109"/>
      <c r="G813" s="504"/>
      <c r="H813" s="504"/>
      <c r="I813" s="504"/>
      <c r="J813" s="504"/>
      <c r="K813" s="11"/>
      <c r="L813" s="11"/>
      <c r="M813" s="11"/>
      <c r="N813" s="11"/>
      <c r="O813" s="136"/>
      <c r="P813" s="109"/>
      <c r="Q813" s="504"/>
      <c r="R813" s="107"/>
      <c r="S813" s="503"/>
    </row>
    <row r="814" spans="1:19" ht="9.75" customHeight="1">
      <c r="A814" s="503"/>
      <c r="B814" s="503"/>
      <c r="C814" s="13"/>
      <c r="D814" s="13" t="s">
        <v>29</v>
      </c>
      <c r="E814" s="13">
        <v>228</v>
      </c>
      <c r="F814" s="109">
        <f>E814-38</f>
        <v>190</v>
      </c>
      <c r="G814" s="504">
        <f>E814-45</f>
        <v>183</v>
      </c>
      <c r="H814" s="504">
        <f>E814-52</f>
        <v>176</v>
      </c>
      <c r="I814" s="504">
        <f>E814-60</f>
        <v>168</v>
      </c>
      <c r="J814" s="504">
        <f>E814-67</f>
        <v>161</v>
      </c>
      <c r="K814" s="11">
        <f>E814-70</f>
        <v>158</v>
      </c>
      <c r="L814" s="11">
        <f>E814-71</f>
        <v>157</v>
      </c>
      <c r="M814" s="11">
        <f>E814-75</f>
        <v>153</v>
      </c>
      <c r="N814" s="11">
        <f>E814-69</f>
        <v>159</v>
      </c>
      <c r="O814" s="136">
        <f>E814-64</f>
        <v>164</v>
      </c>
      <c r="P814" s="109">
        <f>MIN(F814:O814)</f>
        <v>153</v>
      </c>
      <c r="Q814" s="504">
        <f>E814-P814</f>
        <v>75</v>
      </c>
      <c r="R814" s="107">
        <f>Q814/E814</f>
        <v>0.32894736842105265</v>
      </c>
      <c r="S814" s="503"/>
    </row>
    <row r="815" spans="1:19" ht="9.75" customHeight="1">
      <c r="A815" s="503"/>
      <c r="B815" s="503"/>
      <c r="C815" s="13"/>
      <c r="D815" s="13" t="s">
        <v>115</v>
      </c>
      <c r="E815" s="13"/>
      <c r="F815" s="109"/>
      <c r="G815" s="504"/>
      <c r="H815" s="504"/>
      <c r="I815" s="504"/>
      <c r="J815" s="504"/>
      <c r="K815" s="32"/>
      <c r="L815" s="32"/>
      <c r="M815" s="32"/>
      <c r="N815" s="32"/>
      <c r="O815" s="142"/>
      <c r="P815" s="109"/>
      <c r="Q815" s="504"/>
      <c r="R815" s="107"/>
      <c r="S815" s="503"/>
    </row>
    <row r="816" spans="1:19" ht="9.75" customHeight="1">
      <c r="A816" s="503"/>
      <c r="B816" s="503"/>
      <c r="C816" s="13"/>
      <c r="D816" s="13" t="s">
        <v>115</v>
      </c>
      <c r="E816" s="13"/>
      <c r="F816" s="109"/>
      <c r="G816" s="504"/>
      <c r="H816" s="504"/>
      <c r="I816" s="504"/>
      <c r="J816" s="504"/>
      <c r="K816" s="32"/>
      <c r="L816" s="32"/>
      <c r="M816" s="32"/>
      <c r="N816" s="32"/>
      <c r="O816" s="142"/>
      <c r="P816" s="109"/>
      <c r="Q816" s="504"/>
      <c r="R816" s="107"/>
      <c r="S816" s="503"/>
    </row>
    <row r="817" spans="1:19" ht="9.75" customHeight="1">
      <c r="A817" s="503"/>
      <c r="B817" s="503"/>
      <c r="C817" s="13"/>
      <c r="D817" s="13" t="s">
        <v>32</v>
      </c>
      <c r="E817" s="13"/>
      <c r="F817" s="109"/>
      <c r="G817" s="504"/>
      <c r="H817" s="504"/>
      <c r="I817" s="504"/>
      <c r="J817" s="504"/>
      <c r="K817" s="32"/>
      <c r="L817" s="32"/>
      <c r="M817" s="32"/>
      <c r="N817" s="32"/>
      <c r="O817" s="142"/>
      <c r="P817" s="109"/>
      <c r="Q817" s="504"/>
      <c r="R817" s="107"/>
      <c r="S817" s="503"/>
    </row>
    <row r="818" spans="1:19" ht="9.75" customHeight="1">
      <c r="A818" s="503"/>
      <c r="B818" s="503"/>
      <c r="C818" s="13"/>
      <c r="D818" s="13" t="s">
        <v>120</v>
      </c>
      <c r="E818" s="13"/>
      <c r="F818" s="109"/>
      <c r="G818" s="504"/>
      <c r="H818" s="504"/>
      <c r="I818" s="504"/>
      <c r="J818" s="504"/>
      <c r="K818" s="32"/>
      <c r="L818" s="32"/>
      <c r="M818" s="32"/>
      <c r="N818" s="32"/>
      <c r="O818" s="142"/>
      <c r="P818" s="109"/>
      <c r="Q818" s="504"/>
      <c r="R818" s="107"/>
      <c r="S818" s="503"/>
    </row>
    <row r="819" spans="1:19" ht="9.75" customHeight="1">
      <c r="A819" s="503"/>
      <c r="B819" s="503"/>
      <c r="C819" s="13"/>
      <c r="D819" s="13" t="s">
        <v>120</v>
      </c>
      <c r="E819" s="13"/>
      <c r="F819" s="109"/>
      <c r="G819" s="504"/>
      <c r="H819" s="504"/>
      <c r="I819" s="504"/>
      <c r="J819" s="504"/>
      <c r="K819" s="32"/>
      <c r="L819" s="32"/>
      <c r="M819" s="32"/>
      <c r="N819" s="32"/>
      <c r="O819" s="142"/>
      <c r="P819" s="109"/>
      <c r="Q819" s="504"/>
      <c r="R819" s="107"/>
      <c r="S819" s="503"/>
    </row>
    <row r="820" spans="1:19" ht="9.75" customHeight="1">
      <c r="A820" s="503"/>
      <c r="B820" s="503"/>
      <c r="C820" s="13"/>
      <c r="D820" s="13" t="s">
        <v>120</v>
      </c>
      <c r="E820" s="13"/>
      <c r="F820" s="109"/>
      <c r="G820" s="504"/>
      <c r="H820" s="504"/>
      <c r="I820" s="504"/>
      <c r="J820" s="504"/>
      <c r="K820" s="32"/>
      <c r="L820" s="32"/>
      <c r="M820" s="32"/>
      <c r="N820" s="32"/>
      <c r="O820" s="142"/>
      <c r="P820" s="109"/>
      <c r="Q820" s="504"/>
      <c r="R820" s="107"/>
      <c r="S820" s="503"/>
    </row>
    <row r="821" spans="1:19" ht="9.75" customHeight="1">
      <c r="A821" s="503"/>
      <c r="B821" s="503"/>
      <c r="C821" s="13"/>
      <c r="D821" s="13" t="s">
        <v>120</v>
      </c>
      <c r="E821" s="13"/>
      <c r="F821" s="109"/>
      <c r="G821" s="504"/>
      <c r="H821" s="504"/>
      <c r="I821" s="504"/>
      <c r="J821" s="504"/>
      <c r="K821" s="32"/>
      <c r="L821" s="32"/>
      <c r="M821" s="32"/>
      <c r="N821" s="32"/>
      <c r="O821" s="142"/>
      <c r="P821" s="109"/>
      <c r="Q821" s="504"/>
      <c r="R821" s="107"/>
      <c r="S821" s="503"/>
    </row>
    <row r="822" spans="1:19" ht="9.75" customHeight="1">
      <c r="A822" s="503"/>
      <c r="B822" s="503"/>
      <c r="C822" s="13"/>
      <c r="D822" s="13" t="s">
        <v>120</v>
      </c>
      <c r="E822" s="13"/>
      <c r="F822" s="109"/>
      <c r="G822" s="504"/>
      <c r="H822" s="504"/>
      <c r="I822" s="504"/>
      <c r="J822" s="504"/>
      <c r="K822" s="32"/>
      <c r="L822" s="32"/>
      <c r="M822" s="32"/>
      <c r="N822" s="32"/>
      <c r="O822" s="142"/>
      <c r="P822" s="109"/>
      <c r="Q822" s="504"/>
      <c r="R822" s="107"/>
      <c r="S822" s="503"/>
    </row>
    <row r="823" spans="1:19" ht="9.75" customHeight="1">
      <c r="A823" s="503"/>
      <c r="B823" s="503"/>
      <c r="C823" s="13"/>
      <c r="D823" s="13" t="s">
        <v>117</v>
      </c>
      <c r="E823" s="13">
        <v>2</v>
      </c>
      <c r="F823" s="109">
        <v>2</v>
      </c>
      <c r="G823" s="504">
        <v>2</v>
      </c>
      <c r="H823" s="504">
        <v>2</v>
      </c>
      <c r="I823" s="504">
        <v>2</v>
      </c>
      <c r="J823" s="504">
        <v>2</v>
      </c>
      <c r="K823" s="11">
        <v>2</v>
      </c>
      <c r="L823" s="11">
        <v>2</v>
      </c>
      <c r="M823" s="11">
        <v>2</v>
      </c>
      <c r="N823" s="11">
        <v>2</v>
      </c>
      <c r="O823" s="136">
        <v>2</v>
      </c>
      <c r="P823" s="109">
        <f>MIN(F823:O823)</f>
        <v>2</v>
      </c>
      <c r="Q823" s="504">
        <f>E823-P823</f>
        <v>0</v>
      </c>
      <c r="R823" s="107">
        <f>Q823/E823</f>
        <v>0</v>
      </c>
      <c r="S823" s="503"/>
    </row>
    <row r="824" spans="1:19" ht="9.75" customHeight="1">
      <c r="A824" s="503"/>
      <c r="B824" s="503"/>
      <c r="C824" s="13"/>
      <c r="D824" s="13" t="s">
        <v>34</v>
      </c>
      <c r="E824" s="13"/>
      <c r="F824" s="109"/>
      <c r="G824" s="504"/>
      <c r="H824" s="504"/>
      <c r="I824" s="504"/>
      <c r="J824" s="504"/>
      <c r="K824" s="32"/>
      <c r="L824" s="32"/>
      <c r="M824" s="32"/>
      <c r="N824" s="32"/>
      <c r="O824" s="142"/>
      <c r="P824" s="109"/>
      <c r="Q824" s="504"/>
      <c r="R824" s="107"/>
      <c r="S824" s="503"/>
    </row>
    <row r="825" spans="1:19" ht="9.75" customHeight="1">
      <c r="A825" s="503"/>
      <c r="B825" s="503"/>
      <c r="C825" s="13"/>
      <c r="D825" s="13" t="s">
        <v>35</v>
      </c>
      <c r="E825" s="13">
        <v>6</v>
      </c>
      <c r="F825" s="109">
        <v>4</v>
      </c>
      <c r="G825" s="504">
        <v>4</v>
      </c>
      <c r="H825" s="504">
        <v>4</v>
      </c>
      <c r="I825" s="504">
        <v>4</v>
      </c>
      <c r="J825" s="504">
        <v>4</v>
      </c>
      <c r="K825" s="11">
        <v>4</v>
      </c>
      <c r="L825" s="11">
        <v>4</v>
      </c>
      <c r="M825" s="11">
        <v>4</v>
      </c>
      <c r="N825" s="11">
        <v>4</v>
      </c>
      <c r="O825" s="136">
        <v>4</v>
      </c>
      <c r="P825" s="109">
        <f>MIN(F825:O825)</f>
        <v>4</v>
      </c>
      <c r="Q825" s="504">
        <f>E825-P825</f>
        <v>2</v>
      </c>
      <c r="R825" s="107">
        <f>Q825/E825</f>
        <v>0.33333333333333331</v>
      </c>
      <c r="S825" s="503"/>
    </row>
    <row r="826" spans="1:19" ht="9.75" customHeight="1">
      <c r="A826" s="503"/>
      <c r="B826" s="503"/>
      <c r="C826" s="13"/>
      <c r="D826" s="13" t="s">
        <v>36</v>
      </c>
      <c r="E826" s="13"/>
      <c r="F826" s="109"/>
      <c r="G826" s="504"/>
      <c r="H826" s="504"/>
      <c r="I826" s="504"/>
      <c r="J826" s="504"/>
      <c r="K826" s="504"/>
      <c r="L826" s="504"/>
      <c r="M826" s="504"/>
      <c r="N826" s="504"/>
      <c r="O826" s="110"/>
      <c r="P826" s="109"/>
      <c r="Q826" s="504"/>
      <c r="R826" s="107"/>
      <c r="S826" s="503"/>
    </row>
    <row r="827" spans="1:19" ht="9.75" customHeight="1">
      <c r="A827" s="503"/>
      <c r="B827" s="503"/>
      <c r="C827" s="13"/>
      <c r="D827" s="13" t="s">
        <v>37</v>
      </c>
      <c r="E827" s="13"/>
      <c r="F827" s="109"/>
      <c r="G827" s="504"/>
      <c r="H827" s="504"/>
      <c r="I827" s="504"/>
      <c r="J827" s="504"/>
      <c r="K827" s="504"/>
      <c r="L827" s="504"/>
      <c r="M827" s="504"/>
      <c r="N827" s="504"/>
      <c r="O827" s="110"/>
      <c r="P827" s="109"/>
      <c r="Q827" s="504"/>
      <c r="R827" s="107"/>
      <c r="S827" s="503"/>
    </row>
    <row r="828" spans="1:19" ht="9.75" customHeight="1">
      <c r="A828" s="503"/>
      <c r="B828" s="503" t="s">
        <v>127</v>
      </c>
      <c r="C828" s="2"/>
      <c r="D828" s="3" t="s">
        <v>38</v>
      </c>
      <c r="E828" s="3">
        <f t="shared" ref="E828:O828" si="147">SUM(E811:E827)</f>
        <v>236</v>
      </c>
      <c r="F828" s="21">
        <f t="shared" si="147"/>
        <v>196</v>
      </c>
      <c r="G828" s="71">
        <f t="shared" si="147"/>
        <v>189</v>
      </c>
      <c r="H828" s="71">
        <f t="shared" si="147"/>
        <v>182</v>
      </c>
      <c r="I828" s="71">
        <f t="shared" si="147"/>
        <v>174</v>
      </c>
      <c r="J828" s="71">
        <f t="shared" si="147"/>
        <v>167</v>
      </c>
      <c r="K828" s="71">
        <f t="shared" si="147"/>
        <v>164</v>
      </c>
      <c r="L828" s="71">
        <f t="shared" si="147"/>
        <v>163</v>
      </c>
      <c r="M828" s="71">
        <f t="shared" si="147"/>
        <v>159</v>
      </c>
      <c r="N828" s="71">
        <f t="shared" si="147"/>
        <v>165</v>
      </c>
      <c r="O828" s="26">
        <f t="shared" si="147"/>
        <v>170</v>
      </c>
      <c r="P828" s="21">
        <f>MIN(F828:O828)</f>
        <v>159</v>
      </c>
      <c r="Q828" s="71">
        <f>E828-P828</f>
        <v>77</v>
      </c>
      <c r="R828" s="7">
        <f>Q828/E828</f>
        <v>0.32627118644067798</v>
      </c>
      <c r="S828" s="503"/>
    </row>
    <row r="829" spans="1:19" ht="9.75" customHeight="1">
      <c r="A829" s="503"/>
      <c r="B829" s="503"/>
      <c r="C829" s="43" t="s">
        <v>207</v>
      </c>
      <c r="D829" s="43" t="s">
        <v>23</v>
      </c>
      <c r="E829" s="43"/>
      <c r="F829" s="116"/>
      <c r="G829" s="128"/>
      <c r="H829" s="128"/>
      <c r="I829" s="128"/>
      <c r="J829" s="128"/>
      <c r="K829" s="128"/>
      <c r="L829" s="128"/>
      <c r="M829" s="128"/>
      <c r="N829" s="128"/>
      <c r="O829" s="129"/>
      <c r="P829" s="116"/>
      <c r="Q829" s="128"/>
      <c r="R829" s="141"/>
      <c r="S829" s="503"/>
    </row>
    <row r="830" spans="1:19" ht="9.75" customHeight="1">
      <c r="A830" s="503"/>
      <c r="B830" s="503"/>
      <c r="C830" s="13"/>
      <c r="D830" s="13" t="s">
        <v>25</v>
      </c>
      <c r="E830" s="13">
        <v>95</v>
      </c>
      <c r="F830" s="109">
        <f>E830-84</f>
        <v>11</v>
      </c>
      <c r="G830" s="504">
        <v>0</v>
      </c>
      <c r="H830" s="504">
        <v>0</v>
      </c>
      <c r="I830" s="504">
        <v>0</v>
      </c>
      <c r="J830" s="504">
        <v>0</v>
      </c>
      <c r="K830" s="504">
        <v>0</v>
      </c>
      <c r="L830" s="504">
        <v>0</v>
      </c>
      <c r="M830" s="504">
        <v>0</v>
      </c>
      <c r="N830" s="504">
        <v>0</v>
      </c>
      <c r="O830" s="110">
        <v>0</v>
      </c>
      <c r="P830" s="109">
        <f>MIN(F830:O830)</f>
        <v>0</v>
      </c>
      <c r="Q830" s="504">
        <f>E830-P830</f>
        <v>95</v>
      </c>
      <c r="R830" s="107">
        <f>Q830/E830</f>
        <v>1</v>
      </c>
      <c r="S830" s="503"/>
    </row>
    <row r="831" spans="1:19" ht="9.75" customHeight="1">
      <c r="A831" s="503"/>
      <c r="B831" s="503"/>
      <c r="C831" s="13"/>
      <c r="D831" s="13" t="s">
        <v>27</v>
      </c>
      <c r="E831" s="13"/>
      <c r="F831" s="109"/>
      <c r="G831" s="504"/>
      <c r="H831" s="504"/>
      <c r="I831" s="504"/>
      <c r="J831" s="504"/>
      <c r="K831" s="11"/>
      <c r="L831" s="11"/>
      <c r="M831" s="11"/>
      <c r="N831" s="11"/>
      <c r="O831" s="136"/>
      <c r="P831" s="109"/>
      <c r="Q831" s="504"/>
      <c r="R831" s="107"/>
      <c r="S831" s="503"/>
    </row>
    <row r="832" spans="1:19" ht="9.75" customHeight="1">
      <c r="A832" s="503"/>
      <c r="B832" s="503"/>
      <c r="C832" s="13"/>
      <c r="D832" s="13" t="s">
        <v>115</v>
      </c>
      <c r="E832" s="13"/>
      <c r="F832" s="109"/>
      <c r="G832" s="504"/>
      <c r="H832" s="504"/>
      <c r="I832" s="504"/>
      <c r="J832" s="504"/>
      <c r="K832" s="32"/>
      <c r="L832" s="32"/>
      <c r="M832" s="32"/>
      <c r="N832" s="32"/>
      <c r="O832" s="142"/>
      <c r="P832" s="109"/>
      <c r="Q832" s="504"/>
      <c r="R832" s="107"/>
      <c r="S832" s="503"/>
    </row>
    <row r="833" spans="1:19" ht="9.75" customHeight="1">
      <c r="A833" s="503"/>
      <c r="B833" s="503"/>
      <c r="C833" s="13"/>
      <c r="D833" s="13" t="s">
        <v>115</v>
      </c>
      <c r="E833" s="13"/>
      <c r="F833" s="109"/>
      <c r="G833" s="504"/>
      <c r="H833" s="504"/>
      <c r="I833" s="504"/>
      <c r="J833" s="504"/>
      <c r="K833" s="32"/>
      <c r="L833" s="32"/>
      <c r="M833" s="32"/>
      <c r="N833" s="32"/>
      <c r="O833" s="142"/>
      <c r="P833" s="109"/>
      <c r="Q833" s="504"/>
      <c r="R833" s="107"/>
      <c r="S833" s="503"/>
    </row>
    <row r="834" spans="1:19" ht="9.75" customHeight="1">
      <c r="A834" s="503"/>
      <c r="B834" s="503"/>
      <c r="C834" s="13"/>
      <c r="D834" s="13" t="s">
        <v>32</v>
      </c>
      <c r="E834" s="13">
        <v>10</v>
      </c>
      <c r="F834" s="109">
        <v>10</v>
      </c>
      <c r="G834" s="504">
        <v>10</v>
      </c>
      <c r="H834" s="504">
        <v>10</v>
      </c>
      <c r="I834" s="504">
        <v>10</v>
      </c>
      <c r="J834" s="504">
        <v>10</v>
      </c>
      <c r="K834" s="11">
        <v>10</v>
      </c>
      <c r="L834" s="11">
        <v>10</v>
      </c>
      <c r="M834" s="11">
        <v>10</v>
      </c>
      <c r="N834" s="11">
        <v>10</v>
      </c>
      <c r="O834" s="136">
        <v>10</v>
      </c>
      <c r="P834" s="109">
        <f t="shared" ref="P834:P836" si="148">MIN(F834:O834)</f>
        <v>10</v>
      </c>
      <c r="Q834" s="504">
        <f t="shared" ref="Q834:Q836" si="149">E834-P834</f>
        <v>0</v>
      </c>
      <c r="R834" s="107">
        <f t="shared" ref="R834:R836" si="150">Q834/E834</f>
        <v>0</v>
      </c>
      <c r="S834" s="503"/>
    </row>
    <row r="835" spans="1:19" ht="9.75" customHeight="1">
      <c r="A835" s="503"/>
      <c r="B835" s="503"/>
      <c r="C835" s="13"/>
      <c r="D835" s="13" t="s">
        <v>208</v>
      </c>
      <c r="E835" s="13">
        <v>1</v>
      </c>
      <c r="F835" s="109">
        <v>0</v>
      </c>
      <c r="G835" s="504">
        <v>0</v>
      </c>
      <c r="H835" s="504">
        <v>0</v>
      </c>
      <c r="I835" s="504">
        <v>0</v>
      </c>
      <c r="J835" s="504">
        <v>0</v>
      </c>
      <c r="K835" s="11">
        <v>0</v>
      </c>
      <c r="L835" s="11">
        <v>0</v>
      </c>
      <c r="M835" s="11">
        <v>0</v>
      </c>
      <c r="N835" s="11">
        <v>0</v>
      </c>
      <c r="O835" s="136">
        <v>0</v>
      </c>
      <c r="P835" s="109">
        <f t="shared" si="148"/>
        <v>0</v>
      </c>
      <c r="Q835" s="504">
        <f t="shared" si="149"/>
        <v>1</v>
      </c>
      <c r="R835" s="107">
        <f t="shared" si="150"/>
        <v>1</v>
      </c>
      <c r="S835" s="503"/>
    </row>
    <row r="836" spans="1:19" ht="9.75" customHeight="1">
      <c r="A836" s="503"/>
      <c r="B836" s="503"/>
      <c r="C836" s="13"/>
      <c r="D836" s="13" t="s">
        <v>118</v>
      </c>
      <c r="E836" s="13">
        <v>10</v>
      </c>
      <c r="F836" s="109">
        <v>10</v>
      </c>
      <c r="G836" s="504">
        <v>10</v>
      </c>
      <c r="H836" s="504">
        <v>9</v>
      </c>
      <c r="I836" s="504">
        <v>8</v>
      </c>
      <c r="J836" s="504">
        <v>7</v>
      </c>
      <c r="K836" s="11">
        <v>8</v>
      </c>
      <c r="L836" s="11">
        <v>9</v>
      </c>
      <c r="M836" s="11">
        <v>9</v>
      </c>
      <c r="N836" s="11">
        <v>7</v>
      </c>
      <c r="O836" s="136">
        <v>8</v>
      </c>
      <c r="P836" s="109">
        <f t="shared" si="148"/>
        <v>7</v>
      </c>
      <c r="Q836" s="504">
        <f t="shared" si="149"/>
        <v>3</v>
      </c>
      <c r="R836" s="107">
        <f t="shared" si="150"/>
        <v>0.3</v>
      </c>
      <c r="S836" s="503"/>
    </row>
    <row r="837" spans="1:19" ht="9.75" customHeight="1">
      <c r="A837" s="503"/>
      <c r="B837" s="503"/>
      <c r="C837" s="13"/>
      <c r="D837" s="13" t="s">
        <v>209</v>
      </c>
      <c r="E837" s="13"/>
      <c r="F837" s="109"/>
      <c r="G837" s="504"/>
      <c r="H837" s="504"/>
      <c r="I837" s="504"/>
      <c r="J837" s="504"/>
      <c r="K837" s="32"/>
      <c r="L837" s="32"/>
      <c r="M837" s="32"/>
      <c r="N837" s="32"/>
      <c r="O837" s="142"/>
      <c r="P837" s="109"/>
      <c r="Q837" s="504"/>
      <c r="R837" s="107"/>
      <c r="S837" s="503"/>
    </row>
    <row r="838" spans="1:19" ht="9.75" customHeight="1">
      <c r="A838" s="503"/>
      <c r="B838" s="503"/>
      <c r="C838" s="13"/>
      <c r="D838" s="13" t="s">
        <v>210</v>
      </c>
      <c r="E838" s="13">
        <v>3</v>
      </c>
      <c r="F838" s="109">
        <v>3</v>
      </c>
      <c r="G838" s="504">
        <v>3</v>
      </c>
      <c r="H838" s="504">
        <v>3</v>
      </c>
      <c r="I838" s="504">
        <v>3</v>
      </c>
      <c r="J838" s="504">
        <v>3</v>
      </c>
      <c r="K838" s="11">
        <v>3</v>
      </c>
      <c r="L838" s="11">
        <v>3</v>
      </c>
      <c r="M838" s="11">
        <v>3</v>
      </c>
      <c r="N838" s="11">
        <v>3</v>
      </c>
      <c r="O838" s="136">
        <v>3</v>
      </c>
      <c r="P838" s="109">
        <f t="shared" ref="P838:P839" si="151">MIN(F838:O838)</f>
        <v>3</v>
      </c>
      <c r="Q838" s="504">
        <f t="shared" ref="Q838:Q839" si="152">E838-P838</f>
        <v>0</v>
      </c>
      <c r="R838" s="107">
        <f t="shared" ref="R838:R839" si="153">Q838/E838</f>
        <v>0</v>
      </c>
      <c r="S838" s="503"/>
    </row>
    <row r="839" spans="1:19" ht="9.75" customHeight="1">
      <c r="A839" s="503"/>
      <c r="B839" s="503"/>
      <c r="C839" s="13"/>
      <c r="D839" s="13" t="s">
        <v>155</v>
      </c>
      <c r="E839" s="13">
        <v>63</v>
      </c>
      <c r="F839" s="109">
        <f>E839-15</f>
        <v>48</v>
      </c>
      <c r="G839" s="504">
        <f>E839-20</f>
        <v>43</v>
      </c>
      <c r="H839" s="504">
        <f>E839-25</f>
        <v>38</v>
      </c>
      <c r="I839" s="504">
        <f>E839-21</f>
        <v>42</v>
      </c>
      <c r="J839" s="504">
        <f>E839-20</f>
        <v>43</v>
      </c>
      <c r="K839" s="11">
        <f>E839-15</f>
        <v>48</v>
      </c>
      <c r="L839" s="11">
        <f>E839-14</f>
        <v>49</v>
      </c>
      <c r="M839" s="11">
        <f>E839-13</f>
        <v>50</v>
      </c>
      <c r="N839" s="11">
        <f>E839-17</f>
        <v>46</v>
      </c>
      <c r="O839" s="136">
        <f>E839-15</f>
        <v>48</v>
      </c>
      <c r="P839" s="109">
        <f t="shared" si="151"/>
        <v>38</v>
      </c>
      <c r="Q839" s="504">
        <f t="shared" si="152"/>
        <v>25</v>
      </c>
      <c r="R839" s="107">
        <f t="shared" si="153"/>
        <v>0.3968253968253968</v>
      </c>
      <c r="S839" s="503"/>
    </row>
    <row r="840" spans="1:19" ht="9.75" customHeight="1">
      <c r="A840" s="503"/>
      <c r="B840" s="503"/>
      <c r="C840" s="13"/>
      <c r="D840" s="13" t="s">
        <v>120</v>
      </c>
      <c r="E840" s="13"/>
      <c r="F840" s="109"/>
      <c r="G840" s="504"/>
      <c r="H840" s="504"/>
      <c r="I840" s="504"/>
      <c r="J840" s="504"/>
      <c r="K840" s="32"/>
      <c r="L840" s="32"/>
      <c r="M840" s="32"/>
      <c r="N840" s="32"/>
      <c r="O840" s="142"/>
      <c r="P840" s="109"/>
      <c r="Q840" s="504"/>
      <c r="R840" s="107"/>
      <c r="S840" s="503"/>
    </row>
    <row r="841" spans="1:19" ht="9.75" customHeight="1">
      <c r="A841" s="503"/>
      <c r="B841" s="503"/>
      <c r="C841" s="13"/>
      <c r="D841" s="13" t="s">
        <v>34</v>
      </c>
      <c r="E841" s="13">
        <v>5</v>
      </c>
      <c r="F841" s="109">
        <v>5</v>
      </c>
      <c r="G841" s="504">
        <v>5</v>
      </c>
      <c r="H841" s="504">
        <v>5</v>
      </c>
      <c r="I841" s="504">
        <v>5</v>
      </c>
      <c r="J841" s="504">
        <v>5</v>
      </c>
      <c r="K841" s="11">
        <v>5</v>
      </c>
      <c r="L841" s="11">
        <v>5</v>
      </c>
      <c r="M841" s="11">
        <v>5</v>
      </c>
      <c r="N841" s="11">
        <v>5</v>
      </c>
      <c r="O841" s="136">
        <v>5</v>
      </c>
      <c r="P841" s="109">
        <f>MIN(F841:O841)</f>
        <v>5</v>
      </c>
      <c r="Q841" s="504">
        <f>E841-P841</f>
        <v>0</v>
      </c>
      <c r="R841" s="107">
        <f>Q841/E841</f>
        <v>0</v>
      </c>
      <c r="S841" s="503"/>
    </row>
    <row r="842" spans="1:19" ht="9.75" customHeight="1">
      <c r="A842" s="503"/>
      <c r="B842" s="503"/>
      <c r="C842" s="13"/>
      <c r="D842" s="13" t="s">
        <v>35</v>
      </c>
      <c r="E842" s="13"/>
      <c r="F842" s="109"/>
      <c r="G842" s="504"/>
      <c r="H842" s="504"/>
      <c r="I842" s="504"/>
      <c r="J842" s="504"/>
      <c r="K842" s="504"/>
      <c r="L842" s="504"/>
      <c r="M842" s="504"/>
      <c r="N842" s="504"/>
      <c r="O842" s="110"/>
      <c r="P842" s="109"/>
      <c r="Q842" s="504"/>
      <c r="R842" s="107"/>
      <c r="S842" s="503"/>
    </row>
    <row r="843" spans="1:19" ht="9.75" customHeight="1">
      <c r="A843" s="503"/>
      <c r="B843" s="503"/>
      <c r="C843" s="13"/>
      <c r="D843" s="13" t="s">
        <v>36</v>
      </c>
      <c r="E843" s="13"/>
      <c r="F843" s="109"/>
      <c r="G843" s="504"/>
      <c r="H843" s="504"/>
      <c r="I843" s="504"/>
      <c r="J843" s="504"/>
      <c r="K843" s="504"/>
      <c r="L843" s="504"/>
      <c r="M843" s="504"/>
      <c r="N843" s="504"/>
      <c r="O843" s="110"/>
      <c r="P843" s="109"/>
      <c r="Q843" s="504"/>
      <c r="R843" s="107"/>
      <c r="S843" s="503"/>
    </row>
    <row r="844" spans="1:19" ht="9.75" customHeight="1">
      <c r="A844" s="503"/>
      <c r="B844" s="503"/>
      <c r="C844" s="13"/>
      <c r="D844" s="13" t="s">
        <v>37</v>
      </c>
      <c r="E844" s="13"/>
      <c r="F844" s="109"/>
      <c r="G844" s="504"/>
      <c r="H844" s="504"/>
      <c r="I844" s="504"/>
      <c r="J844" s="504"/>
      <c r="K844" s="504"/>
      <c r="L844" s="504"/>
      <c r="M844" s="504"/>
      <c r="N844" s="504"/>
      <c r="O844" s="110"/>
      <c r="P844" s="109"/>
      <c r="Q844" s="504"/>
      <c r="R844" s="107"/>
      <c r="S844" s="503"/>
    </row>
    <row r="845" spans="1:19" ht="9.75" customHeight="1">
      <c r="A845" s="503"/>
      <c r="B845" s="503" t="s">
        <v>127</v>
      </c>
      <c r="C845" s="2"/>
      <c r="D845" s="3" t="s">
        <v>38</v>
      </c>
      <c r="E845" s="3">
        <f t="shared" ref="E845:O845" si="154">SUM(E829:E844)</f>
        <v>187</v>
      </c>
      <c r="F845" s="21">
        <f t="shared" si="154"/>
        <v>87</v>
      </c>
      <c r="G845" s="71">
        <f t="shared" si="154"/>
        <v>71</v>
      </c>
      <c r="H845" s="71">
        <f t="shared" si="154"/>
        <v>65</v>
      </c>
      <c r="I845" s="71">
        <f t="shared" si="154"/>
        <v>68</v>
      </c>
      <c r="J845" s="71">
        <f t="shared" si="154"/>
        <v>68</v>
      </c>
      <c r="K845" s="71">
        <f t="shared" si="154"/>
        <v>74</v>
      </c>
      <c r="L845" s="71">
        <f t="shared" si="154"/>
        <v>76</v>
      </c>
      <c r="M845" s="71">
        <f t="shared" si="154"/>
        <v>77</v>
      </c>
      <c r="N845" s="71">
        <f t="shared" si="154"/>
        <v>71</v>
      </c>
      <c r="O845" s="26">
        <f t="shared" si="154"/>
        <v>74</v>
      </c>
      <c r="P845" s="21">
        <f>MIN(F845:O845)</f>
        <v>65</v>
      </c>
      <c r="Q845" s="71">
        <f>E845-P845</f>
        <v>122</v>
      </c>
      <c r="R845" s="7">
        <f>Q845/E845</f>
        <v>0.65240641711229952</v>
      </c>
      <c r="S845" s="503"/>
    </row>
    <row r="846" spans="1:19" ht="9.75" customHeight="1">
      <c r="A846" s="503"/>
      <c r="B846" s="503"/>
      <c r="C846" s="419" t="s">
        <v>211</v>
      </c>
      <c r="D846" s="419" t="s">
        <v>23</v>
      </c>
      <c r="E846" s="419"/>
      <c r="F846" s="420"/>
      <c r="G846" s="421"/>
      <c r="H846" s="421"/>
      <c r="I846" s="421"/>
      <c r="J846" s="421"/>
      <c r="K846" s="421"/>
      <c r="L846" s="421"/>
      <c r="M846" s="421"/>
      <c r="N846" s="421"/>
      <c r="O846" s="422"/>
      <c r="P846" s="420"/>
      <c r="Q846" s="421"/>
      <c r="R846" s="423"/>
      <c r="S846" s="503"/>
    </row>
    <row r="847" spans="1:19" ht="9.75" customHeight="1">
      <c r="A847" s="503"/>
      <c r="B847" s="503"/>
      <c r="C847" s="424"/>
      <c r="D847" s="424" t="s">
        <v>25</v>
      </c>
      <c r="E847" s="424">
        <v>197</v>
      </c>
      <c r="F847" s="425"/>
      <c r="G847" s="426"/>
      <c r="H847" s="426"/>
      <c r="I847" s="426"/>
      <c r="J847" s="426"/>
      <c r="K847" s="426"/>
      <c r="L847" s="426"/>
      <c r="M847" s="426"/>
      <c r="N847" s="426"/>
      <c r="O847" s="427"/>
      <c r="P847" s="425">
        <f>MIN(F847:O847)</f>
        <v>0</v>
      </c>
      <c r="Q847" s="426">
        <f>E847-P847</f>
        <v>197</v>
      </c>
      <c r="R847" s="428">
        <f>Q847/E847</f>
        <v>1</v>
      </c>
      <c r="S847" s="503"/>
    </row>
    <row r="848" spans="1:19" ht="9.75" customHeight="1">
      <c r="A848" s="503"/>
      <c r="B848" s="503"/>
      <c r="C848" s="424"/>
      <c r="D848" s="424" t="s">
        <v>27</v>
      </c>
      <c r="E848" s="424"/>
      <c r="F848" s="425"/>
      <c r="G848" s="426"/>
      <c r="H848" s="426"/>
      <c r="I848" s="426"/>
      <c r="J848" s="426"/>
      <c r="K848" s="426"/>
      <c r="L848" s="426"/>
      <c r="M848" s="426"/>
      <c r="N848" s="426"/>
      <c r="O848" s="427"/>
      <c r="P848" s="425"/>
      <c r="Q848" s="426"/>
      <c r="R848" s="428"/>
      <c r="S848" s="503"/>
    </row>
    <row r="849" spans="1:19" ht="9.75" customHeight="1">
      <c r="A849" s="503"/>
      <c r="B849" s="503"/>
      <c r="C849" s="424"/>
      <c r="D849" s="424" t="s">
        <v>115</v>
      </c>
      <c r="E849" s="424"/>
      <c r="F849" s="425"/>
      <c r="G849" s="426"/>
      <c r="H849" s="426"/>
      <c r="I849" s="426"/>
      <c r="J849" s="426"/>
      <c r="K849" s="426"/>
      <c r="L849" s="426"/>
      <c r="M849" s="426"/>
      <c r="N849" s="426"/>
      <c r="O849" s="427"/>
      <c r="P849" s="425"/>
      <c r="Q849" s="426"/>
      <c r="R849" s="428"/>
      <c r="S849" s="503"/>
    </row>
    <row r="850" spans="1:19" ht="9.75" customHeight="1">
      <c r="A850" s="503"/>
      <c r="B850" s="503"/>
      <c r="C850" s="424"/>
      <c r="D850" s="424" t="s">
        <v>115</v>
      </c>
      <c r="E850" s="424"/>
      <c r="F850" s="425"/>
      <c r="G850" s="426"/>
      <c r="H850" s="426"/>
      <c r="I850" s="426"/>
      <c r="J850" s="426"/>
      <c r="K850" s="426"/>
      <c r="L850" s="426"/>
      <c r="M850" s="426"/>
      <c r="N850" s="426"/>
      <c r="O850" s="427"/>
      <c r="P850" s="425"/>
      <c r="Q850" s="426"/>
      <c r="R850" s="428"/>
      <c r="S850" s="503"/>
    </row>
    <row r="851" spans="1:19" ht="9.75" customHeight="1">
      <c r="A851" s="503"/>
      <c r="B851" s="503"/>
      <c r="C851" s="424"/>
      <c r="D851" s="424" t="s">
        <v>32</v>
      </c>
      <c r="E851" s="424"/>
      <c r="F851" s="425"/>
      <c r="G851" s="426"/>
      <c r="H851" s="426"/>
      <c r="I851" s="426"/>
      <c r="J851" s="426"/>
      <c r="K851" s="426"/>
      <c r="L851" s="426"/>
      <c r="M851" s="426"/>
      <c r="N851" s="426"/>
      <c r="O851" s="427"/>
      <c r="P851" s="425"/>
      <c r="Q851" s="426"/>
      <c r="R851" s="428"/>
      <c r="S851" s="503"/>
    </row>
    <row r="852" spans="1:19" ht="9.75" customHeight="1">
      <c r="A852" s="503"/>
      <c r="B852" s="503"/>
      <c r="C852" s="424"/>
      <c r="D852" s="424" t="s">
        <v>118</v>
      </c>
      <c r="E852" s="424"/>
      <c r="F852" s="425"/>
      <c r="G852" s="426"/>
      <c r="H852" s="426" t="s">
        <v>212</v>
      </c>
      <c r="I852" s="426"/>
      <c r="J852" s="426"/>
      <c r="K852" s="426"/>
      <c r="L852" s="426"/>
      <c r="M852" s="426"/>
      <c r="N852" s="426"/>
      <c r="O852" s="427"/>
      <c r="P852" s="425"/>
      <c r="Q852" s="426"/>
      <c r="R852" s="428"/>
      <c r="S852" s="503"/>
    </row>
    <row r="853" spans="1:19" ht="9.75" customHeight="1">
      <c r="A853" s="503"/>
      <c r="B853" s="503"/>
      <c r="C853" s="424"/>
      <c r="D853" s="424" t="s">
        <v>155</v>
      </c>
      <c r="E853" s="424">
        <v>15</v>
      </c>
      <c r="F853" s="429"/>
      <c r="G853" s="430"/>
      <c r="H853" s="430"/>
      <c r="I853" s="430"/>
      <c r="J853" s="430"/>
      <c r="K853" s="426"/>
      <c r="L853" s="426"/>
      <c r="M853" s="426"/>
      <c r="N853" s="426"/>
      <c r="O853" s="427"/>
      <c r="P853" s="431">
        <f>MIN(F853:O853)</f>
        <v>0</v>
      </c>
      <c r="Q853" s="432">
        <f>E853-P853</f>
        <v>15</v>
      </c>
      <c r="R853" s="428">
        <f>Q853/E853</f>
        <v>1</v>
      </c>
      <c r="S853" s="503"/>
    </row>
    <row r="854" spans="1:19" ht="9.75" customHeight="1">
      <c r="A854" s="503"/>
      <c r="B854" s="503"/>
      <c r="C854" s="424"/>
      <c r="D854" s="424" t="s">
        <v>120</v>
      </c>
      <c r="E854" s="424"/>
      <c r="F854" s="425"/>
      <c r="G854" s="426"/>
      <c r="H854" s="426"/>
      <c r="I854" s="426"/>
      <c r="J854" s="426"/>
      <c r="K854" s="426"/>
      <c r="L854" s="426"/>
      <c r="M854" s="426"/>
      <c r="N854" s="426"/>
      <c r="O854" s="427"/>
      <c r="P854" s="425"/>
      <c r="Q854" s="426"/>
      <c r="R854" s="428"/>
      <c r="S854" s="503"/>
    </row>
    <row r="855" spans="1:19" ht="9.75" customHeight="1">
      <c r="A855" s="503"/>
      <c r="B855" s="503"/>
      <c r="C855" s="424"/>
      <c r="D855" s="424" t="s">
        <v>120</v>
      </c>
      <c r="E855" s="424"/>
      <c r="F855" s="425"/>
      <c r="G855" s="426"/>
      <c r="H855" s="426"/>
      <c r="I855" s="426"/>
      <c r="J855" s="426"/>
      <c r="K855" s="426"/>
      <c r="L855" s="426"/>
      <c r="M855" s="426"/>
      <c r="N855" s="426"/>
      <c r="O855" s="427"/>
      <c r="P855" s="425"/>
      <c r="Q855" s="426"/>
      <c r="R855" s="428"/>
      <c r="S855" s="503"/>
    </row>
    <row r="856" spans="1:19" ht="9.75" customHeight="1">
      <c r="A856" s="503"/>
      <c r="B856" s="503"/>
      <c r="C856" s="424"/>
      <c r="D856" s="424" t="s">
        <v>120</v>
      </c>
      <c r="E856" s="424"/>
      <c r="F856" s="425"/>
      <c r="G856" s="426"/>
      <c r="H856" s="426"/>
      <c r="I856" s="426"/>
      <c r="J856" s="426"/>
      <c r="K856" s="426"/>
      <c r="L856" s="426"/>
      <c r="M856" s="426"/>
      <c r="N856" s="426"/>
      <c r="O856" s="427"/>
      <c r="P856" s="425"/>
      <c r="Q856" s="426"/>
      <c r="R856" s="428"/>
      <c r="S856" s="503"/>
    </row>
    <row r="857" spans="1:19" ht="9.75" customHeight="1">
      <c r="A857" s="503"/>
      <c r="B857" s="503"/>
      <c r="C857" s="424"/>
      <c r="D857" s="424" t="s">
        <v>120</v>
      </c>
      <c r="E857" s="424"/>
      <c r="F857" s="425"/>
      <c r="G857" s="426"/>
      <c r="H857" s="426"/>
      <c r="I857" s="426"/>
      <c r="J857" s="426"/>
      <c r="K857" s="426"/>
      <c r="L857" s="426"/>
      <c r="M857" s="426"/>
      <c r="N857" s="426"/>
      <c r="O857" s="427"/>
      <c r="P857" s="425"/>
      <c r="Q857" s="426"/>
      <c r="R857" s="428"/>
      <c r="S857" s="503"/>
    </row>
    <row r="858" spans="1:19" ht="9.75" customHeight="1">
      <c r="A858" s="503"/>
      <c r="B858" s="503"/>
      <c r="C858" s="424"/>
      <c r="D858" s="424" t="s">
        <v>34</v>
      </c>
      <c r="E858" s="424"/>
      <c r="F858" s="425"/>
      <c r="G858" s="426"/>
      <c r="H858" s="426"/>
      <c r="I858" s="426"/>
      <c r="J858" s="426"/>
      <c r="K858" s="426"/>
      <c r="L858" s="426"/>
      <c r="M858" s="426"/>
      <c r="N858" s="426"/>
      <c r="O858" s="427"/>
      <c r="P858" s="425"/>
      <c r="Q858" s="426"/>
      <c r="R858" s="428"/>
      <c r="S858" s="503"/>
    </row>
    <row r="859" spans="1:19" ht="9.75" customHeight="1">
      <c r="A859" s="503"/>
      <c r="B859" s="503"/>
      <c r="C859" s="424"/>
      <c r="D859" s="424" t="s">
        <v>35</v>
      </c>
      <c r="E859" s="424"/>
      <c r="F859" s="425"/>
      <c r="G859" s="426"/>
      <c r="H859" s="426"/>
      <c r="I859" s="426"/>
      <c r="J859" s="426"/>
      <c r="K859" s="426"/>
      <c r="L859" s="426"/>
      <c r="M859" s="426"/>
      <c r="N859" s="426"/>
      <c r="O859" s="427"/>
      <c r="P859" s="425"/>
      <c r="Q859" s="426"/>
      <c r="R859" s="428"/>
      <c r="S859" s="503"/>
    </row>
    <row r="860" spans="1:19" ht="9.75" customHeight="1">
      <c r="A860" s="503"/>
      <c r="B860" s="503"/>
      <c r="C860" s="424"/>
      <c r="D860" s="424" t="s">
        <v>36</v>
      </c>
      <c r="E860" s="424"/>
      <c r="F860" s="425"/>
      <c r="G860" s="426"/>
      <c r="H860" s="426"/>
      <c r="I860" s="426"/>
      <c r="J860" s="426"/>
      <c r="K860" s="426"/>
      <c r="L860" s="426"/>
      <c r="M860" s="426"/>
      <c r="N860" s="426"/>
      <c r="O860" s="427"/>
      <c r="P860" s="425"/>
      <c r="Q860" s="426"/>
      <c r="R860" s="428"/>
      <c r="S860" s="503"/>
    </row>
    <row r="861" spans="1:19" ht="9.75" customHeight="1">
      <c r="A861" s="503"/>
      <c r="B861" s="503"/>
      <c r="C861" s="424"/>
      <c r="D861" s="424" t="s">
        <v>37</v>
      </c>
      <c r="E861" s="424"/>
      <c r="F861" s="425"/>
      <c r="G861" s="426"/>
      <c r="H861" s="426"/>
      <c r="I861" s="426"/>
      <c r="J861" s="426"/>
      <c r="K861" s="426"/>
      <c r="L861" s="426"/>
      <c r="M861" s="426"/>
      <c r="N861" s="426"/>
      <c r="O861" s="427"/>
      <c r="P861" s="425"/>
      <c r="Q861" s="426"/>
      <c r="R861" s="428"/>
      <c r="S861" s="503"/>
    </row>
    <row r="862" spans="1:19" ht="9.75" customHeight="1">
      <c r="A862" s="503"/>
      <c r="B862" s="503" t="s">
        <v>127</v>
      </c>
      <c r="C862" s="433"/>
      <c r="D862" s="434" t="s">
        <v>38</v>
      </c>
      <c r="E862" s="434">
        <f t="shared" ref="E862:O862" si="155">SUM(E846:E861)</f>
        <v>212</v>
      </c>
      <c r="F862" s="435">
        <f t="shared" si="155"/>
        <v>0</v>
      </c>
      <c r="G862" s="436">
        <f t="shared" si="155"/>
        <v>0</v>
      </c>
      <c r="H862" s="436">
        <f t="shared" si="155"/>
        <v>0</v>
      </c>
      <c r="I862" s="436">
        <f t="shared" si="155"/>
        <v>0</v>
      </c>
      <c r="J862" s="436">
        <f t="shared" si="155"/>
        <v>0</v>
      </c>
      <c r="K862" s="436">
        <f t="shared" si="155"/>
        <v>0</v>
      </c>
      <c r="L862" s="436">
        <f t="shared" si="155"/>
        <v>0</v>
      </c>
      <c r="M862" s="436">
        <f t="shared" si="155"/>
        <v>0</v>
      </c>
      <c r="N862" s="436">
        <f t="shared" si="155"/>
        <v>0</v>
      </c>
      <c r="O862" s="437">
        <f t="shared" si="155"/>
        <v>0</v>
      </c>
      <c r="P862" s="435">
        <f>MIN(F862:O862)</f>
        <v>0</v>
      </c>
      <c r="Q862" s="436">
        <f>E862-P862</f>
        <v>212</v>
      </c>
      <c r="R862" s="438">
        <f>Q862/E862</f>
        <v>1</v>
      </c>
      <c r="S862" s="503"/>
    </row>
    <row r="863" spans="1:19" ht="9.75" customHeight="1">
      <c r="A863" s="503"/>
      <c r="B863" s="503"/>
      <c r="C863" s="419" t="s">
        <v>213</v>
      </c>
      <c r="D863" s="419" t="s">
        <v>23</v>
      </c>
      <c r="E863" s="419"/>
      <c r="F863" s="420"/>
      <c r="G863" s="421"/>
      <c r="H863" s="421"/>
      <c r="I863" s="421"/>
      <c r="J863" s="421"/>
      <c r="K863" s="421"/>
      <c r="L863" s="421"/>
      <c r="M863" s="421"/>
      <c r="N863" s="421"/>
      <c r="O863" s="422"/>
      <c r="P863" s="420"/>
      <c r="Q863" s="421"/>
      <c r="R863" s="423"/>
      <c r="S863" s="503"/>
    </row>
    <row r="864" spans="1:19" ht="9.75" customHeight="1">
      <c r="A864" s="503"/>
      <c r="B864" s="503"/>
      <c r="C864" s="424"/>
      <c r="D864" s="424" t="s">
        <v>25</v>
      </c>
      <c r="E864" s="424">
        <v>209</v>
      </c>
      <c r="F864" s="425"/>
      <c r="G864" s="426"/>
      <c r="H864" s="426"/>
      <c r="I864" s="426"/>
      <c r="J864" s="426"/>
      <c r="K864" s="426"/>
      <c r="L864" s="426"/>
      <c r="M864" s="426"/>
      <c r="N864" s="426"/>
      <c r="O864" s="427"/>
      <c r="P864" s="425">
        <f>MIN(F864:O864)</f>
        <v>0</v>
      </c>
      <c r="Q864" s="426">
        <f>E864-P864</f>
        <v>209</v>
      </c>
      <c r="R864" s="428">
        <f>Q864/E864</f>
        <v>1</v>
      </c>
      <c r="S864" s="503"/>
    </row>
    <row r="865" spans="1:19" ht="9.75" customHeight="1">
      <c r="A865" s="503"/>
      <c r="B865" s="503"/>
      <c r="C865" s="424"/>
      <c r="D865" s="424" t="s">
        <v>27</v>
      </c>
      <c r="E865" s="424"/>
      <c r="F865" s="425"/>
      <c r="G865" s="426"/>
      <c r="H865" s="426"/>
      <c r="I865" s="426"/>
      <c r="J865" s="426"/>
      <c r="K865" s="426"/>
      <c r="L865" s="426"/>
      <c r="M865" s="426"/>
      <c r="N865" s="426"/>
      <c r="O865" s="427"/>
      <c r="P865" s="425"/>
      <c r="Q865" s="426"/>
      <c r="R865" s="428"/>
      <c r="S865" s="503"/>
    </row>
    <row r="866" spans="1:19" ht="9.75" customHeight="1">
      <c r="A866" s="503"/>
      <c r="B866" s="503"/>
      <c r="C866" s="424"/>
      <c r="D866" s="424" t="s">
        <v>115</v>
      </c>
      <c r="E866" s="424"/>
      <c r="F866" s="425"/>
      <c r="G866" s="426"/>
      <c r="H866" s="426"/>
      <c r="I866" s="426"/>
      <c r="J866" s="426"/>
      <c r="K866" s="426"/>
      <c r="L866" s="426"/>
      <c r="M866" s="426"/>
      <c r="N866" s="426"/>
      <c r="O866" s="427"/>
      <c r="P866" s="425"/>
      <c r="Q866" s="426"/>
      <c r="R866" s="428"/>
      <c r="S866" s="503"/>
    </row>
    <row r="867" spans="1:19" ht="9.75" customHeight="1">
      <c r="A867" s="503"/>
      <c r="B867" s="503"/>
      <c r="C867" s="424"/>
      <c r="D867" s="424" t="s">
        <v>115</v>
      </c>
      <c r="E867" s="424"/>
      <c r="F867" s="425"/>
      <c r="G867" s="426"/>
      <c r="H867" s="426"/>
      <c r="I867" s="426"/>
      <c r="J867" s="426"/>
      <c r="K867" s="426"/>
      <c r="L867" s="426"/>
      <c r="M867" s="426"/>
      <c r="N867" s="442"/>
      <c r="O867" s="427"/>
      <c r="P867" s="425"/>
      <c r="Q867" s="426"/>
      <c r="R867" s="428"/>
      <c r="S867" s="503"/>
    </row>
    <row r="868" spans="1:19" ht="9.75" customHeight="1">
      <c r="A868" s="503"/>
      <c r="B868" s="503"/>
      <c r="C868" s="424"/>
      <c r="D868" s="424" t="s">
        <v>32</v>
      </c>
      <c r="E868" s="424"/>
      <c r="F868" s="425"/>
      <c r="G868" s="426" t="s">
        <v>212</v>
      </c>
      <c r="H868" s="426"/>
      <c r="I868" s="426"/>
      <c r="J868" s="426"/>
      <c r="K868" s="426"/>
      <c r="L868" s="426"/>
      <c r="M868" s="442"/>
      <c r="N868" s="442"/>
      <c r="O868" s="427"/>
      <c r="P868" s="425"/>
      <c r="Q868" s="426"/>
      <c r="R868" s="428"/>
      <c r="S868" s="503"/>
    </row>
    <row r="869" spans="1:19" ht="9.75" customHeight="1">
      <c r="A869" s="503"/>
      <c r="B869" s="503"/>
      <c r="C869" s="424"/>
      <c r="D869" s="424" t="s">
        <v>120</v>
      </c>
      <c r="E869" s="424"/>
      <c r="F869" s="425"/>
      <c r="G869" s="426"/>
      <c r="H869" s="426"/>
      <c r="I869" s="426"/>
      <c r="J869" s="426"/>
      <c r="K869" s="426"/>
      <c r="L869" s="426"/>
      <c r="M869" s="426"/>
      <c r="N869" s="442"/>
      <c r="O869" s="427"/>
      <c r="P869" s="425"/>
      <c r="Q869" s="426"/>
      <c r="R869" s="428"/>
      <c r="S869" s="503"/>
    </row>
    <row r="870" spans="1:19" ht="9.75" customHeight="1">
      <c r="A870" s="503"/>
      <c r="B870" s="503"/>
      <c r="C870" s="424"/>
      <c r="D870" s="424" t="s">
        <v>120</v>
      </c>
      <c r="E870" s="424"/>
      <c r="F870" s="425"/>
      <c r="G870" s="426"/>
      <c r="H870" s="426"/>
      <c r="I870" s="426"/>
      <c r="J870" s="426"/>
      <c r="K870" s="426"/>
      <c r="L870" s="426"/>
      <c r="M870" s="426"/>
      <c r="N870" s="426"/>
      <c r="O870" s="427"/>
      <c r="P870" s="425"/>
      <c r="Q870" s="426"/>
      <c r="R870" s="428"/>
      <c r="S870" s="503"/>
    </row>
    <row r="871" spans="1:19" ht="9.75" customHeight="1">
      <c r="A871" s="503"/>
      <c r="B871" s="503"/>
      <c r="C871" s="424"/>
      <c r="D871" s="424" t="s">
        <v>120</v>
      </c>
      <c r="E871" s="424"/>
      <c r="F871" s="425"/>
      <c r="G871" s="426"/>
      <c r="H871" s="426"/>
      <c r="I871" s="426"/>
      <c r="J871" s="426"/>
      <c r="K871" s="426"/>
      <c r="L871" s="426"/>
      <c r="M871" s="426"/>
      <c r="N871" s="426"/>
      <c r="O871" s="427"/>
      <c r="P871" s="425"/>
      <c r="Q871" s="426"/>
      <c r="R871" s="428"/>
      <c r="S871" s="503"/>
    </row>
    <row r="872" spans="1:19" ht="9.75" customHeight="1">
      <c r="A872" s="503"/>
      <c r="B872" s="503"/>
      <c r="C872" s="424"/>
      <c r="D872" s="424" t="s">
        <v>120</v>
      </c>
      <c r="E872" s="424"/>
      <c r="F872" s="425"/>
      <c r="G872" s="426"/>
      <c r="H872" s="426"/>
      <c r="I872" s="426"/>
      <c r="J872" s="426"/>
      <c r="K872" s="426"/>
      <c r="L872" s="426"/>
      <c r="M872" s="426"/>
      <c r="N872" s="426"/>
      <c r="O872" s="427"/>
      <c r="P872" s="425"/>
      <c r="Q872" s="426"/>
      <c r="R872" s="428"/>
      <c r="S872" s="503"/>
    </row>
    <row r="873" spans="1:19" ht="9.75" customHeight="1">
      <c r="A873" s="503"/>
      <c r="B873" s="503"/>
      <c r="C873" s="424"/>
      <c r="D873" s="424" t="s">
        <v>120</v>
      </c>
      <c r="E873" s="424"/>
      <c r="F873" s="425"/>
      <c r="G873" s="426"/>
      <c r="H873" s="426"/>
      <c r="I873" s="426"/>
      <c r="J873" s="426"/>
      <c r="K873" s="426"/>
      <c r="L873" s="426"/>
      <c r="M873" s="426"/>
      <c r="N873" s="426"/>
      <c r="O873" s="427"/>
      <c r="P873" s="425"/>
      <c r="Q873" s="426"/>
      <c r="R873" s="428"/>
      <c r="S873" s="503"/>
    </row>
    <row r="874" spans="1:19" ht="9.75" customHeight="1">
      <c r="A874" s="503"/>
      <c r="B874" s="503"/>
      <c r="C874" s="424"/>
      <c r="D874" s="424" t="s">
        <v>120</v>
      </c>
      <c r="E874" s="424"/>
      <c r="F874" s="425"/>
      <c r="G874" s="426"/>
      <c r="H874" s="426"/>
      <c r="I874" s="426"/>
      <c r="J874" s="426"/>
      <c r="K874" s="426"/>
      <c r="L874" s="426"/>
      <c r="M874" s="426"/>
      <c r="N874" s="426"/>
      <c r="O874" s="427"/>
      <c r="P874" s="425"/>
      <c r="Q874" s="426"/>
      <c r="R874" s="428"/>
      <c r="S874" s="503"/>
    </row>
    <row r="875" spans="1:19" ht="9.75" customHeight="1">
      <c r="A875" s="503"/>
      <c r="B875" s="503"/>
      <c r="C875" s="424"/>
      <c r="D875" s="424" t="s">
        <v>34</v>
      </c>
      <c r="E875" s="424"/>
      <c r="F875" s="425"/>
      <c r="G875" s="426"/>
      <c r="H875" s="426"/>
      <c r="I875" s="426"/>
      <c r="J875" s="426"/>
      <c r="K875" s="426"/>
      <c r="L875" s="426"/>
      <c r="M875" s="426"/>
      <c r="N875" s="426"/>
      <c r="O875" s="427"/>
      <c r="P875" s="425"/>
      <c r="Q875" s="426"/>
      <c r="R875" s="428"/>
      <c r="S875" s="503"/>
    </row>
    <row r="876" spans="1:19" ht="9.75" customHeight="1">
      <c r="A876" s="503"/>
      <c r="B876" s="503"/>
      <c r="C876" s="424"/>
      <c r="D876" s="424" t="s">
        <v>35</v>
      </c>
      <c r="E876" s="424"/>
      <c r="F876" s="425"/>
      <c r="G876" s="426"/>
      <c r="H876" s="426"/>
      <c r="I876" s="426"/>
      <c r="J876" s="426"/>
      <c r="K876" s="426"/>
      <c r="L876" s="426"/>
      <c r="M876" s="426"/>
      <c r="N876" s="426"/>
      <c r="O876" s="427"/>
      <c r="P876" s="425"/>
      <c r="Q876" s="426"/>
      <c r="R876" s="428"/>
      <c r="S876" s="503"/>
    </row>
    <row r="877" spans="1:19" ht="9.75" customHeight="1">
      <c r="A877" s="503"/>
      <c r="B877" s="503"/>
      <c r="C877" s="424"/>
      <c r="D877" s="424" t="s">
        <v>36</v>
      </c>
      <c r="E877" s="424"/>
      <c r="F877" s="425"/>
      <c r="G877" s="426"/>
      <c r="H877" s="426"/>
      <c r="I877" s="426"/>
      <c r="J877" s="426"/>
      <c r="K877" s="426"/>
      <c r="L877" s="426"/>
      <c r="M877" s="426"/>
      <c r="N877" s="426"/>
      <c r="O877" s="427"/>
      <c r="P877" s="425"/>
      <c r="Q877" s="426"/>
      <c r="R877" s="428"/>
      <c r="S877" s="503"/>
    </row>
    <row r="878" spans="1:19" ht="9.75" customHeight="1">
      <c r="A878" s="503"/>
      <c r="B878" s="503"/>
      <c r="C878" s="424"/>
      <c r="D878" s="424" t="s">
        <v>37</v>
      </c>
      <c r="E878" s="424"/>
      <c r="F878" s="425"/>
      <c r="G878" s="426"/>
      <c r="H878" s="426"/>
      <c r="I878" s="426"/>
      <c r="J878" s="426"/>
      <c r="K878" s="426"/>
      <c r="L878" s="426"/>
      <c r="M878" s="426"/>
      <c r="N878" s="426"/>
      <c r="O878" s="427"/>
      <c r="P878" s="425"/>
      <c r="Q878" s="426"/>
      <c r="R878" s="428"/>
      <c r="S878" s="503"/>
    </row>
    <row r="879" spans="1:19" ht="9.75" customHeight="1">
      <c r="A879" s="503"/>
      <c r="B879" s="503" t="s">
        <v>127</v>
      </c>
      <c r="C879" s="433"/>
      <c r="D879" s="434" t="s">
        <v>38</v>
      </c>
      <c r="E879" s="434">
        <f t="shared" ref="E879:O879" si="156">SUM(E863:E878)</f>
        <v>209</v>
      </c>
      <c r="F879" s="435">
        <f t="shared" si="156"/>
        <v>0</v>
      </c>
      <c r="G879" s="436">
        <f t="shared" si="156"/>
        <v>0</v>
      </c>
      <c r="H879" s="436">
        <f t="shared" si="156"/>
        <v>0</v>
      </c>
      <c r="I879" s="436">
        <f t="shared" si="156"/>
        <v>0</v>
      </c>
      <c r="J879" s="436">
        <f t="shared" si="156"/>
        <v>0</v>
      </c>
      <c r="K879" s="436">
        <f t="shared" si="156"/>
        <v>0</v>
      </c>
      <c r="L879" s="436">
        <f t="shared" si="156"/>
        <v>0</v>
      </c>
      <c r="M879" s="436">
        <f t="shared" si="156"/>
        <v>0</v>
      </c>
      <c r="N879" s="436">
        <f t="shared" si="156"/>
        <v>0</v>
      </c>
      <c r="O879" s="437">
        <f t="shared" si="156"/>
        <v>0</v>
      </c>
      <c r="P879" s="435">
        <f>MIN(F879:O879)</f>
        <v>0</v>
      </c>
      <c r="Q879" s="436">
        <f>E879-P879</f>
        <v>209</v>
      </c>
      <c r="R879" s="438">
        <f>Q879/E879</f>
        <v>1</v>
      </c>
      <c r="S879" s="503"/>
    </row>
    <row r="880" spans="1:19" ht="9.75" customHeight="1">
      <c r="A880" s="503"/>
      <c r="B880" s="503"/>
      <c r="C880" s="419" t="s">
        <v>214</v>
      </c>
      <c r="D880" s="419" t="s">
        <v>23</v>
      </c>
      <c r="E880" s="419"/>
      <c r="F880" s="420"/>
      <c r="G880" s="421"/>
      <c r="H880" s="421"/>
      <c r="I880" s="421"/>
      <c r="J880" s="421"/>
      <c r="K880" s="421"/>
      <c r="L880" s="421"/>
      <c r="M880" s="421"/>
      <c r="N880" s="421"/>
      <c r="O880" s="422"/>
      <c r="P880" s="420"/>
      <c r="Q880" s="421"/>
      <c r="R880" s="423"/>
      <c r="S880" s="503"/>
    </row>
    <row r="881" spans="1:19" ht="9.75" customHeight="1">
      <c r="A881" s="503"/>
      <c r="B881" s="503"/>
      <c r="C881" s="424"/>
      <c r="D881" s="424" t="s">
        <v>25</v>
      </c>
      <c r="E881" s="424">
        <v>197</v>
      </c>
      <c r="F881" s="425"/>
      <c r="G881" s="426"/>
      <c r="H881" s="426"/>
      <c r="I881" s="426"/>
      <c r="J881" s="426"/>
      <c r="K881" s="430"/>
      <c r="L881" s="430"/>
      <c r="M881" s="430"/>
      <c r="N881" s="430"/>
      <c r="O881" s="439"/>
      <c r="P881" s="425">
        <f>MIN(F881:O881)</f>
        <v>0</v>
      </c>
      <c r="Q881" s="426">
        <f>E881-P881</f>
        <v>197</v>
      </c>
      <c r="R881" s="428">
        <f>Q881/E881</f>
        <v>1</v>
      </c>
      <c r="S881" s="503"/>
    </row>
    <row r="882" spans="1:19" ht="9.75" customHeight="1">
      <c r="A882" s="503"/>
      <c r="B882" s="503"/>
      <c r="C882" s="424"/>
      <c r="D882" s="424" t="s">
        <v>27</v>
      </c>
      <c r="E882" s="424"/>
      <c r="F882" s="425"/>
      <c r="G882" s="426"/>
      <c r="H882" s="426"/>
      <c r="I882" s="426"/>
      <c r="J882" s="426"/>
      <c r="K882" s="440"/>
      <c r="L882" s="440"/>
      <c r="M882" s="440"/>
      <c r="N882" s="440"/>
      <c r="O882" s="441"/>
      <c r="P882" s="425"/>
      <c r="Q882" s="426"/>
      <c r="R882" s="428"/>
      <c r="S882" s="503"/>
    </row>
    <row r="883" spans="1:19" ht="9.75" customHeight="1">
      <c r="A883" s="503"/>
      <c r="B883" s="503"/>
      <c r="C883" s="424"/>
      <c r="D883" s="424" t="s">
        <v>115</v>
      </c>
      <c r="E883" s="424"/>
      <c r="F883" s="425"/>
      <c r="G883" s="426"/>
      <c r="H883" s="426"/>
      <c r="I883" s="426"/>
      <c r="J883" s="426"/>
      <c r="K883" s="440"/>
      <c r="L883" s="440"/>
      <c r="M883" s="440"/>
      <c r="N883" s="440"/>
      <c r="O883" s="441"/>
      <c r="P883" s="425"/>
      <c r="Q883" s="426"/>
      <c r="R883" s="428"/>
      <c r="S883" s="503"/>
    </row>
    <row r="884" spans="1:19" ht="9.75" customHeight="1">
      <c r="A884" s="503"/>
      <c r="B884" s="503"/>
      <c r="C884" s="424"/>
      <c r="D884" s="424" t="s">
        <v>115</v>
      </c>
      <c r="E884" s="424"/>
      <c r="F884" s="425"/>
      <c r="G884" s="426"/>
      <c r="H884" s="426"/>
      <c r="I884" s="426"/>
      <c r="J884" s="426"/>
      <c r="K884" s="440"/>
      <c r="L884" s="440"/>
      <c r="M884" s="440"/>
      <c r="N884" s="440"/>
      <c r="O884" s="441"/>
      <c r="P884" s="425"/>
      <c r="Q884" s="426"/>
      <c r="R884" s="428"/>
      <c r="S884" s="503"/>
    </row>
    <row r="885" spans="1:19" ht="9.75" customHeight="1">
      <c r="A885" s="503"/>
      <c r="B885" s="503"/>
      <c r="C885" s="424"/>
      <c r="D885" s="424" t="s">
        <v>32</v>
      </c>
      <c r="E885" s="424"/>
      <c r="F885" s="425"/>
      <c r="G885" s="426"/>
      <c r="H885" s="426"/>
      <c r="I885" s="426"/>
      <c r="J885" s="426"/>
      <c r="K885" s="440"/>
      <c r="L885" s="440"/>
      <c r="M885" s="440"/>
      <c r="N885" s="443"/>
      <c r="O885" s="441"/>
      <c r="P885" s="425"/>
      <c r="Q885" s="426"/>
      <c r="R885" s="428"/>
      <c r="S885" s="503"/>
    </row>
    <row r="886" spans="1:19" ht="9.75" customHeight="1">
      <c r="A886" s="503"/>
      <c r="B886" s="503"/>
      <c r="C886" s="424"/>
      <c r="D886" s="424" t="s">
        <v>155</v>
      </c>
      <c r="E886" s="424">
        <v>12</v>
      </c>
      <c r="F886" s="425"/>
      <c r="G886" s="426" t="s">
        <v>212</v>
      </c>
      <c r="H886" s="426"/>
      <c r="I886" s="426"/>
      <c r="J886" s="426"/>
      <c r="K886" s="426"/>
      <c r="L886" s="426"/>
      <c r="M886" s="442"/>
      <c r="N886" s="442"/>
      <c r="O886" s="439"/>
      <c r="P886" s="425">
        <f>MIN(F886:O886)</f>
        <v>0</v>
      </c>
      <c r="Q886" s="426">
        <f>E886-P886</f>
        <v>12</v>
      </c>
      <c r="R886" s="428">
        <f>Q886/E886</f>
        <v>1</v>
      </c>
      <c r="S886" s="503"/>
    </row>
    <row r="887" spans="1:19" ht="9.75" customHeight="1">
      <c r="A887" s="503"/>
      <c r="B887" s="503"/>
      <c r="C887" s="424"/>
      <c r="D887" s="424" t="s">
        <v>120</v>
      </c>
      <c r="E887" s="424"/>
      <c r="F887" s="425"/>
      <c r="G887" s="426"/>
      <c r="H887" s="426"/>
      <c r="I887" s="426"/>
      <c r="J887" s="426"/>
      <c r="K887" s="440"/>
      <c r="L887" s="440"/>
      <c r="M887" s="440"/>
      <c r="N887" s="443"/>
      <c r="O887" s="441"/>
      <c r="P887" s="425"/>
      <c r="Q887" s="426"/>
      <c r="R887" s="428"/>
      <c r="S887" s="503"/>
    </row>
    <row r="888" spans="1:19" ht="9.75" customHeight="1">
      <c r="A888" s="503"/>
      <c r="B888" s="503"/>
      <c r="C888" s="424"/>
      <c r="D888" s="424" t="s">
        <v>120</v>
      </c>
      <c r="E888" s="424"/>
      <c r="F888" s="425"/>
      <c r="G888" s="426"/>
      <c r="H888" s="426"/>
      <c r="I888" s="426"/>
      <c r="J888" s="426"/>
      <c r="K888" s="440"/>
      <c r="L888" s="440"/>
      <c r="M888" s="440"/>
      <c r="N888" s="440"/>
      <c r="O888" s="441"/>
      <c r="P888" s="425"/>
      <c r="Q888" s="426"/>
      <c r="R888" s="428"/>
      <c r="S888" s="503"/>
    </row>
    <row r="889" spans="1:19" ht="9.75" customHeight="1">
      <c r="A889" s="503"/>
      <c r="B889" s="503"/>
      <c r="C889" s="424"/>
      <c r="D889" s="424" t="s">
        <v>120</v>
      </c>
      <c r="E889" s="424"/>
      <c r="F889" s="425"/>
      <c r="G889" s="426"/>
      <c r="H889" s="426"/>
      <c r="I889" s="426"/>
      <c r="J889" s="426"/>
      <c r="K889" s="440"/>
      <c r="L889" s="440"/>
      <c r="M889" s="440"/>
      <c r="N889" s="440"/>
      <c r="O889" s="441"/>
      <c r="P889" s="425"/>
      <c r="Q889" s="426"/>
      <c r="R889" s="428"/>
      <c r="S889" s="503"/>
    </row>
    <row r="890" spans="1:19" ht="9.75" customHeight="1">
      <c r="A890" s="503"/>
      <c r="B890" s="503"/>
      <c r="C890" s="424"/>
      <c r="D890" s="424" t="s">
        <v>120</v>
      </c>
      <c r="E890" s="424"/>
      <c r="F890" s="425"/>
      <c r="G890" s="426"/>
      <c r="H890" s="426"/>
      <c r="I890" s="426"/>
      <c r="J890" s="426"/>
      <c r="K890" s="440"/>
      <c r="L890" s="440"/>
      <c r="M890" s="440"/>
      <c r="N890" s="440"/>
      <c r="O890" s="441"/>
      <c r="P890" s="425"/>
      <c r="Q890" s="426"/>
      <c r="R890" s="428"/>
      <c r="S890" s="503"/>
    </row>
    <row r="891" spans="1:19" ht="9.75" customHeight="1">
      <c r="A891" s="503"/>
      <c r="B891" s="503"/>
      <c r="C891" s="424"/>
      <c r="D891" s="424" t="s">
        <v>120</v>
      </c>
      <c r="E891" s="424"/>
      <c r="F891" s="425"/>
      <c r="G891" s="426"/>
      <c r="H891" s="426"/>
      <c r="I891" s="426"/>
      <c r="J891" s="426"/>
      <c r="K891" s="440"/>
      <c r="L891" s="440"/>
      <c r="M891" s="440"/>
      <c r="N891" s="440"/>
      <c r="O891" s="441"/>
      <c r="P891" s="425"/>
      <c r="Q891" s="426"/>
      <c r="R891" s="428"/>
      <c r="S891" s="503"/>
    </row>
    <row r="892" spans="1:19" ht="9.75" customHeight="1">
      <c r="A892" s="503"/>
      <c r="B892" s="503"/>
      <c r="C892" s="424"/>
      <c r="D892" s="424" t="s">
        <v>34</v>
      </c>
      <c r="E892" s="424">
        <v>1</v>
      </c>
      <c r="F892" s="425"/>
      <c r="G892" s="426"/>
      <c r="H892" s="426"/>
      <c r="I892" s="426"/>
      <c r="J892" s="426"/>
      <c r="K892" s="430"/>
      <c r="L892" s="430"/>
      <c r="M892" s="430"/>
      <c r="N892" s="430"/>
      <c r="O892" s="439"/>
      <c r="P892" s="425">
        <f>MIN(F892:O892)</f>
        <v>0</v>
      </c>
      <c r="Q892" s="426">
        <f>E892-P892</f>
        <v>1</v>
      </c>
      <c r="R892" s="428">
        <f>Q892/E892</f>
        <v>1</v>
      </c>
      <c r="S892" s="503"/>
    </row>
    <row r="893" spans="1:19" ht="9.75" customHeight="1">
      <c r="A893" s="503"/>
      <c r="B893" s="503"/>
      <c r="C893" s="424"/>
      <c r="D893" s="424" t="s">
        <v>35</v>
      </c>
      <c r="E893" s="424"/>
      <c r="F893" s="425"/>
      <c r="G893" s="426"/>
      <c r="H893" s="426"/>
      <c r="I893" s="426"/>
      <c r="J893" s="426"/>
      <c r="K893" s="426"/>
      <c r="L893" s="426"/>
      <c r="M893" s="426"/>
      <c r="N893" s="426"/>
      <c r="O893" s="427"/>
      <c r="P893" s="425"/>
      <c r="Q893" s="426"/>
      <c r="R893" s="428"/>
      <c r="S893" s="503"/>
    </row>
    <row r="894" spans="1:19" ht="9.75" customHeight="1">
      <c r="A894" s="503"/>
      <c r="B894" s="503"/>
      <c r="C894" s="424"/>
      <c r="D894" s="424" t="s">
        <v>36</v>
      </c>
      <c r="E894" s="424"/>
      <c r="F894" s="425"/>
      <c r="G894" s="426"/>
      <c r="H894" s="426"/>
      <c r="I894" s="426"/>
      <c r="J894" s="426"/>
      <c r="K894" s="426"/>
      <c r="L894" s="426"/>
      <c r="M894" s="426"/>
      <c r="N894" s="426"/>
      <c r="O894" s="427"/>
      <c r="P894" s="425"/>
      <c r="Q894" s="426"/>
      <c r="R894" s="428"/>
      <c r="S894" s="503"/>
    </row>
    <row r="895" spans="1:19" ht="9.75" customHeight="1">
      <c r="A895" s="503"/>
      <c r="B895" s="503"/>
      <c r="C895" s="424"/>
      <c r="D895" s="424" t="s">
        <v>37</v>
      </c>
      <c r="E895" s="424"/>
      <c r="F895" s="425"/>
      <c r="G895" s="426"/>
      <c r="H895" s="426"/>
      <c r="I895" s="426"/>
      <c r="J895" s="426"/>
      <c r="K895" s="426"/>
      <c r="L895" s="426"/>
      <c r="M895" s="426"/>
      <c r="N895" s="426"/>
      <c r="O895" s="427"/>
      <c r="P895" s="425"/>
      <c r="Q895" s="426"/>
      <c r="R895" s="428"/>
      <c r="S895" s="503"/>
    </row>
    <row r="896" spans="1:19" ht="9.75" customHeight="1">
      <c r="A896" s="503"/>
      <c r="B896" s="503" t="s">
        <v>127</v>
      </c>
      <c r="C896" s="433"/>
      <c r="D896" s="434" t="s">
        <v>38</v>
      </c>
      <c r="E896" s="434">
        <f t="shared" ref="E896:O896" si="157">SUM(E880:E895)</f>
        <v>210</v>
      </c>
      <c r="F896" s="435">
        <f t="shared" si="157"/>
        <v>0</v>
      </c>
      <c r="G896" s="436">
        <f t="shared" si="157"/>
        <v>0</v>
      </c>
      <c r="H896" s="436">
        <f t="shared" si="157"/>
        <v>0</v>
      </c>
      <c r="I896" s="436">
        <f t="shared" si="157"/>
        <v>0</v>
      </c>
      <c r="J896" s="436">
        <f t="shared" si="157"/>
        <v>0</v>
      </c>
      <c r="K896" s="436">
        <f t="shared" si="157"/>
        <v>0</v>
      </c>
      <c r="L896" s="436">
        <f t="shared" si="157"/>
        <v>0</v>
      </c>
      <c r="M896" s="436">
        <f t="shared" si="157"/>
        <v>0</v>
      </c>
      <c r="N896" s="436">
        <f t="shared" si="157"/>
        <v>0</v>
      </c>
      <c r="O896" s="437">
        <f t="shared" si="157"/>
        <v>0</v>
      </c>
      <c r="P896" s="435">
        <f t="shared" ref="P896:P897" si="158">MIN(F896:O896)</f>
        <v>0</v>
      </c>
      <c r="Q896" s="436">
        <f t="shared" ref="Q896:Q897" si="159">E896-P896</f>
        <v>210</v>
      </c>
      <c r="R896" s="438">
        <f t="shared" ref="R896:R897" si="160">Q896/E896</f>
        <v>1</v>
      </c>
      <c r="S896" s="503"/>
    </row>
    <row r="897" spans="1:19" ht="9.75" customHeight="1">
      <c r="A897" s="503"/>
      <c r="B897" s="503"/>
      <c r="C897" s="419" t="s">
        <v>215</v>
      </c>
      <c r="D897" s="419" t="s">
        <v>23</v>
      </c>
      <c r="E897" s="424">
        <v>175</v>
      </c>
      <c r="F897" s="425"/>
      <c r="G897" s="426"/>
      <c r="H897" s="426"/>
      <c r="I897" s="426"/>
      <c r="J897" s="426"/>
      <c r="K897" s="426"/>
      <c r="L897" s="426"/>
      <c r="M897" s="426"/>
      <c r="N897" s="426"/>
      <c r="O897" s="427"/>
      <c r="P897" s="425">
        <f t="shared" si="158"/>
        <v>0</v>
      </c>
      <c r="Q897" s="426">
        <f t="shared" si="159"/>
        <v>175</v>
      </c>
      <c r="R897" s="428">
        <f t="shared" si="160"/>
        <v>1</v>
      </c>
      <c r="S897" s="503"/>
    </row>
    <row r="898" spans="1:19" ht="9.75" customHeight="1">
      <c r="A898" s="503"/>
      <c r="B898" s="503"/>
      <c r="C898" s="424"/>
      <c r="D898" s="424" t="s">
        <v>25</v>
      </c>
      <c r="E898" s="424"/>
      <c r="F898" s="425"/>
      <c r="G898" s="426"/>
      <c r="H898" s="426"/>
      <c r="I898" s="426"/>
      <c r="J898" s="426"/>
      <c r="K898" s="426"/>
      <c r="L898" s="426"/>
      <c r="M898" s="426"/>
      <c r="N898" s="426"/>
      <c r="O898" s="427"/>
      <c r="P898" s="425"/>
      <c r="Q898" s="426"/>
      <c r="R898" s="428"/>
      <c r="S898" s="503"/>
    </row>
    <row r="899" spans="1:19" ht="9.75" customHeight="1">
      <c r="A899" s="503"/>
      <c r="B899" s="503"/>
      <c r="C899" s="424"/>
      <c r="D899" s="424" t="s">
        <v>27</v>
      </c>
      <c r="E899" s="424"/>
      <c r="F899" s="425"/>
      <c r="G899" s="426"/>
      <c r="H899" s="426"/>
      <c r="I899" s="426"/>
      <c r="J899" s="426"/>
      <c r="K899" s="426"/>
      <c r="L899" s="426"/>
      <c r="M899" s="426"/>
      <c r="N899" s="426"/>
      <c r="O899" s="427"/>
      <c r="P899" s="425"/>
      <c r="Q899" s="426"/>
      <c r="R899" s="428"/>
      <c r="S899" s="503"/>
    </row>
    <row r="900" spans="1:19" ht="9.75" customHeight="1">
      <c r="A900" s="503"/>
      <c r="B900" s="503"/>
      <c r="C900" s="424"/>
      <c r="D900" s="424" t="s">
        <v>115</v>
      </c>
      <c r="E900" s="424"/>
      <c r="F900" s="425"/>
      <c r="G900" s="426"/>
      <c r="H900" s="426"/>
      <c r="I900" s="426"/>
      <c r="J900" s="426"/>
      <c r="K900" s="426"/>
      <c r="L900" s="426"/>
      <c r="M900" s="426"/>
      <c r="N900" s="442"/>
      <c r="O900" s="427"/>
      <c r="P900" s="425"/>
      <c r="Q900" s="426"/>
      <c r="R900" s="428"/>
      <c r="S900" s="503"/>
    </row>
    <row r="901" spans="1:19" ht="9.75" customHeight="1">
      <c r="A901" s="503"/>
      <c r="B901" s="503"/>
      <c r="C901" s="424"/>
      <c r="D901" s="424" t="s">
        <v>115</v>
      </c>
      <c r="E901" s="424"/>
      <c r="F901" s="425"/>
      <c r="G901" s="426" t="s">
        <v>212</v>
      </c>
      <c r="H901" s="426"/>
      <c r="I901" s="426"/>
      <c r="J901" s="426"/>
      <c r="K901" s="426"/>
      <c r="L901" s="426"/>
      <c r="M901" s="442"/>
      <c r="N901" s="442"/>
      <c r="O901" s="427"/>
      <c r="P901" s="425"/>
      <c r="Q901" s="426"/>
      <c r="R901" s="428"/>
      <c r="S901" s="503"/>
    </row>
    <row r="902" spans="1:19" ht="9.75" customHeight="1">
      <c r="A902" s="503"/>
      <c r="B902" s="503"/>
      <c r="C902" s="424"/>
      <c r="D902" s="424" t="s">
        <v>32</v>
      </c>
      <c r="E902" s="424"/>
      <c r="F902" s="425"/>
      <c r="G902" s="426"/>
      <c r="H902" s="426"/>
      <c r="I902" s="426"/>
      <c r="J902" s="426"/>
      <c r="K902" s="426"/>
      <c r="L902" s="426"/>
      <c r="M902" s="426"/>
      <c r="N902" s="442"/>
      <c r="O902" s="427"/>
      <c r="P902" s="425"/>
      <c r="Q902" s="426"/>
      <c r="R902" s="428"/>
      <c r="S902" s="503"/>
    </row>
    <row r="903" spans="1:19" ht="9.75" customHeight="1">
      <c r="A903" s="503"/>
      <c r="B903" s="503"/>
      <c r="C903" s="424"/>
      <c r="D903" s="424" t="s">
        <v>120</v>
      </c>
      <c r="E903" s="424"/>
      <c r="F903" s="425"/>
      <c r="G903" s="426"/>
      <c r="H903" s="426"/>
      <c r="I903" s="426"/>
      <c r="J903" s="426"/>
      <c r="K903" s="426"/>
      <c r="L903" s="426"/>
      <c r="M903" s="426"/>
      <c r="N903" s="426"/>
      <c r="O903" s="427"/>
      <c r="P903" s="425"/>
      <c r="Q903" s="426"/>
      <c r="R903" s="428"/>
      <c r="S903" s="503"/>
    </row>
    <row r="904" spans="1:19" ht="9.75" customHeight="1">
      <c r="A904" s="503"/>
      <c r="B904" s="503"/>
      <c r="C904" s="424"/>
      <c r="D904" s="424" t="s">
        <v>120</v>
      </c>
      <c r="E904" s="424"/>
      <c r="F904" s="425"/>
      <c r="G904" s="426"/>
      <c r="H904" s="426"/>
      <c r="I904" s="426"/>
      <c r="J904" s="426"/>
      <c r="K904" s="426"/>
      <c r="L904" s="426"/>
      <c r="M904" s="426"/>
      <c r="N904" s="426"/>
      <c r="O904" s="427"/>
      <c r="P904" s="425"/>
      <c r="Q904" s="426"/>
      <c r="R904" s="428"/>
      <c r="S904" s="503"/>
    </row>
    <row r="905" spans="1:19" ht="9.75" customHeight="1">
      <c r="A905" s="503"/>
      <c r="B905" s="503"/>
      <c r="C905" s="424"/>
      <c r="D905" s="424" t="s">
        <v>120</v>
      </c>
      <c r="E905" s="424"/>
      <c r="F905" s="425"/>
      <c r="G905" s="426"/>
      <c r="H905" s="426"/>
      <c r="I905" s="426"/>
      <c r="J905" s="426"/>
      <c r="K905" s="426"/>
      <c r="L905" s="426"/>
      <c r="M905" s="426"/>
      <c r="N905" s="426"/>
      <c r="O905" s="427"/>
      <c r="P905" s="425"/>
      <c r="Q905" s="426"/>
      <c r="R905" s="428"/>
      <c r="S905" s="503"/>
    </row>
    <row r="906" spans="1:19" ht="9.75" customHeight="1">
      <c r="A906" s="503"/>
      <c r="B906" s="503"/>
      <c r="C906" s="424"/>
      <c r="D906" s="424" t="s">
        <v>120</v>
      </c>
      <c r="E906" s="424"/>
      <c r="F906" s="425"/>
      <c r="G906" s="426"/>
      <c r="H906" s="426"/>
      <c r="I906" s="426"/>
      <c r="J906" s="426"/>
      <c r="K906" s="426"/>
      <c r="L906" s="426"/>
      <c r="M906" s="426"/>
      <c r="N906" s="426"/>
      <c r="O906" s="427"/>
      <c r="P906" s="425"/>
      <c r="Q906" s="426"/>
      <c r="R906" s="428"/>
      <c r="S906" s="503"/>
    </row>
    <row r="907" spans="1:19" ht="9.75" customHeight="1">
      <c r="A907" s="503"/>
      <c r="B907" s="503"/>
      <c r="C907" s="424"/>
      <c r="D907" s="424" t="s">
        <v>120</v>
      </c>
      <c r="E907" s="424"/>
      <c r="F907" s="425"/>
      <c r="G907" s="426"/>
      <c r="H907" s="426"/>
      <c r="I907" s="426"/>
      <c r="J907" s="426"/>
      <c r="K907" s="426"/>
      <c r="L907" s="426"/>
      <c r="M907" s="426"/>
      <c r="N907" s="426"/>
      <c r="O907" s="427"/>
      <c r="P907" s="425"/>
      <c r="Q907" s="426"/>
      <c r="R907" s="428"/>
      <c r="S907" s="503"/>
    </row>
    <row r="908" spans="1:19" ht="9.75" customHeight="1">
      <c r="A908" s="503"/>
      <c r="B908" s="503"/>
      <c r="C908" s="424"/>
      <c r="D908" s="424" t="s">
        <v>120</v>
      </c>
      <c r="E908" s="424"/>
      <c r="F908" s="425"/>
      <c r="G908" s="426"/>
      <c r="H908" s="426"/>
      <c r="I908" s="426"/>
      <c r="J908" s="426"/>
      <c r="K908" s="426"/>
      <c r="L908" s="426"/>
      <c r="M908" s="426"/>
      <c r="N908" s="426"/>
      <c r="O908" s="427"/>
      <c r="P908" s="425"/>
      <c r="Q908" s="426"/>
      <c r="R908" s="428"/>
      <c r="S908" s="503"/>
    </row>
    <row r="909" spans="1:19" ht="9.75" customHeight="1">
      <c r="A909" s="503"/>
      <c r="B909" s="503"/>
      <c r="C909" s="424"/>
      <c r="D909" s="424" t="s">
        <v>34</v>
      </c>
      <c r="E909" s="424">
        <v>16</v>
      </c>
      <c r="F909" s="425"/>
      <c r="G909" s="426"/>
      <c r="H909" s="426"/>
      <c r="I909" s="426"/>
      <c r="J909" s="426"/>
      <c r="K909" s="426"/>
      <c r="L909" s="426"/>
      <c r="M909" s="426"/>
      <c r="N909" s="426"/>
      <c r="O909" s="427"/>
      <c r="P909" s="425">
        <f>MIN(F909:O909)</f>
        <v>0</v>
      </c>
      <c r="Q909" s="426">
        <f>E909-P909</f>
        <v>16</v>
      </c>
      <c r="R909" s="428">
        <f>Q909/E909</f>
        <v>1</v>
      </c>
      <c r="S909" s="503"/>
    </row>
    <row r="910" spans="1:19" ht="9.75" customHeight="1">
      <c r="A910" s="503"/>
      <c r="B910" s="503"/>
      <c r="C910" s="424"/>
      <c r="D910" s="424" t="s">
        <v>35</v>
      </c>
      <c r="E910" s="424"/>
      <c r="F910" s="425"/>
      <c r="G910" s="426"/>
      <c r="H910" s="426"/>
      <c r="I910" s="426"/>
      <c r="J910" s="426"/>
      <c r="K910" s="426"/>
      <c r="L910" s="426"/>
      <c r="M910" s="426"/>
      <c r="N910" s="426"/>
      <c r="O910" s="427"/>
      <c r="P910" s="425"/>
      <c r="Q910" s="426"/>
      <c r="R910" s="428"/>
      <c r="S910" s="503"/>
    </row>
    <row r="911" spans="1:19" ht="9.75" customHeight="1">
      <c r="A911" s="503"/>
      <c r="B911" s="503"/>
      <c r="C911" s="424"/>
      <c r="D911" s="424" t="s">
        <v>36</v>
      </c>
      <c r="E911" s="424"/>
      <c r="F911" s="425"/>
      <c r="G911" s="426"/>
      <c r="H911" s="426"/>
      <c r="I911" s="426"/>
      <c r="J911" s="426"/>
      <c r="K911" s="426"/>
      <c r="L911" s="426"/>
      <c r="M911" s="426"/>
      <c r="N911" s="426"/>
      <c r="O911" s="427"/>
      <c r="P911" s="425"/>
      <c r="Q911" s="426"/>
      <c r="R911" s="428"/>
      <c r="S911" s="503"/>
    </row>
    <row r="912" spans="1:19" ht="9.75" customHeight="1">
      <c r="A912" s="503"/>
      <c r="B912" s="503"/>
      <c r="C912" s="424"/>
      <c r="D912" s="424" t="s">
        <v>37</v>
      </c>
      <c r="E912" s="424"/>
      <c r="F912" s="425"/>
      <c r="G912" s="426"/>
      <c r="H912" s="426"/>
      <c r="I912" s="426"/>
      <c r="J912" s="426"/>
      <c r="K912" s="426"/>
      <c r="L912" s="426"/>
      <c r="M912" s="426"/>
      <c r="N912" s="426"/>
      <c r="O912" s="427"/>
      <c r="P912" s="425"/>
      <c r="Q912" s="426"/>
      <c r="R912" s="428"/>
      <c r="S912" s="503"/>
    </row>
    <row r="913" spans="1:19" ht="9.75" customHeight="1">
      <c r="A913" s="503"/>
      <c r="B913" s="503" t="s">
        <v>127</v>
      </c>
      <c r="C913" s="433"/>
      <c r="D913" s="434" t="s">
        <v>38</v>
      </c>
      <c r="E913" s="434">
        <f t="shared" ref="E913:O913" si="161">SUM(E897:E912)</f>
        <v>191</v>
      </c>
      <c r="F913" s="435">
        <f t="shared" si="161"/>
        <v>0</v>
      </c>
      <c r="G913" s="436">
        <f t="shared" si="161"/>
        <v>0</v>
      </c>
      <c r="H913" s="436">
        <f t="shared" si="161"/>
        <v>0</v>
      </c>
      <c r="I913" s="436">
        <f t="shared" si="161"/>
        <v>0</v>
      </c>
      <c r="J913" s="436">
        <f t="shared" si="161"/>
        <v>0</v>
      </c>
      <c r="K913" s="436">
        <f t="shared" si="161"/>
        <v>0</v>
      </c>
      <c r="L913" s="436">
        <f t="shared" si="161"/>
        <v>0</v>
      </c>
      <c r="M913" s="436">
        <f t="shared" si="161"/>
        <v>0</v>
      </c>
      <c r="N913" s="436">
        <f t="shared" si="161"/>
        <v>0</v>
      </c>
      <c r="O913" s="437">
        <f t="shared" si="161"/>
        <v>0</v>
      </c>
      <c r="P913" s="435">
        <f t="shared" ref="P913:P914" si="162">MIN(F913:O913)</f>
        <v>0</v>
      </c>
      <c r="Q913" s="436">
        <f t="shared" ref="Q913:Q914" si="163">E913-P913</f>
        <v>191</v>
      </c>
      <c r="R913" s="438">
        <f t="shared" ref="R913:R914" si="164">Q913/E913</f>
        <v>1</v>
      </c>
      <c r="S913" s="503"/>
    </row>
    <row r="914" spans="1:19" ht="9.75" customHeight="1">
      <c r="A914" s="503"/>
      <c r="B914" s="503"/>
      <c r="C914" s="419" t="s">
        <v>216</v>
      </c>
      <c r="D914" s="419" t="s">
        <v>23</v>
      </c>
      <c r="E914" s="419">
        <v>58</v>
      </c>
      <c r="F914" s="420"/>
      <c r="G914" s="421"/>
      <c r="H914" s="421"/>
      <c r="I914" s="421"/>
      <c r="J914" s="421"/>
      <c r="K914" s="421"/>
      <c r="L914" s="421"/>
      <c r="M914" s="421"/>
      <c r="N914" s="421"/>
      <c r="O914" s="422"/>
      <c r="P914" s="425">
        <f t="shared" si="162"/>
        <v>0</v>
      </c>
      <c r="Q914" s="426">
        <f t="shared" si="163"/>
        <v>58</v>
      </c>
      <c r="R914" s="428">
        <f t="shared" si="164"/>
        <v>1</v>
      </c>
      <c r="S914" s="503"/>
    </row>
    <row r="915" spans="1:19" ht="9.75" customHeight="1">
      <c r="A915" s="503"/>
      <c r="B915" s="503"/>
      <c r="C915" s="424"/>
      <c r="D915" s="424" t="s">
        <v>25</v>
      </c>
      <c r="E915" s="424"/>
      <c r="F915" s="425"/>
      <c r="G915" s="426"/>
      <c r="H915" s="426"/>
      <c r="I915" s="426"/>
      <c r="J915" s="426"/>
      <c r="K915" s="426"/>
      <c r="L915" s="426"/>
      <c r="M915" s="426"/>
      <c r="N915" s="426"/>
      <c r="O915" s="427"/>
      <c r="P915" s="425"/>
      <c r="Q915" s="426"/>
      <c r="R915" s="428"/>
      <c r="S915" s="503"/>
    </row>
    <row r="916" spans="1:19" ht="9.75" customHeight="1">
      <c r="A916" s="503"/>
      <c r="B916" s="503"/>
      <c r="C916" s="424"/>
      <c r="D916" s="424" t="s">
        <v>27</v>
      </c>
      <c r="E916" s="424"/>
      <c r="F916" s="425"/>
      <c r="G916" s="426"/>
      <c r="H916" s="426"/>
      <c r="I916" s="426"/>
      <c r="J916" s="426"/>
      <c r="K916" s="426"/>
      <c r="L916" s="426"/>
      <c r="M916" s="426"/>
      <c r="N916" s="426"/>
      <c r="O916" s="427"/>
      <c r="P916" s="425"/>
      <c r="Q916" s="426"/>
      <c r="R916" s="428"/>
      <c r="S916" s="503"/>
    </row>
    <row r="917" spans="1:19" ht="9.75" customHeight="1">
      <c r="A917" s="503"/>
      <c r="B917" s="503"/>
      <c r="C917" s="424"/>
      <c r="D917" s="424" t="s">
        <v>198</v>
      </c>
      <c r="E917" s="425">
        <v>90</v>
      </c>
      <c r="F917" s="429"/>
      <c r="G917" s="430"/>
      <c r="H917" s="430"/>
      <c r="I917" s="430"/>
      <c r="J917" s="430"/>
      <c r="K917" s="426"/>
      <c r="L917" s="426"/>
      <c r="M917" s="426"/>
      <c r="N917" s="426"/>
      <c r="O917" s="427"/>
      <c r="P917" s="431">
        <f>MIN(F917:O917)</f>
        <v>0</v>
      </c>
      <c r="Q917" s="432">
        <f>E917-P917</f>
        <v>90</v>
      </c>
      <c r="R917" s="428">
        <f>Q917/E917</f>
        <v>1</v>
      </c>
      <c r="S917" s="503"/>
    </row>
    <row r="918" spans="1:19" ht="9.75" customHeight="1">
      <c r="A918" s="503"/>
      <c r="B918" s="503"/>
      <c r="C918" s="424"/>
      <c r="D918" s="424" t="s">
        <v>115</v>
      </c>
      <c r="E918" s="424"/>
      <c r="F918" s="425"/>
      <c r="G918" s="426"/>
      <c r="H918" s="426"/>
      <c r="I918" s="426"/>
      <c r="J918" s="426"/>
      <c r="K918" s="426"/>
      <c r="L918" s="426"/>
      <c r="M918" s="426"/>
      <c r="N918" s="442"/>
      <c r="O918" s="427"/>
      <c r="P918" s="425"/>
      <c r="Q918" s="426"/>
      <c r="R918" s="428"/>
      <c r="S918" s="503"/>
    </row>
    <row r="919" spans="1:19" ht="9.75" customHeight="1">
      <c r="A919" s="503"/>
      <c r="B919" s="503"/>
      <c r="C919" s="424"/>
      <c r="D919" s="424" t="s">
        <v>32</v>
      </c>
      <c r="E919" s="424">
        <v>3</v>
      </c>
      <c r="F919" s="425"/>
      <c r="G919" s="426" t="s">
        <v>212</v>
      </c>
      <c r="H919" s="426"/>
      <c r="I919" s="426"/>
      <c r="J919" s="426"/>
      <c r="K919" s="426"/>
      <c r="L919" s="426"/>
      <c r="M919" s="442"/>
      <c r="N919" s="442"/>
      <c r="O919" s="427"/>
      <c r="P919" s="425">
        <f>MIN(F919:O919)</f>
        <v>0</v>
      </c>
      <c r="Q919" s="426">
        <f>E919-P919</f>
        <v>3</v>
      </c>
      <c r="R919" s="428">
        <f>Q919/E919</f>
        <v>1</v>
      </c>
      <c r="S919" s="503"/>
    </row>
    <row r="920" spans="1:19" ht="9.75" customHeight="1">
      <c r="A920" s="503"/>
      <c r="B920" s="503"/>
      <c r="C920" s="424"/>
      <c r="D920" s="424" t="s">
        <v>120</v>
      </c>
      <c r="E920" s="424"/>
      <c r="F920" s="425"/>
      <c r="G920" s="426"/>
      <c r="H920" s="426"/>
      <c r="I920" s="426"/>
      <c r="J920" s="426"/>
      <c r="K920" s="426"/>
      <c r="L920" s="426"/>
      <c r="M920" s="426"/>
      <c r="N920" s="442"/>
      <c r="O920" s="427"/>
      <c r="P920" s="425"/>
      <c r="Q920" s="426"/>
      <c r="R920" s="428"/>
      <c r="S920" s="503"/>
    </row>
    <row r="921" spans="1:19" ht="9.75" customHeight="1">
      <c r="A921" s="503"/>
      <c r="B921" s="503"/>
      <c r="C921" s="424"/>
      <c r="D921" s="424" t="s">
        <v>120</v>
      </c>
      <c r="E921" s="424"/>
      <c r="F921" s="425"/>
      <c r="G921" s="426"/>
      <c r="H921" s="426"/>
      <c r="I921" s="426"/>
      <c r="J921" s="426"/>
      <c r="K921" s="426"/>
      <c r="L921" s="426"/>
      <c r="M921" s="426"/>
      <c r="N921" s="426"/>
      <c r="O921" s="427"/>
      <c r="P921" s="425"/>
      <c r="Q921" s="426"/>
      <c r="R921" s="428"/>
      <c r="S921" s="503"/>
    </row>
    <row r="922" spans="1:19" ht="9.75" customHeight="1">
      <c r="A922" s="503"/>
      <c r="B922" s="503"/>
      <c r="C922" s="424"/>
      <c r="D922" s="424" t="s">
        <v>120</v>
      </c>
      <c r="E922" s="424"/>
      <c r="F922" s="425"/>
      <c r="G922" s="426"/>
      <c r="H922" s="426"/>
      <c r="I922" s="426"/>
      <c r="J922" s="426"/>
      <c r="K922" s="426"/>
      <c r="L922" s="426"/>
      <c r="M922" s="426"/>
      <c r="N922" s="426"/>
      <c r="O922" s="427"/>
      <c r="P922" s="425"/>
      <c r="Q922" s="426"/>
      <c r="R922" s="428"/>
      <c r="S922" s="503"/>
    </row>
    <row r="923" spans="1:19" ht="9.75" customHeight="1">
      <c r="A923" s="503"/>
      <c r="B923" s="503"/>
      <c r="C923" s="424"/>
      <c r="D923" s="424" t="s">
        <v>120</v>
      </c>
      <c r="E923" s="424"/>
      <c r="F923" s="425"/>
      <c r="G923" s="426"/>
      <c r="H923" s="426"/>
      <c r="I923" s="426"/>
      <c r="J923" s="426"/>
      <c r="K923" s="426"/>
      <c r="L923" s="426"/>
      <c r="M923" s="426"/>
      <c r="N923" s="426"/>
      <c r="O923" s="427"/>
      <c r="P923" s="425"/>
      <c r="Q923" s="426"/>
      <c r="R923" s="428"/>
      <c r="S923" s="503"/>
    </row>
    <row r="924" spans="1:19" ht="9.75" customHeight="1">
      <c r="A924" s="503"/>
      <c r="B924" s="503"/>
      <c r="C924" s="424"/>
      <c r="D924" s="424" t="s">
        <v>120</v>
      </c>
      <c r="E924" s="424"/>
      <c r="F924" s="425"/>
      <c r="G924" s="426"/>
      <c r="H924" s="426"/>
      <c r="I924" s="426"/>
      <c r="J924" s="426"/>
      <c r="K924" s="426"/>
      <c r="L924" s="426"/>
      <c r="M924" s="426"/>
      <c r="N924" s="426"/>
      <c r="O924" s="427"/>
      <c r="P924" s="425"/>
      <c r="Q924" s="426"/>
      <c r="R924" s="428"/>
      <c r="S924" s="503"/>
    </row>
    <row r="925" spans="1:19" ht="9.75" customHeight="1">
      <c r="A925" s="503"/>
      <c r="B925" s="503"/>
      <c r="C925" s="424"/>
      <c r="D925" s="424" t="s">
        <v>120</v>
      </c>
      <c r="E925" s="424"/>
      <c r="F925" s="425"/>
      <c r="G925" s="426"/>
      <c r="H925" s="426"/>
      <c r="I925" s="426"/>
      <c r="J925" s="426"/>
      <c r="K925" s="426"/>
      <c r="L925" s="426"/>
      <c r="M925" s="426"/>
      <c r="N925" s="426"/>
      <c r="O925" s="427"/>
      <c r="P925" s="425"/>
      <c r="Q925" s="426"/>
      <c r="R925" s="428"/>
      <c r="S925" s="503"/>
    </row>
    <row r="926" spans="1:19" ht="9.75" customHeight="1">
      <c r="A926" s="503"/>
      <c r="B926" s="503"/>
      <c r="C926" s="424"/>
      <c r="D926" s="424" t="s">
        <v>34</v>
      </c>
      <c r="E926" s="424">
        <v>3</v>
      </c>
      <c r="F926" s="425"/>
      <c r="G926" s="426"/>
      <c r="H926" s="426"/>
      <c r="I926" s="426"/>
      <c r="J926" s="426"/>
      <c r="K926" s="426"/>
      <c r="L926" s="426"/>
      <c r="M926" s="426"/>
      <c r="N926" s="426"/>
      <c r="O926" s="427"/>
      <c r="P926" s="425">
        <f>MIN(F926:O926)</f>
        <v>0</v>
      </c>
      <c r="Q926" s="426">
        <f>E926-P926</f>
        <v>3</v>
      </c>
      <c r="R926" s="428">
        <f>Q926/E926</f>
        <v>1</v>
      </c>
      <c r="S926" s="503"/>
    </row>
    <row r="927" spans="1:19" ht="9.75" customHeight="1">
      <c r="A927" s="503"/>
      <c r="B927" s="503"/>
      <c r="C927" s="424"/>
      <c r="D927" s="424" t="s">
        <v>35</v>
      </c>
      <c r="E927" s="424"/>
      <c r="F927" s="425"/>
      <c r="G927" s="426"/>
      <c r="H927" s="426"/>
      <c r="I927" s="426"/>
      <c r="J927" s="426"/>
      <c r="K927" s="426"/>
      <c r="L927" s="426"/>
      <c r="M927" s="426"/>
      <c r="N927" s="426"/>
      <c r="O927" s="427"/>
      <c r="P927" s="425"/>
      <c r="Q927" s="426"/>
      <c r="R927" s="428"/>
      <c r="S927" s="503"/>
    </row>
    <row r="928" spans="1:19" ht="9.75" customHeight="1">
      <c r="A928" s="503"/>
      <c r="B928" s="503"/>
      <c r="C928" s="424"/>
      <c r="D928" s="424" t="s">
        <v>36</v>
      </c>
      <c r="E928" s="424"/>
      <c r="F928" s="425"/>
      <c r="G928" s="426"/>
      <c r="H928" s="426"/>
      <c r="I928" s="426"/>
      <c r="J928" s="426"/>
      <c r="K928" s="426"/>
      <c r="L928" s="426"/>
      <c r="M928" s="426"/>
      <c r="N928" s="426"/>
      <c r="O928" s="427"/>
      <c r="P928" s="425"/>
      <c r="Q928" s="426"/>
      <c r="R928" s="428"/>
      <c r="S928" s="503"/>
    </row>
    <row r="929" spans="1:19" ht="9.75" customHeight="1">
      <c r="A929" s="503"/>
      <c r="B929" s="503"/>
      <c r="C929" s="424"/>
      <c r="D929" s="424" t="s">
        <v>37</v>
      </c>
      <c r="E929" s="424"/>
      <c r="F929" s="425"/>
      <c r="G929" s="426"/>
      <c r="H929" s="426"/>
      <c r="I929" s="426"/>
      <c r="J929" s="426"/>
      <c r="K929" s="426"/>
      <c r="L929" s="426"/>
      <c r="M929" s="426"/>
      <c r="N929" s="426"/>
      <c r="O929" s="427"/>
      <c r="P929" s="425"/>
      <c r="Q929" s="426"/>
      <c r="R929" s="428"/>
      <c r="S929" s="503"/>
    </row>
    <row r="930" spans="1:19" ht="9.75" customHeight="1">
      <c r="A930" s="503"/>
      <c r="B930" s="503" t="s">
        <v>127</v>
      </c>
      <c r="C930" s="433"/>
      <c r="D930" s="434" t="s">
        <v>38</v>
      </c>
      <c r="E930" s="434">
        <f t="shared" ref="E930:O930" si="165">SUM(E914:E929)</f>
        <v>154</v>
      </c>
      <c r="F930" s="435">
        <f t="shared" si="165"/>
        <v>0</v>
      </c>
      <c r="G930" s="436">
        <f t="shared" si="165"/>
        <v>0</v>
      </c>
      <c r="H930" s="436">
        <f t="shared" si="165"/>
        <v>0</v>
      </c>
      <c r="I930" s="436">
        <f t="shared" si="165"/>
        <v>0</v>
      </c>
      <c r="J930" s="436">
        <f t="shared" si="165"/>
        <v>0</v>
      </c>
      <c r="K930" s="436">
        <f t="shared" si="165"/>
        <v>0</v>
      </c>
      <c r="L930" s="436">
        <f t="shared" si="165"/>
        <v>0</v>
      </c>
      <c r="M930" s="436">
        <f t="shared" si="165"/>
        <v>0</v>
      </c>
      <c r="N930" s="436">
        <f t="shared" si="165"/>
        <v>0</v>
      </c>
      <c r="O930" s="437">
        <f t="shared" si="165"/>
        <v>0</v>
      </c>
      <c r="P930" s="435">
        <f t="shared" ref="P930:P931" si="166">MIN(F930:O930)</f>
        <v>0</v>
      </c>
      <c r="Q930" s="436">
        <f t="shared" ref="Q930:Q931" si="167">E930-P930</f>
        <v>154</v>
      </c>
      <c r="R930" s="438">
        <f t="shared" ref="R930:R931" si="168">Q930/E930</f>
        <v>1</v>
      </c>
      <c r="S930" s="503"/>
    </row>
    <row r="931" spans="1:19" ht="9.75" customHeight="1">
      <c r="A931" s="503"/>
      <c r="B931" s="503"/>
      <c r="C931" s="29" t="s">
        <v>217</v>
      </c>
      <c r="D931" s="29" t="s">
        <v>23</v>
      </c>
      <c r="E931" s="13">
        <v>24</v>
      </c>
      <c r="F931" s="109">
        <f>E931-8</f>
        <v>16</v>
      </c>
      <c r="G931" s="504">
        <f>E931-10</f>
        <v>14</v>
      </c>
      <c r="H931" s="504">
        <f>E931-12</f>
        <v>12</v>
      </c>
      <c r="I931" s="504">
        <f>E931-8</f>
        <v>16</v>
      </c>
      <c r="J931" s="504">
        <f>E931-8</f>
        <v>16</v>
      </c>
      <c r="K931" s="118">
        <f>E931-6</f>
        <v>18</v>
      </c>
      <c r="L931" s="118">
        <f>E931-10</f>
        <v>14</v>
      </c>
      <c r="M931" s="118">
        <f>E931-11</f>
        <v>13</v>
      </c>
      <c r="N931" s="118">
        <f>E931-8</f>
        <v>16</v>
      </c>
      <c r="O931" s="135">
        <f>E931-7</f>
        <v>17</v>
      </c>
      <c r="P931" s="109">
        <f t="shared" si="166"/>
        <v>12</v>
      </c>
      <c r="Q931" s="504">
        <f t="shared" si="167"/>
        <v>12</v>
      </c>
      <c r="R931" s="107">
        <f t="shared" si="168"/>
        <v>0.5</v>
      </c>
      <c r="S931" s="503"/>
    </row>
    <row r="932" spans="1:19" ht="9.75" customHeight="1">
      <c r="A932" s="503"/>
      <c r="B932" s="503"/>
      <c r="C932" s="30"/>
      <c r="D932" s="13" t="s">
        <v>25</v>
      </c>
      <c r="E932" s="13"/>
      <c r="F932" s="109"/>
      <c r="G932" s="504"/>
      <c r="H932" s="504"/>
      <c r="I932" s="504"/>
      <c r="J932" s="504"/>
      <c r="K932" s="32"/>
      <c r="L932" s="32"/>
      <c r="M932" s="32"/>
      <c r="N932" s="32"/>
      <c r="O932" s="142"/>
      <c r="P932" s="109"/>
      <c r="Q932" s="504"/>
      <c r="R932" s="107"/>
      <c r="S932" s="503"/>
    </row>
    <row r="933" spans="1:19" ht="9.75" customHeight="1">
      <c r="A933" s="503"/>
      <c r="B933" s="503"/>
      <c r="C933" s="30"/>
      <c r="D933" s="13" t="s">
        <v>27</v>
      </c>
      <c r="E933" s="13"/>
      <c r="F933" s="109"/>
      <c r="G933" s="504"/>
      <c r="H933" s="504"/>
      <c r="I933" s="504"/>
      <c r="J933" s="504"/>
      <c r="K933" s="32"/>
      <c r="L933" s="32"/>
      <c r="M933" s="32"/>
      <c r="N933" s="32"/>
      <c r="O933" s="142"/>
      <c r="P933" s="109"/>
      <c r="Q933" s="504"/>
      <c r="R933" s="107"/>
      <c r="S933" s="503"/>
    </row>
    <row r="934" spans="1:19" ht="9.75" customHeight="1">
      <c r="A934" s="503"/>
      <c r="B934" s="503"/>
      <c r="C934" s="30"/>
      <c r="D934" s="13" t="s">
        <v>115</v>
      </c>
      <c r="E934" s="13"/>
      <c r="F934" s="109"/>
      <c r="G934" s="504"/>
      <c r="H934" s="504"/>
      <c r="I934" s="504"/>
      <c r="J934" s="504"/>
      <c r="K934" s="32"/>
      <c r="L934" s="32"/>
      <c r="M934" s="32"/>
      <c r="N934" s="32"/>
      <c r="O934" s="142"/>
      <c r="P934" s="109"/>
      <c r="Q934" s="504"/>
      <c r="R934" s="107"/>
      <c r="S934" s="503"/>
    </row>
    <row r="935" spans="1:19" ht="9.75" customHeight="1">
      <c r="A935" s="503"/>
      <c r="B935" s="503"/>
      <c r="C935" s="30"/>
      <c r="D935" s="13" t="s">
        <v>115</v>
      </c>
      <c r="E935" s="13"/>
      <c r="F935" s="109"/>
      <c r="G935" s="504"/>
      <c r="H935" s="504"/>
      <c r="I935" s="504"/>
      <c r="J935" s="504"/>
      <c r="K935" s="32"/>
      <c r="L935" s="32"/>
      <c r="M935" s="32"/>
      <c r="N935" s="32"/>
      <c r="O935" s="142"/>
      <c r="P935" s="109"/>
      <c r="Q935" s="504"/>
      <c r="R935" s="107"/>
      <c r="S935" s="503"/>
    </row>
    <row r="936" spans="1:19" ht="9.75" customHeight="1">
      <c r="A936" s="503"/>
      <c r="B936" s="503"/>
      <c r="C936" s="30"/>
      <c r="D936" s="13" t="s">
        <v>32</v>
      </c>
      <c r="E936" s="13">
        <v>7</v>
      </c>
      <c r="F936" s="109">
        <v>3</v>
      </c>
      <c r="G936" s="504">
        <v>2</v>
      </c>
      <c r="H936" s="504">
        <v>2</v>
      </c>
      <c r="I936" s="504">
        <v>3</v>
      </c>
      <c r="J936" s="504">
        <v>3</v>
      </c>
      <c r="K936" s="11">
        <v>3</v>
      </c>
      <c r="L936" s="11">
        <v>3</v>
      </c>
      <c r="M936" s="11">
        <v>3</v>
      </c>
      <c r="N936" s="11">
        <v>3</v>
      </c>
      <c r="O936" s="136">
        <v>3</v>
      </c>
      <c r="P936" s="109">
        <f>MIN(F936:O936)</f>
        <v>2</v>
      </c>
      <c r="Q936" s="504">
        <f>E936-P936</f>
        <v>5</v>
      </c>
      <c r="R936" s="107">
        <f>Q936/E936</f>
        <v>0.7142857142857143</v>
      </c>
      <c r="S936" s="503"/>
    </row>
    <row r="937" spans="1:19" ht="9.75" customHeight="1">
      <c r="A937" s="503"/>
      <c r="B937" s="503"/>
      <c r="C937" s="30"/>
      <c r="D937" s="13" t="s">
        <v>118</v>
      </c>
      <c r="E937" s="13"/>
      <c r="F937" s="109"/>
      <c r="G937" s="504"/>
      <c r="H937" s="504"/>
      <c r="I937" s="504"/>
      <c r="J937" s="504"/>
      <c r="K937" s="32"/>
      <c r="L937" s="32"/>
      <c r="M937" s="32"/>
      <c r="N937" s="32"/>
      <c r="O937" s="142"/>
      <c r="P937" s="109"/>
      <c r="Q937" s="504"/>
      <c r="R937" s="107"/>
      <c r="S937" s="503"/>
    </row>
    <row r="938" spans="1:19" ht="9.75" customHeight="1">
      <c r="A938" s="503"/>
      <c r="B938" s="503"/>
      <c r="C938" s="30"/>
      <c r="D938" s="13" t="s">
        <v>218</v>
      </c>
      <c r="E938" s="13">
        <v>3</v>
      </c>
      <c r="F938" s="109">
        <v>2</v>
      </c>
      <c r="G938" s="504">
        <v>2</v>
      </c>
      <c r="H938" s="504">
        <v>2</v>
      </c>
      <c r="I938" s="504">
        <v>2</v>
      </c>
      <c r="J938" s="504">
        <v>2</v>
      </c>
      <c r="K938" s="11">
        <v>2</v>
      </c>
      <c r="L938" s="11">
        <v>3</v>
      </c>
      <c r="M938" s="11">
        <v>3</v>
      </c>
      <c r="N938" s="11">
        <v>3</v>
      </c>
      <c r="O938" s="136">
        <v>3</v>
      </c>
      <c r="P938" s="109">
        <f>MIN(F938:O938)</f>
        <v>2</v>
      </c>
      <c r="Q938" s="504">
        <f>E938-P938</f>
        <v>1</v>
      </c>
      <c r="R938" s="107">
        <f>Q938/E938</f>
        <v>0.33333333333333331</v>
      </c>
      <c r="S938" s="503"/>
    </row>
    <row r="939" spans="1:19" ht="9.75" customHeight="1">
      <c r="A939" s="503"/>
      <c r="B939" s="503"/>
      <c r="C939" s="30"/>
      <c r="D939" s="13" t="s">
        <v>120</v>
      </c>
      <c r="E939" s="13"/>
      <c r="F939" s="109"/>
      <c r="G939" s="504"/>
      <c r="H939" s="504"/>
      <c r="I939" s="504"/>
      <c r="J939" s="504"/>
      <c r="K939" s="504"/>
      <c r="L939" s="504"/>
      <c r="M939" s="504"/>
      <c r="N939" s="504"/>
      <c r="O939" s="110"/>
      <c r="P939" s="109"/>
      <c r="Q939" s="504"/>
      <c r="R939" s="107"/>
      <c r="S939" s="503"/>
    </row>
    <row r="940" spans="1:19" ht="9.75" customHeight="1">
      <c r="A940" s="503"/>
      <c r="B940" s="503"/>
      <c r="C940" s="30"/>
      <c r="D940" s="13" t="s">
        <v>120</v>
      </c>
      <c r="E940" s="13"/>
      <c r="F940" s="109"/>
      <c r="G940" s="504"/>
      <c r="H940" s="504"/>
      <c r="I940" s="504"/>
      <c r="J940" s="504"/>
      <c r="K940" s="504"/>
      <c r="L940" s="504"/>
      <c r="M940" s="504"/>
      <c r="N940" s="504"/>
      <c r="O940" s="110"/>
      <c r="P940" s="109"/>
      <c r="Q940" s="504"/>
      <c r="R940" s="107"/>
      <c r="S940" s="503"/>
    </row>
    <row r="941" spans="1:19" ht="9.75" customHeight="1">
      <c r="A941" s="503"/>
      <c r="B941" s="503"/>
      <c r="C941" s="30"/>
      <c r="D941" s="13" t="s">
        <v>120</v>
      </c>
      <c r="E941" s="13"/>
      <c r="F941" s="109"/>
      <c r="G941" s="504"/>
      <c r="H941" s="504"/>
      <c r="I941" s="504"/>
      <c r="J941" s="504"/>
      <c r="K941" s="504"/>
      <c r="L941" s="504"/>
      <c r="M941" s="504"/>
      <c r="N941" s="504"/>
      <c r="O941" s="110"/>
      <c r="P941" s="109"/>
      <c r="Q941" s="504"/>
      <c r="R941" s="107"/>
      <c r="S941" s="503"/>
    </row>
    <row r="942" spans="1:19" ht="9.75" customHeight="1">
      <c r="A942" s="503"/>
      <c r="B942" s="503"/>
      <c r="C942" s="13"/>
      <c r="D942" s="13" t="s">
        <v>120</v>
      </c>
      <c r="E942" s="13"/>
      <c r="F942" s="109"/>
      <c r="G942" s="504"/>
      <c r="H942" s="504"/>
      <c r="I942" s="504"/>
      <c r="J942" s="504"/>
      <c r="K942" s="504"/>
      <c r="L942" s="504"/>
      <c r="M942" s="504"/>
      <c r="N942" s="504"/>
      <c r="O942" s="110"/>
      <c r="P942" s="109"/>
      <c r="Q942" s="504"/>
      <c r="R942" s="107"/>
      <c r="S942" s="503"/>
    </row>
    <row r="943" spans="1:19" ht="9.75" customHeight="1">
      <c r="A943" s="503"/>
      <c r="B943" s="503"/>
      <c r="C943" s="13"/>
      <c r="D943" s="13" t="s">
        <v>34</v>
      </c>
      <c r="E943" s="13"/>
      <c r="F943" s="109"/>
      <c r="G943" s="504"/>
      <c r="H943" s="504"/>
      <c r="I943" s="504"/>
      <c r="J943" s="504"/>
      <c r="K943" s="504"/>
      <c r="L943" s="504"/>
      <c r="M943" s="504"/>
      <c r="N943" s="504"/>
      <c r="O943" s="110"/>
      <c r="P943" s="109"/>
      <c r="Q943" s="504"/>
      <c r="R943" s="107"/>
      <c r="S943" s="503"/>
    </row>
    <row r="944" spans="1:19" ht="9.75" customHeight="1">
      <c r="A944" s="503"/>
      <c r="B944" s="503"/>
      <c r="C944" s="13"/>
      <c r="D944" s="13" t="s">
        <v>35</v>
      </c>
      <c r="E944" s="13"/>
      <c r="F944" s="109"/>
      <c r="G944" s="504"/>
      <c r="H944" s="504"/>
      <c r="I944" s="504"/>
      <c r="J944" s="504"/>
      <c r="K944" s="504"/>
      <c r="L944" s="504"/>
      <c r="M944" s="504"/>
      <c r="N944" s="504"/>
      <c r="O944" s="110"/>
      <c r="P944" s="109"/>
      <c r="Q944" s="504"/>
      <c r="R944" s="107"/>
      <c r="S944" s="503"/>
    </row>
    <row r="945" spans="1:19" ht="9.75" customHeight="1">
      <c r="A945" s="503"/>
      <c r="B945" s="503"/>
      <c r="C945" s="13"/>
      <c r="D945" s="13" t="s">
        <v>36</v>
      </c>
      <c r="E945" s="13"/>
      <c r="F945" s="109"/>
      <c r="G945" s="504"/>
      <c r="H945" s="504"/>
      <c r="I945" s="504"/>
      <c r="J945" s="504"/>
      <c r="K945" s="504"/>
      <c r="L945" s="504"/>
      <c r="M945" s="504"/>
      <c r="N945" s="504"/>
      <c r="O945" s="110"/>
      <c r="P945" s="109"/>
      <c r="Q945" s="504"/>
      <c r="R945" s="107"/>
      <c r="S945" s="503"/>
    </row>
    <row r="946" spans="1:19" ht="9.75" customHeight="1">
      <c r="A946" s="503"/>
      <c r="B946" s="503"/>
      <c r="C946" s="13"/>
      <c r="D946" s="13" t="s">
        <v>37</v>
      </c>
      <c r="E946" s="13"/>
      <c r="F946" s="109"/>
      <c r="G946" s="504"/>
      <c r="H946" s="504"/>
      <c r="I946" s="504"/>
      <c r="J946" s="504"/>
      <c r="K946" s="504"/>
      <c r="L946" s="504"/>
      <c r="M946" s="504"/>
      <c r="N946" s="504"/>
      <c r="O946" s="110"/>
      <c r="P946" s="109"/>
      <c r="Q946" s="504"/>
      <c r="R946" s="107"/>
      <c r="S946" s="503"/>
    </row>
    <row r="947" spans="1:19" ht="9.75" customHeight="1">
      <c r="A947" s="503"/>
      <c r="B947" s="503" t="s">
        <v>127</v>
      </c>
      <c r="C947" s="2"/>
      <c r="D947" s="3" t="s">
        <v>38</v>
      </c>
      <c r="E947" s="3">
        <f t="shared" ref="E947:O947" si="169">SUM(E931:E946)</f>
        <v>34</v>
      </c>
      <c r="F947" s="21">
        <f t="shared" si="169"/>
        <v>21</v>
      </c>
      <c r="G947" s="71">
        <f t="shared" si="169"/>
        <v>18</v>
      </c>
      <c r="H947" s="71">
        <f t="shared" si="169"/>
        <v>16</v>
      </c>
      <c r="I947" s="71">
        <f t="shared" si="169"/>
        <v>21</v>
      </c>
      <c r="J947" s="71">
        <f t="shared" si="169"/>
        <v>21</v>
      </c>
      <c r="K947" s="70">
        <f t="shared" si="169"/>
        <v>23</v>
      </c>
      <c r="L947" s="70">
        <f t="shared" si="169"/>
        <v>20</v>
      </c>
      <c r="M947" s="70">
        <f t="shared" si="169"/>
        <v>19</v>
      </c>
      <c r="N947" s="70">
        <f t="shared" si="169"/>
        <v>22</v>
      </c>
      <c r="O947" s="27">
        <f t="shared" si="169"/>
        <v>23</v>
      </c>
      <c r="P947" s="21">
        <f>MIN(F947:O947)</f>
        <v>16</v>
      </c>
      <c r="Q947" s="71">
        <f>E947-P947</f>
        <v>18</v>
      </c>
      <c r="R947" s="7">
        <f>Q947/E947</f>
        <v>0.52941176470588236</v>
      </c>
      <c r="S947" s="503"/>
    </row>
    <row r="948" spans="1:19" ht="9.75" customHeight="1">
      <c r="A948" s="503"/>
      <c r="B948" s="503"/>
      <c r="C948" s="237" t="s">
        <v>219</v>
      </c>
      <c r="D948" s="237" t="s">
        <v>23</v>
      </c>
      <c r="E948" s="237"/>
      <c r="F948" s="238"/>
      <c r="G948" s="239"/>
      <c r="H948" s="239"/>
      <c r="I948" s="239"/>
      <c r="J948" s="239"/>
      <c r="K948" s="239"/>
      <c r="L948" s="239"/>
      <c r="M948" s="239"/>
      <c r="N948" s="239"/>
      <c r="O948" s="240"/>
      <c r="P948" s="238"/>
      <c r="Q948" s="239"/>
      <c r="R948" s="241"/>
      <c r="S948" s="503"/>
    </row>
    <row r="949" spans="1:19" ht="9.75" customHeight="1">
      <c r="A949" s="503"/>
      <c r="B949" s="503"/>
      <c r="C949" s="221" t="s">
        <v>220</v>
      </c>
      <c r="D949" s="242" t="s">
        <v>25</v>
      </c>
      <c r="E949" s="242"/>
      <c r="F949" s="243"/>
      <c r="G949" s="244"/>
      <c r="H949" s="244"/>
      <c r="I949" s="244"/>
      <c r="J949" s="244"/>
      <c r="K949" s="244"/>
      <c r="L949" s="244"/>
      <c r="M949" s="244"/>
      <c r="N949" s="244"/>
      <c r="O949" s="245"/>
      <c r="P949" s="243"/>
      <c r="Q949" s="244"/>
      <c r="R949" s="246"/>
      <c r="S949" s="503"/>
    </row>
    <row r="950" spans="1:19" ht="9.75" customHeight="1">
      <c r="A950" s="503"/>
      <c r="B950" s="503"/>
      <c r="C950" s="221" t="s">
        <v>221</v>
      </c>
      <c r="D950" s="242" t="s">
        <v>27</v>
      </c>
      <c r="E950" s="242"/>
      <c r="F950" s="243"/>
      <c r="G950" s="244"/>
      <c r="H950" s="244"/>
      <c r="I950" s="244"/>
      <c r="J950" s="247"/>
      <c r="K950" s="244"/>
      <c r="L950" s="244"/>
      <c r="M950" s="244"/>
      <c r="N950" s="244"/>
      <c r="O950" s="245"/>
      <c r="P950" s="243"/>
      <c r="Q950" s="244"/>
      <c r="R950" s="246"/>
      <c r="S950" s="503"/>
    </row>
    <row r="951" spans="1:19" ht="9.75" customHeight="1">
      <c r="A951" s="503"/>
      <c r="B951" s="503"/>
      <c r="C951" s="221" t="s">
        <v>160</v>
      </c>
      <c r="D951" s="242" t="s">
        <v>115</v>
      </c>
      <c r="E951" s="242"/>
      <c r="F951" s="243"/>
      <c r="G951" s="244"/>
      <c r="H951" s="244"/>
      <c r="I951" s="244"/>
      <c r="J951" s="244"/>
      <c r="K951" s="244"/>
      <c r="L951" s="244"/>
      <c r="M951" s="244"/>
      <c r="N951" s="244"/>
      <c r="O951" s="245"/>
      <c r="P951" s="243"/>
      <c r="Q951" s="244"/>
      <c r="R951" s="246"/>
      <c r="S951" s="503"/>
    </row>
    <row r="952" spans="1:19" ht="9.75" customHeight="1">
      <c r="A952" s="503"/>
      <c r="B952" s="503"/>
      <c r="C952" s="221" t="s">
        <v>139</v>
      </c>
      <c r="D952" s="242" t="s">
        <v>115</v>
      </c>
      <c r="E952" s="242"/>
      <c r="F952" s="243"/>
      <c r="G952" s="244"/>
      <c r="H952" s="244"/>
      <c r="I952" s="244"/>
      <c r="J952" s="244"/>
      <c r="K952" s="244"/>
      <c r="L952" s="244"/>
      <c r="M952" s="244"/>
      <c r="N952" s="244"/>
      <c r="O952" s="245"/>
      <c r="P952" s="243"/>
      <c r="Q952" s="244"/>
      <c r="R952" s="246"/>
      <c r="S952" s="503"/>
    </row>
    <row r="953" spans="1:19" ht="9.75" customHeight="1">
      <c r="A953" s="503"/>
      <c r="B953" s="503"/>
      <c r="C953" s="242"/>
      <c r="D953" s="242" t="s">
        <v>32</v>
      </c>
      <c r="E953" s="242"/>
      <c r="F953" s="243"/>
      <c r="G953" s="244"/>
      <c r="H953" s="244"/>
      <c r="I953" s="244"/>
      <c r="J953" s="244"/>
      <c r="K953" s="244"/>
      <c r="L953" s="244"/>
      <c r="M953" s="244"/>
      <c r="N953" s="244"/>
      <c r="O953" s="245"/>
      <c r="P953" s="243"/>
      <c r="Q953" s="244"/>
      <c r="R953" s="246"/>
      <c r="S953" s="503"/>
    </row>
    <row r="954" spans="1:19" ht="9.75" customHeight="1">
      <c r="A954" s="503"/>
      <c r="B954" s="503"/>
      <c r="C954" s="242"/>
      <c r="D954" s="242" t="s">
        <v>191</v>
      </c>
      <c r="E954" s="242"/>
      <c r="F954" s="243"/>
      <c r="G954" s="244"/>
      <c r="H954" s="244"/>
      <c r="I954" s="244"/>
      <c r="J954" s="244"/>
      <c r="K954" s="244"/>
      <c r="L954" s="244"/>
      <c r="M954" s="244"/>
      <c r="N954" s="244"/>
      <c r="O954" s="245"/>
      <c r="P954" s="243"/>
      <c r="Q954" s="244"/>
      <c r="R954" s="246"/>
      <c r="S954" s="503"/>
    </row>
    <row r="955" spans="1:19" ht="9.75" customHeight="1">
      <c r="A955" s="503"/>
      <c r="B955" s="503"/>
      <c r="C955" s="242"/>
      <c r="D955" s="242" t="s">
        <v>191</v>
      </c>
      <c r="E955" s="242"/>
      <c r="F955" s="243"/>
      <c r="G955" s="244"/>
      <c r="H955" s="244"/>
      <c r="I955" s="244"/>
      <c r="J955" s="244"/>
      <c r="K955" s="244"/>
      <c r="L955" s="244"/>
      <c r="M955" s="244"/>
      <c r="N955" s="244"/>
      <c r="O955" s="245"/>
      <c r="P955" s="243"/>
      <c r="Q955" s="244"/>
      <c r="R955" s="246"/>
      <c r="S955" s="503"/>
    </row>
    <row r="956" spans="1:19" ht="9.75" customHeight="1">
      <c r="A956" s="503"/>
      <c r="B956" s="503"/>
      <c r="C956" s="242"/>
      <c r="D956" s="242" t="s">
        <v>120</v>
      </c>
      <c r="E956" s="242"/>
      <c r="F956" s="243"/>
      <c r="G956" s="244"/>
      <c r="H956" s="244"/>
      <c r="I956" s="244"/>
      <c r="J956" s="244"/>
      <c r="K956" s="244"/>
      <c r="L956" s="244"/>
      <c r="M956" s="244"/>
      <c r="N956" s="244"/>
      <c r="O956" s="245"/>
      <c r="P956" s="243"/>
      <c r="Q956" s="244"/>
      <c r="R956" s="246"/>
      <c r="S956" s="503"/>
    </row>
    <row r="957" spans="1:19" ht="9.75" customHeight="1">
      <c r="A957" s="503"/>
      <c r="B957" s="503"/>
      <c r="C957" s="242"/>
      <c r="D957" s="242" t="s">
        <v>120</v>
      </c>
      <c r="E957" s="242"/>
      <c r="F957" s="243"/>
      <c r="G957" s="244"/>
      <c r="H957" s="244"/>
      <c r="I957" s="244"/>
      <c r="J957" s="244"/>
      <c r="K957" s="244"/>
      <c r="L957" s="244"/>
      <c r="M957" s="244"/>
      <c r="N957" s="244"/>
      <c r="O957" s="245"/>
      <c r="P957" s="243"/>
      <c r="Q957" s="244"/>
      <c r="R957" s="246"/>
      <c r="S957" s="503"/>
    </row>
    <row r="958" spans="1:19" ht="9.75" customHeight="1">
      <c r="A958" s="503"/>
      <c r="B958" s="503"/>
      <c r="C958" s="242"/>
      <c r="D958" s="242" t="s">
        <v>120</v>
      </c>
      <c r="E958" s="242"/>
      <c r="F958" s="243"/>
      <c r="G958" s="244"/>
      <c r="H958" s="244"/>
      <c r="I958" s="244"/>
      <c r="J958" s="244"/>
      <c r="K958" s="244"/>
      <c r="L958" s="244"/>
      <c r="M958" s="244"/>
      <c r="N958" s="244"/>
      <c r="O958" s="245"/>
      <c r="P958" s="243"/>
      <c r="Q958" s="244"/>
      <c r="R958" s="246"/>
      <c r="S958" s="503"/>
    </row>
    <row r="959" spans="1:19" ht="9.75" customHeight="1">
      <c r="A959" s="503"/>
      <c r="B959" s="503"/>
      <c r="C959" s="242"/>
      <c r="D959" s="242" t="s">
        <v>120</v>
      </c>
      <c r="E959" s="242"/>
      <c r="F959" s="243"/>
      <c r="G959" s="244"/>
      <c r="H959" s="244"/>
      <c r="I959" s="244"/>
      <c r="J959" s="244"/>
      <c r="K959" s="244"/>
      <c r="L959" s="244"/>
      <c r="M959" s="244"/>
      <c r="N959" s="244"/>
      <c r="O959" s="245"/>
      <c r="P959" s="243"/>
      <c r="Q959" s="244"/>
      <c r="R959" s="246"/>
      <c r="S959" s="503"/>
    </row>
    <row r="960" spans="1:19" ht="9.75" customHeight="1">
      <c r="A960" s="503"/>
      <c r="B960" s="503"/>
      <c r="C960" s="242"/>
      <c r="D960" s="242" t="s">
        <v>34</v>
      </c>
      <c r="E960" s="242">
        <v>1</v>
      </c>
      <c r="F960" s="243">
        <v>0</v>
      </c>
      <c r="G960" s="244">
        <v>0</v>
      </c>
      <c r="H960" s="244">
        <v>0</v>
      </c>
      <c r="I960" s="244">
        <v>0</v>
      </c>
      <c r="J960" s="244">
        <v>0</v>
      </c>
      <c r="K960" s="248">
        <v>0</v>
      </c>
      <c r="L960" s="248">
        <v>0</v>
      </c>
      <c r="M960" s="248">
        <v>0</v>
      </c>
      <c r="N960" s="248">
        <v>1</v>
      </c>
      <c r="O960" s="249">
        <v>1</v>
      </c>
      <c r="P960" s="109">
        <f>MIN(F960:O960)</f>
        <v>0</v>
      </c>
      <c r="Q960" s="504">
        <f>E960-P960</f>
        <v>1</v>
      </c>
      <c r="R960" s="107">
        <f>Q960/E960</f>
        <v>1</v>
      </c>
      <c r="S960" s="503"/>
    </row>
    <row r="961" spans="1:19" ht="9.75" customHeight="1">
      <c r="A961" s="503"/>
      <c r="B961" s="503"/>
      <c r="C961" s="242"/>
      <c r="D961" s="242" t="s">
        <v>35</v>
      </c>
      <c r="E961" s="242"/>
      <c r="F961" s="243"/>
      <c r="G961" s="244"/>
      <c r="H961" s="244"/>
      <c r="I961" s="244"/>
      <c r="J961" s="244"/>
      <c r="K961" s="244"/>
      <c r="L961" s="244"/>
      <c r="M961" s="244"/>
      <c r="N961" s="244"/>
      <c r="O961" s="245"/>
      <c r="P961" s="243"/>
      <c r="Q961" s="244"/>
      <c r="R961" s="246"/>
      <c r="S961" s="503"/>
    </row>
    <row r="962" spans="1:19" ht="9.75" customHeight="1">
      <c r="A962" s="503"/>
      <c r="B962" s="503"/>
      <c r="C962" s="242"/>
      <c r="D962" s="231" t="s">
        <v>36</v>
      </c>
      <c r="E962" s="231"/>
      <c r="F962" s="232"/>
      <c r="G962" s="233"/>
      <c r="H962" s="233"/>
      <c r="I962" s="233"/>
      <c r="J962" s="233"/>
      <c r="K962" s="233"/>
      <c r="L962" s="233"/>
      <c r="M962" s="233"/>
      <c r="N962" s="233"/>
      <c r="O962" s="251"/>
      <c r="P962" s="232"/>
      <c r="Q962" s="233"/>
      <c r="R962" s="236"/>
      <c r="S962" s="503"/>
    </row>
    <row r="963" spans="1:19" ht="9.75" customHeight="1">
      <c r="A963" s="503"/>
      <c r="B963" s="503"/>
      <c r="C963" s="242"/>
      <c r="D963" s="231" t="s">
        <v>37</v>
      </c>
      <c r="E963" s="231"/>
      <c r="F963" s="232"/>
      <c r="G963" s="233"/>
      <c r="H963" s="233"/>
      <c r="I963" s="233"/>
      <c r="J963" s="233"/>
      <c r="K963" s="233"/>
      <c r="L963" s="233"/>
      <c r="M963" s="233"/>
      <c r="N963" s="233"/>
      <c r="O963" s="251"/>
      <c r="P963" s="232"/>
      <c r="Q963" s="233"/>
      <c r="R963" s="236"/>
      <c r="S963" s="503"/>
    </row>
    <row r="964" spans="1:19" ht="9.75" customHeight="1">
      <c r="A964" s="503"/>
      <c r="B964" s="503" t="s">
        <v>127</v>
      </c>
      <c r="C964" s="250"/>
      <c r="D964" s="3" t="s">
        <v>38</v>
      </c>
      <c r="E964" s="3">
        <f t="shared" ref="E964:O964" si="170">SUM(E948:E963)</f>
        <v>1</v>
      </c>
      <c r="F964" s="21">
        <f t="shared" si="170"/>
        <v>0</v>
      </c>
      <c r="G964" s="71">
        <f t="shared" si="170"/>
        <v>0</v>
      </c>
      <c r="H964" s="71">
        <f t="shared" si="170"/>
        <v>0</v>
      </c>
      <c r="I964" s="71">
        <f t="shared" si="170"/>
        <v>0</v>
      </c>
      <c r="J964" s="71">
        <f t="shared" si="170"/>
        <v>0</v>
      </c>
      <c r="K964" s="70">
        <f t="shared" si="170"/>
        <v>0</v>
      </c>
      <c r="L964" s="70">
        <f t="shared" si="170"/>
        <v>0</v>
      </c>
      <c r="M964" s="70">
        <f t="shared" si="170"/>
        <v>0</v>
      </c>
      <c r="N964" s="70">
        <f t="shared" si="170"/>
        <v>1</v>
      </c>
      <c r="O964" s="27">
        <f t="shared" si="170"/>
        <v>1</v>
      </c>
      <c r="P964" s="21">
        <f>MIN(F964:O964)</f>
        <v>0</v>
      </c>
      <c r="Q964" s="71">
        <f>E964-P964</f>
        <v>1</v>
      </c>
      <c r="R964" s="7">
        <f>Q964/E964</f>
        <v>1</v>
      </c>
      <c r="S964" s="503"/>
    </row>
    <row r="965" spans="1:19" ht="9.75" customHeight="1">
      <c r="A965" s="503"/>
      <c r="B965" s="503"/>
      <c r="C965" s="29" t="s">
        <v>222</v>
      </c>
      <c r="D965" s="29" t="s">
        <v>23</v>
      </c>
      <c r="E965" s="43"/>
      <c r="F965" s="116"/>
      <c r="G965" s="128"/>
      <c r="H965" s="128"/>
      <c r="I965" s="128"/>
      <c r="J965" s="128"/>
      <c r="K965" s="128"/>
      <c r="L965" s="128"/>
      <c r="M965" s="128"/>
      <c r="N965" s="128"/>
      <c r="O965" s="129"/>
      <c r="P965" s="116"/>
      <c r="Q965" s="128"/>
      <c r="R965" s="141"/>
      <c r="S965" s="503"/>
    </row>
    <row r="966" spans="1:19" ht="9.75" customHeight="1">
      <c r="A966" s="503"/>
      <c r="B966" s="503"/>
      <c r="C966" s="221" t="s">
        <v>220</v>
      </c>
      <c r="D966" s="13" t="s">
        <v>25</v>
      </c>
      <c r="E966" s="13"/>
      <c r="F966" s="109"/>
      <c r="G966" s="504"/>
      <c r="H966" s="504"/>
      <c r="I966" s="504"/>
      <c r="J966" s="504"/>
      <c r="K966" s="504"/>
      <c r="L966" s="504"/>
      <c r="M966" s="504"/>
      <c r="N966" s="504"/>
      <c r="O966" s="110"/>
      <c r="P966" s="109"/>
      <c r="Q966" s="504"/>
      <c r="R966" s="107"/>
      <c r="S966" s="503"/>
    </row>
    <row r="967" spans="1:19" ht="9.75" customHeight="1">
      <c r="A967" s="503"/>
      <c r="B967" s="503"/>
      <c r="C967" s="221" t="s">
        <v>221</v>
      </c>
      <c r="D967" s="13" t="s">
        <v>27</v>
      </c>
      <c r="E967" s="13"/>
      <c r="F967" s="109"/>
      <c r="G967" s="504"/>
      <c r="H967" s="504"/>
      <c r="I967" s="504"/>
      <c r="J967" s="504"/>
      <c r="K967" s="504"/>
      <c r="L967" s="504"/>
      <c r="M967" s="504"/>
      <c r="N967" s="504"/>
      <c r="O967" s="110"/>
      <c r="P967" s="109"/>
      <c r="Q967" s="504"/>
      <c r="R967" s="107"/>
      <c r="S967" s="503"/>
    </row>
    <row r="968" spans="1:19" ht="9.75" customHeight="1">
      <c r="A968" s="503"/>
      <c r="B968" s="503"/>
      <c r="C968" s="221" t="s">
        <v>160</v>
      </c>
      <c r="D968" s="13" t="s">
        <v>115</v>
      </c>
      <c r="E968" s="13"/>
      <c r="F968" s="109"/>
      <c r="G968" s="504"/>
      <c r="H968" s="504"/>
      <c r="I968" s="504"/>
      <c r="J968" s="504"/>
      <c r="K968" s="504"/>
      <c r="L968" s="504"/>
      <c r="M968" s="504"/>
      <c r="N968" s="504"/>
      <c r="O968" s="110"/>
      <c r="P968" s="109"/>
      <c r="Q968" s="504"/>
      <c r="R968" s="107"/>
      <c r="S968" s="503"/>
    </row>
    <row r="969" spans="1:19" ht="9.75" customHeight="1">
      <c r="A969" s="503"/>
      <c r="B969" s="503"/>
      <c r="C969" s="221" t="s">
        <v>139</v>
      </c>
      <c r="D969" s="13" t="s">
        <v>115</v>
      </c>
      <c r="E969" s="13"/>
      <c r="F969" s="109"/>
      <c r="G969" s="504"/>
      <c r="H969" s="504"/>
      <c r="I969" s="504"/>
      <c r="J969" s="504"/>
      <c r="K969" s="504"/>
      <c r="L969" s="504"/>
      <c r="M969" s="504"/>
      <c r="N969" s="504"/>
      <c r="O969" s="110"/>
      <c r="P969" s="109"/>
      <c r="Q969" s="504"/>
      <c r="R969" s="107"/>
      <c r="S969" s="503"/>
    </row>
    <row r="970" spans="1:19" ht="9.75" customHeight="1">
      <c r="A970" s="503"/>
      <c r="B970" s="503"/>
      <c r="C970" s="30"/>
      <c r="D970" s="13" t="s">
        <v>32</v>
      </c>
      <c r="E970" s="13"/>
      <c r="F970" s="109"/>
      <c r="G970" s="504"/>
      <c r="H970" s="504"/>
      <c r="I970" s="504"/>
      <c r="J970" s="504"/>
      <c r="K970" s="504"/>
      <c r="L970" s="504"/>
      <c r="M970" s="504"/>
      <c r="N970" s="504"/>
      <c r="O970" s="110"/>
      <c r="P970" s="109"/>
      <c r="Q970" s="504"/>
      <c r="R970" s="107"/>
      <c r="S970" s="503"/>
    </row>
    <row r="971" spans="1:19" ht="9.75" customHeight="1">
      <c r="A971" s="503"/>
      <c r="B971" s="503"/>
      <c r="C971" s="30"/>
      <c r="D971" s="231" t="s">
        <v>223</v>
      </c>
      <c r="E971" s="231">
        <v>1</v>
      </c>
      <c r="F971" s="232"/>
      <c r="G971" s="233"/>
      <c r="H971" s="233"/>
      <c r="I971" s="233"/>
      <c r="J971" s="233"/>
      <c r="K971" s="234"/>
      <c r="L971" s="234"/>
      <c r="M971" s="234"/>
      <c r="N971" s="234"/>
      <c r="O971" s="235"/>
      <c r="P971" s="232" t="str">
        <f>IF(F971, MIN(F971:O971), "")</f>
        <v/>
      </c>
      <c r="Q971" s="233" t="str">
        <f>IF(F971, E971-P971, "")</f>
        <v/>
      </c>
      <c r="R971" s="236" t="str">
        <f>IF(F971, Q971/E971, "")</f>
        <v/>
      </c>
      <c r="S971" s="503"/>
    </row>
    <row r="972" spans="1:19" ht="9.75" customHeight="1">
      <c r="A972" s="503"/>
      <c r="B972" s="503"/>
      <c r="C972" s="30"/>
      <c r="D972" s="13" t="s">
        <v>120</v>
      </c>
      <c r="E972" s="13"/>
      <c r="F972" s="109"/>
      <c r="G972" s="504"/>
      <c r="H972" s="504"/>
      <c r="I972" s="504"/>
      <c r="J972" s="504"/>
      <c r="K972" s="32"/>
      <c r="L972" s="32"/>
      <c r="M972" s="32"/>
      <c r="N972" s="32"/>
      <c r="O972" s="142"/>
      <c r="P972" s="109"/>
      <c r="Q972" s="504"/>
      <c r="R972" s="107"/>
      <c r="S972" s="503"/>
    </row>
    <row r="973" spans="1:19" ht="9.75" customHeight="1">
      <c r="A973" s="503"/>
      <c r="B973" s="503"/>
      <c r="C973" s="30"/>
      <c r="D973" s="13" t="s">
        <v>120</v>
      </c>
      <c r="E973" s="13"/>
      <c r="F973" s="109"/>
      <c r="G973" s="504"/>
      <c r="H973" s="504"/>
      <c r="I973" s="504"/>
      <c r="J973" s="504"/>
      <c r="K973" s="32"/>
      <c r="L973" s="32"/>
      <c r="M973" s="32"/>
      <c r="N973" s="32"/>
      <c r="O973" s="142"/>
      <c r="P973" s="109"/>
      <c r="Q973" s="504"/>
      <c r="R973" s="107"/>
      <c r="S973" s="503"/>
    </row>
    <row r="974" spans="1:19" ht="9.75" customHeight="1">
      <c r="A974" s="503"/>
      <c r="B974" s="503"/>
      <c r="C974" s="30"/>
      <c r="D974" s="13" t="s">
        <v>120</v>
      </c>
      <c r="E974" s="13"/>
      <c r="F974" s="109"/>
      <c r="G974" s="504"/>
      <c r="H974" s="504"/>
      <c r="I974" s="504"/>
      <c r="J974" s="504"/>
      <c r="K974" s="32"/>
      <c r="L974" s="32"/>
      <c r="M974" s="32"/>
      <c r="N974" s="32"/>
      <c r="O974" s="142"/>
      <c r="P974" s="109"/>
      <c r="Q974" s="504"/>
      <c r="R974" s="107"/>
      <c r="S974" s="503"/>
    </row>
    <row r="975" spans="1:19" ht="9.75" customHeight="1">
      <c r="A975" s="503"/>
      <c r="B975" s="503"/>
      <c r="C975" s="30"/>
      <c r="D975" s="13" t="s">
        <v>120</v>
      </c>
      <c r="E975" s="13"/>
      <c r="F975" s="109"/>
      <c r="G975" s="504"/>
      <c r="H975" s="504"/>
      <c r="I975" s="504"/>
      <c r="J975" s="504"/>
      <c r="K975" s="32"/>
      <c r="L975" s="32"/>
      <c r="M975" s="32"/>
      <c r="N975" s="32"/>
      <c r="O975" s="142"/>
      <c r="P975" s="109"/>
      <c r="Q975" s="504"/>
      <c r="R975" s="107"/>
      <c r="S975" s="503"/>
    </row>
    <row r="976" spans="1:19" ht="9.75" customHeight="1">
      <c r="A976" s="503"/>
      <c r="B976" s="503"/>
      <c r="C976" s="30"/>
      <c r="D976" s="13" t="s">
        <v>120</v>
      </c>
      <c r="E976" s="13"/>
      <c r="F976" s="109"/>
      <c r="G976" s="504"/>
      <c r="H976" s="504"/>
      <c r="I976" s="504"/>
      <c r="J976" s="504"/>
      <c r="K976" s="32"/>
      <c r="L976" s="32"/>
      <c r="M976" s="32"/>
      <c r="N976" s="32"/>
      <c r="O976" s="142"/>
      <c r="P976" s="109"/>
      <c r="Q976" s="504"/>
      <c r="R976" s="107"/>
      <c r="S976" s="503"/>
    </row>
    <row r="977" spans="1:19" ht="9.75" customHeight="1">
      <c r="A977" s="503"/>
      <c r="B977" s="503"/>
      <c r="C977" s="30"/>
      <c r="D977" s="13" t="s">
        <v>34</v>
      </c>
      <c r="E977" s="13">
        <v>4</v>
      </c>
      <c r="F977" s="109">
        <v>3</v>
      </c>
      <c r="G977" s="504">
        <v>3</v>
      </c>
      <c r="H977" s="504">
        <v>3</v>
      </c>
      <c r="I977" s="504">
        <v>3</v>
      </c>
      <c r="J977" s="504">
        <v>3</v>
      </c>
      <c r="K977" s="11">
        <v>3</v>
      </c>
      <c r="L977" s="11">
        <v>3</v>
      </c>
      <c r="M977" s="11">
        <v>2</v>
      </c>
      <c r="N977" s="11">
        <v>2</v>
      </c>
      <c r="O977" s="136">
        <v>2</v>
      </c>
      <c r="P977" s="109">
        <f t="shared" ref="P977:P978" si="171">MIN(F977:O977)</f>
        <v>2</v>
      </c>
      <c r="Q977" s="504">
        <f>E977-P977</f>
        <v>2</v>
      </c>
      <c r="R977" s="107">
        <f t="shared" ref="R977:R978" si="172">Q977/E977</f>
        <v>0.5</v>
      </c>
      <c r="S977" s="503"/>
    </row>
    <row r="978" spans="1:19" ht="9.75" customHeight="1">
      <c r="A978" s="503"/>
      <c r="B978" s="503"/>
      <c r="C978" s="30"/>
      <c r="D978" s="13" t="s">
        <v>35</v>
      </c>
      <c r="E978" s="13">
        <v>1</v>
      </c>
      <c r="F978" s="109">
        <v>0</v>
      </c>
      <c r="G978" s="504">
        <v>1</v>
      </c>
      <c r="H978" s="504">
        <v>1</v>
      </c>
      <c r="I978" s="504">
        <v>1</v>
      </c>
      <c r="J978" s="504">
        <v>0</v>
      </c>
      <c r="K978" s="11">
        <v>1</v>
      </c>
      <c r="L978" s="11">
        <v>1</v>
      </c>
      <c r="M978" s="11">
        <v>1</v>
      </c>
      <c r="N978" s="11">
        <v>0</v>
      </c>
      <c r="O978" s="136">
        <v>1</v>
      </c>
      <c r="P978" s="109">
        <f t="shared" si="171"/>
        <v>0</v>
      </c>
      <c r="Q978" s="504">
        <f t="shared" ref="Q978" si="173">E978-P978</f>
        <v>1</v>
      </c>
      <c r="R978" s="107">
        <f t="shared" si="172"/>
        <v>1</v>
      </c>
      <c r="S978" s="503"/>
    </row>
    <row r="979" spans="1:19" ht="9.75" customHeight="1">
      <c r="A979" s="503"/>
      <c r="B979" s="503"/>
      <c r="C979" s="30"/>
      <c r="D979" s="13" t="s">
        <v>36</v>
      </c>
      <c r="E979" s="13"/>
      <c r="F979" s="109"/>
      <c r="G979" s="504"/>
      <c r="H979" s="504"/>
      <c r="I979" s="504"/>
      <c r="J979" s="504"/>
      <c r="K979" s="32"/>
      <c r="L979" s="32"/>
      <c r="M979" s="32"/>
      <c r="N979" s="32"/>
      <c r="O979" s="142"/>
      <c r="P979" s="109"/>
      <c r="Q979" s="504"/>
      <c r="R979" s="107"/>
      <c r="S979" s="503"/>
    </row>
    <row r="980" spans="1:19" ht="9.75" customHeight="1">
      <c r="A980" s="503"/>
      <c r="B980" s="503"/>
      <c r="C980" s="30"/>
      <c r="D980" s="13" t="s">
        <v>37</v>
      </c>
      <c r="E980" s="13">
        <v>17</v>
      </c>
      <c r="F980" s="109">
        <v>10</v>
      </c>
      <c r="G980" s="504">
        <f>E980-8</f>
        <v>9</v>
      </c>
      <c r="H980" s="504">
        <f>E980-8</f>
        <v>9</v>
      </c>
      <c r="I980" s="504">
        <f>E980-6</f>
        <v>11</v>
      </c>
      <c r="J980" s="504">
        <f>E980-6</f>
        <v>11</v>
      </c>
      <c r="K980" s="143">
        <f>E980-11</f>
        <v>6</v>
      </c>
      <c r="L980" s="143">
        <f>E980-12</f>
        <v>5</v>
      </c>
      <c r="M980" s="143">
        <f>E980-7</f>
        <v>10</v>
      </c>
      <c r="N980" s="143">
        <f>E980-13</f>
        <v>4</v>
      </c>
      <c r="O980" s="144">
        <f>E980-13</f>
        <v>4</v>
      </c>
      <c r="P980" s="109">
        <f t="shared" ref="P980:P981" si="174">MIN(F980:O980)</f>
        <v>4</v>
      </c>
      <c r="Q980" s="504">
        <f t="shared" ref="Q980:Q981" si="175">E980-P980</f>
        <v>13</v>
      </c>
      <c r="R980" s="107">
        <f t="shared" ref="R980:R981" si="176">Q980/E980</f>
        <v>0.76470588235294112</v>
      </c>
      <c r="S980" s="503"/>
    </row>
    <row r="981" spans="1:19" ht="9.75" customHeight="1">
      <c r="A981" s="503"/>
      <c r="B981" s="503" t="s">
        <v>127</v>
      </c>
      <c r="C981" s="31"/>
      <c r="D981" s="3" t="s">
        <v>38</v>
      </c>
      <c r="E981" s="3">
        <f t="shared" ref="E981:O981" si="177">SUM(E965:E980)</f>
        <v>23</v>
      </c>
      <c r="F981" s="21">
        <f t="shared" si="177"/>
        <v>13</v>
      </c>
      <c r="G981" s="71">
        <f t="shared" si="177"/>
        <v>13</v>
      </c>
      <c r="H981" s="71">
        <f t="shared" si="177"/>
        <v>13</v>
      </c>
      <c r="I981" s="71">
        <f t="shared" si="177"/>
        <v>15</v>
      </c>
      <c r="J981" s="71">
        <f t="shared" si="177"/>
        <v>14</v>
      </c>
      <c r="K981" s="71">
        <f t="shared" si="177"/>
        <v>10</v>
      </c>
      <c r="L981" s="71">
        <f t="shared" si="177"/>
        <v>9</v>
      </c>
      <c r="M981" s="71">
        <f t="shared" si="177"/>
        <v>13</v>
      </c>
      <c r="N981" s="71">
        <f t="shared" si="177"/>
        <v>6</v>
      </c>
      <c r="O981" s="26">
        <f t="shared" si="177"/>
        <v>7</v>
      </c>
      <c r="P981" s="21">
        <f t="shared" si="174"/>
        <v>6</v>
      </c>
      <c r="Q981" s="71">
        <f t="shared" si="175"/>
        <v>17</v>
      </c>
      <c r="R981" s="7">
        <f t="shared" si="176"/>
        <v>0.73913043478260865</v>
      </c>
      <c r="S981" s="503"/>
    </row>
    <row r="982" spans="1:19" ht="9.75" customHeight="1">
      <c r="A982" s="503"/>
      <c r="B982" s="503"/>
      <c r="C982" s="43" t="s">
        <v>224</v>
      </c>
      <c r="D982" s="29" t="s">
        <v>23</v>
      </c>
      <c r="E982" s="43"/>
      <c r="F982" s="116"/>
      <c r="G982" s="128"/>
      <c r="H982" s="128"/>
      <c r="I982" s="128"/>
      <c r="J982" s="128"/>
      <c r="K982" s="128"/>
      <c r="L982" s="128"/>
      <c r="M982" s="128"/>
      <c r="N982" s="128"/>
      <c r="O982" s="129"/>
      <c r="P982" s="116"/>
      <c r="Q982" s="128"/>
      <c r="R982" s="141"/>
      <c r="S982" s="503"/>
    </row>
    <row r="983" spans="1:19" ht="9.75" customHeight="1">
      <c r="A983" s="503"/>
      <c r="B983" s="503"/>
      <c r="C983" s="30"/>
      <c r="D983" s="13" t="s">
        <v>25</v>
      </c>
      <c r="E983" s="13"/>
      <c r="F983" s="109"/>
      <c r="G983" s="504"/>
      <c r="H983" s="504"/>
      <c r="I983" s="504"/>
      <c r="J983" s="504"/>
      <c r="K983" s="504"/>
      <c r="L983" s="504"/>
      <c r="M983" s="504"/>
      <c r="N983" s="504"/>
      <c r="O983" s="110"/>
      <c r="P983" s="109"/>
      <c r="Q983" s="504"/>
      <c r="R983" s="107"/>
      <c r="S983" s="503"/>
    </row>
    <row r="984" spans="1:19" ht="9.75" customHeight="1">
      <c r="A984" s="503"/>
      <c r="B984" s="503"/>
      <c r="C984" s="30"/>
      <c r="D984" s="13" t="s">
        <v>27</v>
      </c>
      <c r="E984" s="13"/>
      <c r="F984" s="109"/>
      <c r="G984" s="504"/>
      <c r="H984" s="504"/>
      <c r="I984" s="504"/>
      <c r="J984" s="504"/>
      <c r="K984" s="504"/>
      <c r="L984" s="504"/>
      <c r="M984" s="504"/>
      <c r="N984" s="504"/>
      <c r="O984" s="110"/>
      <c r="P984" s="109"/>
      <c r="Q984" s="504"/>
      <c r="R984" s="107"/>
      <c r="S984" s="503"/>
    </row>
    <row r="985" spans="1:19" ht="9.75" customHeight="1">
      <c r="A985" s="503"/>
      <c r="B985" s="503"/>
      <c r="C985" s="30"/>
      <c r="D985" s="13" t="s">
        <v>115</v>
      </c>
      <c r="E985" s="13"/>
      <c r="F985" s="109"/>
      <c r="G985" s="504"/>
      <c r="H985" s="504"/>
      <c r="I985" s="504"/>
      <c r="J985" s="504"/>
      <c r="K985" s="504"/>
      <c r="L985" s="504"/>
      <c r="M985" s="504"/>
      <c r="N985" s="504"/>
      <c r="O985" s="110"/>
      <c r="P985" s="109"/>
      <c r="Q985" s="504"/>
      <c r="R985" s="107"/>
      <c r="S985" s="503"/>
    </row>
    <row r="986" spans="1:19" ht="9.75" customHeight="1">
      <c r="A986" s="503"/>
      <c r="B986" s="503"/>
      <c r="C986" s="30"/>
      <c r="D986" s="13" t="s">
        <v>115</v>
      </c>
      <c r="E986" s="13"/>
      <c r="F986" s="109"/>
      <c r="G986" s="504"/>
      <c r="H986" s="504"/>
      <c r="I986" s="504"/>
      <c r="J986" s="504"/>
      <c r="K986" s="504"/>
      <c r="L986" s="504"/>
      <c r="M986" s="504"/>
      <c r="N986" s="504"/>
      <c r="O986" s="110"/>
      <c r="P986" s="109"/>
      <c r="Q986" s="504"/>
      <c r="R986" s="107"/>
      <c r="S986" s="503"/>
    </row>
    <row r="987" spans="1:19" ht="9.75" customHeight="1">
      <c r="A987" s="503"/>
      <c r="B987" s="503"/>
      <c r="C987" s="30"/>
      <c r="D987" s="13" t="s">
        <v>32</v>
      </c>
      <c r="E987" s="13"/>
      <c r="F987" s="109"/>
      <c r="G987" s="504"/>
      <c r="H987" s="504"/>
      <c r="I987" s="504"/>
      <c r="J987" s="504"/>
      <c r="K987" s="504"/>
      <c r="L987" s="504"/>
      <c r="M987" s="504"/>
      <c r="N987" s="504"/>
      <c r="O987" s="110"/>
      <c r="P987" s="109"/>
      <c r="Q987" s="504"/>
      <c r="R987" s="107"/>
      <c r="S987" s="503"/>
    </row>
    <row r="988" spans="1:19" ht="9.75" customHeight="1">
      <c r="A988" s="503"/>
      <c r="B988" s="503"/>
      <c r="C988" s="30"/>
      <c r="D988" s="13" t="s">
        <v>120</v>
      </c>
      <c r="E988" s="13"/>
      <c r="F988" s="109"/>
      <c r="G988" s="504"/>
      <c r="H988" s="504"/>
      <c r="I988" s="504"/>
      <c r="J988" s="504"/>
      <c r="K988" s="504"/>
      <c r="L988" s="504"/>
      <c r="M988" s="504"/>
      <c r="N988" s="504"/>
      <c r="O988" s="110"/>
      <c r="P988" s="109"/>
      <c r="Q988" s="504"/>
      <c r="R988" s="107"/>
      <c r="S988" s="503"/>
    </row>
    <row r="989" spans="1:19" ht="9.75" customHeight="1">
      <c r="A989" s="503"/>
      <c r="B989" s="503"/>
      <c r="C989" s="30"/>
      <c r="D989" s="13" t="s">
        <v>120</v>
      </c>
      <c r="E989" s="13"/>
      <c r="F989" s="109"/>
      <c r="G989" s="504"/>
      <c r="H989" s="504"/>
      <c r="I989" s="504"/>
      <c r="J989" s="504"/>
      <c r="K989" s="504"/>
      <c r="L989" s="504"/>
      <c r="M989" s="504"/>
      <c r="N989" s="504"/>
      <c r="O989" s="110"/>
      <c r="P989" s="109"/>
      <c r="Q989" s="504"/>
      <c r="R989" s="107"/>
      <c r="S989" s="503"/>
    </row>
    <row r="990" spans="1:19" ht="9.75" customHeight="1">
      <c r="A990" s="503"/>
      <c r="B990" s="503"/>
      <c r="C990" s="30"/>
      <c r="D990" s="13" t="s">
        <v>120</v>
      </c>
      <c r="E990" s="13"/>
      <c r="F990" s="109"/>
      <c r="G990" s="504"/>
      <c r="H990" s="504"/>
      <c r="I990" s="504"/>
      <c r="J990" s="504"/>
      <c r="K990" s="504"/>
      <c r="L990" s="504"/>
      <c r="M990" s="504"/>
      <c r="N990" s="504"/>
      <c r="O990" s="110"/>
      <c r="P990" s="109"/>
      <c r="Q990" s="504"/>
      <c r="R990" s="107"/>
      <c r="S990" s="503"/>
    </row>
    <row r="991" spans="1:19" ht="9.75" customHeight="1">
      <c r="A991" s="503"/>
      <c r="B991" s="503"/>
      <c r="C991" s="30"/>
      <c r="D991" s="13" t="s">
        <v>120</v>
      </c>
      <c r="E991" s="13"/>
      <c r="F991" s="109"/>
      <c r="G991" s="504"/>
      <c r="H991" s="504"/>
      <c r="I991" s="504"/>
      <c r="J991" s="504"/>
      <c r="K991" s="504"/>
      <c r="L991" s="504"/>
      <c r="M991" s="504"/>
      <c r="N991" s="504"/>
      <c r="O991" s="110"/>
      <c r="P991" s="109"/>
      <c r="Q991" s="504"/>
      <c r="R991" s="107"/>
      <c r="S991" s="503"/>
    </row>
    <row r="992" spans="1:19" ht="9.75" customHeight="1">
      <c r="A992" s="503"/>
      <c r="B992" s="503"/>
      <c r="C992" s="30"/>
      <c r="D992" s="13" t="s">
        <v>120</v>
      </c>
      <c r="E992" s="13"/>
      <c r="F992" s="109"/>
      <c r="G992" s="504"/>
      <c r="H992" s="504"/>
      <c r="I992" s="504"/>
      <c r="J992" s="504"/>
      <c r="K992" s="504"/>
      <c r="L992" s="504"/>
      <c r="M992" s="504"/>
      <c r="N992" s="504"/>
      <c r="O992" s="110"/>
      <c r="P992" s="109"/>
      <c r="Q992" s="504"/>
      <c r="R992" s="107"/>
      <c r="S992" s="503"/>
    </row>
    <row r="993" spans="1:21" ht="9.75" customHeight="1">
      <c r="A993" s="503"/>
      <c r="B993" s="503"/>
      <c r="C993" s="30"/>
      <c r="D993" s="13" t="s">
        <v>120</v>
      </c>
      <c r="E993" s="13"/>
      <c r="F993" s="109"/>
      <c r="G993" s="504"/>
      <c r="H993" s="504"/>
      <c r="I993" s="504"/>
      <c r="J993" s="504"/>
      <c r="K993" s="504"/>
      <c r="L993" s="504"/>
      <c r="M993" s="504"/>
      <c r="N993" s="504"/>
      <c r="O993" s="110"/>
      <c r="P993" s="109"/>
      <c r="Q993" s="504"/>
      <c r="R993" s="107"/>
      <c r="S993" s="503"/>
    </row>
    <row r="994" spans="1:21" ht="9.75" customHeight="1">
      <c r="A994" s="503"/>
      <c r="B994" s="503"/>
      <c r="C994" s="30"/>
      <c r="D994" s="13" t="s">
        <v>34</v>
      </c>
      <c r="E994" s="13">
        <v>4</v>
      </c>
      <c r="F994" s="109">
        <v>4</v>
      </c>
      <c r="G994" s="504">
        <v>4</v>
      </c>
      <c r="H994" s="504">
        <v>4</v>
      </c>
      <c r="I994" s="504">
        <v>4</v>
      </c>
      <c r="J994" s="504">
        <v>3</v>
      </c>
      <c r="K994" s="11">
        <v>3</v>
      </c>
      <c r="L994" s="11">
        <v>3</v>
      </c>
      <c r="M994" s="11">
        <v>3</v>
      </c>
      <c r="N994" s="11">
        <v>4</v>
      </c>
      <c r="O994" s="136">
        <v>4</v>
      </c>
      <c r="P994" s="109">
        <f t="shared" ref="P994:P996" si="178">MIN(F994:O994)</f>
        <v>3</v>
      </c>
      <c r="Q994" s="504">
        <f t="shared" ref="Q994:Q996" si="179">E994-P994</f>
        <v>1</v>
      </c>
      <c r="R994" s="107">
        <f t="shared" ref="R994:R996" si="180">Q994/E994</f>
        <v>0.25</v>
      </c>
      <c r="S994" s="503"/>
    </row>
    <row r="995" spans="1:21" ht="9.75" customHeight="1">
      <c r="A995" s="503"/>
      <c r="B995" s="503"/>
      <c r="C995" s="30"/>
      <c r="D995" s="13" t="s">
        <v>35</v>
      </c>
      <c r="E995" s="13">
        <v>2</v>
      </c>
      <c r="F995" s="109">
        <v>2</v>
      </c>
      <c r="G995" s="504">
        <v>2</v>
      </c>
      <c r="H995" s="504">
        <v>2</v>
      </c>
      <c r="I995" s="504">
        <v>2</v>
      </c>
      <c r="J995" s="504">
        <v>2</v>
      </c>
      <c r="K995" s="11">
        <v>2</v>
      </c>
      <c r="L995" s="11">
        <v>2</v>
      </c>
      <c r="M995" s="11">
        <v>1</v>
      </c>
      <c r="N995" s="11">
        <v>1</v>
      </c>
      <c r="O995" s="136">
        <v>1</v>
      </c>
      <c r="P995" s="109">
        <f t="shared" si="178"/>
        <v>1</v>
      </c>
      <c r="Q995" s="504">
        <f t="shared" si="179"/>
        <v>1</v>
      </c>
      <c r="R995" s="107">
        <f t="shared" si="180"/>
        <v>0.5</v>
      </c>
      <c r="S995" s="503"/>
    </row>
    <row r="996" spans="1:21" ht="9.75" customHeight="1">
      <c r="A996" s="503"/>
      <c r="B996" s="503"/>
      <c r="C996" s="30"/>
      <c r="D996" s="13" t="s">
        <v>36</v>
      </c>
      <c r="E996" s="13">
        <v>8</v>
      </c>
      <c r="F996" s="109">
        <v>5</v>
      </c>
      <c r="G996" s="504">
        <v>5</v>
      </c>
      <c r="H996" s="504">
        <v>5</v>
      </c>
      <c r="I996" s="504">
        <v>5</v>
      </c>
      <c r="J996" s="504">
        <v>5</v>
      </c>
      <c r="K996" s="11">
        <v>5</v>
      </c>
      <c r="L996" s="11">
        <v>3</v>
      </c>
      <c r="M996" s="11">
        <v>2</v>
      </c>
      <c r="N996" s="11">
        <v>1</v>
      </c>
      <c r="O996" s="136">
        <v>1</v>
      </c>
      <c r="P996" s="109">
        <f t="shared" si="178"/>
        <v>1</v>
      </c>
      <c r="Q996" s="504">
        <f t="shared" si="179"/>
        <v>7</v>
      </c>
      <c r="R996" s="107">
        <f t="shared" si="180"/>
        <v>0.875</v>
      </c>
      <c r="S996" s="503"/>
    </row>
    <row r="997" spans="1:21" ht="9.75" customHeight="1">
      <c r="A997" s="503"/>
      <c r="B997" s="503"/>
      <c r="C997" s="30"/>
      <c r="D997" s="13" t="s">
        <v>37</v>
      </c>
      <c r="E997" s="13"/>
      <c r="F997" s="109"/>
      <c r="G997" s="504"/>
      <c r="H997" s="504"/>
      <c r="I997" s="504"/>
      <c r="J997" s="504"/>
      <c r="K997" s="504"/>
      <c r="L997" s="504"/>
      <c r="M997" s="504"/>
      <c r="N997" s="504"/>
      <c r="O997" s="110"/>
      <c r="P997" s="109"/>
      <c r="Q997" s="504"/>
      <c r="R997" s="107"/>
      <c r="S997" s="503"/>
    </row>
    <row r="998" spans="1:21" ht="9.75" customHeight="1">
      <c r="A998" s="503"/>
      <c r="B998" s="503" t="s">
        <v>127</v>
      </c>
      <c r="C998" s="31"/>
      <c r="D998" s="3" t="s">
        <v>38</v>
      </c>
      <c r="E998" s="3">
        <f t="shared" ref="E998:O998" si="181">SUM(E982:E997)</f>
        <v>14</v>
      </c>
      <c r="F998" s="21">
        <f t="shared" si="181"/>
        <v>11</v>
      </c>
      <c r="G998" s="71">
        <f t="shared" si="181"/>
        <v>11</v>
      </c>
      <c r="H998" s="71">
        <f t="shared" si="181"/>
        <v>11</v>
      </c>
      <c r="I998" s="71">
        <f t="shared" si="181"/>
        <v>11</v>
      </c>
      <c r="J998" s="71">
        <f t="shared" si="181"/>
        <v>10</v>
      </c>
      <c r="K998" s="71">
        <f t="shared" si="181"/>
        <v>10</v>
      </c>
      <c r="L998" s="71">
        <f t="shared" si="181"/>
        <v>8</v>
      </c>
      <c r="M998" s="71">
        <f t="shared" si="181"/>
        <v>6</v>
      </c>
      <c r="N998" s="71">
        <f t="shared" si="181"/>
        <v>6</v>
      </c>
      <c r="O998" s="26">
        <f t="shared" si="181"/>
        <v>6</v>
      </c>
      <c r="P998" s="21">
        <f>MIN(F998:O998)</f>
        <v>6</v>
      </c>
      <c r="Q998" s="71">
        <f>E998-P998</f>
        <v>8</v>
      </c>
      <c r="R998" s="7">
        <f>Q998/E998</f>
        <v>0.5714285714285714</v>
      </c>
      <c r="S998" s="503"/>
    </row>
    <row r="999" spans="1:21" ht="9.75" customHeight="1">
      <c r="A999" s="503"/>
      <c r="B999" s="503"/>
      <c r="C999" s="252" t="s">
        <v>225</v>
      </c>
      <c r="D999" s="252" t="s">
        <v>23</v>
      </c>
      <c r="E999" s="252"/>
      <c r="F999" s="253"/>
      <c r="G999" s="254"/>
      <c r="H999" s="254"/>
      <c r="I999" s="254"/>
      <c r="J999" s="254"/>
      <c r="K999" s="254"/>
      <c r="L999" s="254"/>
      <c r="M999" s="254"/>
      <c r="N999" s="254"/>
      <c r="O999" s="255"/>
      <c r="P999" s="253"/>
      <c r="Q999" s="254"/>
      <c r="R999" s="256"/>
      <c r="S999" s="503"/>
    </row>
    <row r="1000" spans="1:21" ht="9.75" customHeight="1">
      <c r="A1000" s="503"/>
      <c r="B1000" s="503"/>
      <c r="C1000" s="257" t="s">
        <v>226</v>
      </c>
      <c r="D1000" s="257" t="s">
        <v>25</v>
      </c>
      <c r="E1000" s="257">
        <v>120</v>
      </c>
      <c r="F1000" s="258"/>
      <c r="G1000" s="259"/>
      <c r="H1000" s="259"/>
      <c r="I1000" s="259"/>
      <c r="J1000" s="259"/>
      <c r="K1000" s="260"/>
      <c r="L1000" s="260"/>
      <c r="M1000" s="260"/>
      <c r="N1000" s="260"/>
      <c r="O1000" s="261"/>
      <c r="P1000" s="258">
        <f>MIN(F1000:O1000)</f>
        <v>0</v>
      </c>
      <c r="Q1000" s="259">
        <f>E1000-P1000</f>
        <v>120</v>
      </c>
      <c r="R1000" s="262">
        <f>Q1000/E1000</f>
        <v>1</v>
      </c>
      <c r="S1000" s="503"/>
    </row>
    <row r="1001" spans="1:21" ht="9.75" customHeight="1">
      <c r="A1001" s="503"/>
      <c r="B1001" s="503"/>
      <c r="C1001" s="257" t="s">
        <v>227</v>
      </c>
      <c r="D1001" s="257" t="s">
        <v>27</v>
      </c>
      <c r="E1001" s="257"/>
      <c r="F1001" s="258"/>
      <c r="G1001" s="259"/>
      <c r="H1001" s="259"/>
      <c r="I1001" s="259"/>
      <c r="J1001" s="259"/>
      <c r="K1001" s="263"/>
      <c r="L1001" s="263"/>
      <c r="M1001" s="263"/>
      <c r="N1001" s="263"/>
      <c r="O1001" s="264"/>
      <c r="P1001" s="258"/>
      <c r="Q1001" s="259"/>
      <c r="R1001" s="262"/>
      <c r="S1001" s="503"/>
    </row>
    <row r="1002" spans="1:21" ht="9.75" customHeight="1">
      <c r="A1002" s="503"/>
      <c r="B1002" s="503"/>
      <c r="C1002" s="257" t="s">
        <v>228</v>
      </c>
      <c r="D1002" s="257" t="s">
        <v>198</v>
      </c>
      <c r="E1002" s="257">
        <v>13</v>
      </c>
      <c r="F1002" s="258"/>
      <c r="G1002" s="259"/>
      <c r="H1002" s="259"/>
      <c r="I1002" s="259"/>
      <c r="J1002" s="259"/>
      <c r="K1002" s="260"/>
      <c r="L1002" s="260"/>
      <c r="M1002" s="260"/>
      <c r="N1002" s="260"/>
      <c r="O1002" s="261"/>
      <c r="P1002" s="258">
        <f>MIN(F1002:O1002)</f>
        <v>0</v>
      </c>
      <c r="Q1002" s="259">
        <f>E1002-P1002</f>
        <v>13</v>
      </c>
      <c r="R1002" s="262">
        <f>Q1002/E1002</f>
        <v>1</v>
      </c>
      <c r="S1002" s="503"/>
    </row>
    <row r="1003" spans="1:21" ht="9.75" customHeight="1">
      <c r="A1003" s="503"/>
      <c r="B1003" s="503"/>
      <c r="C1003" s="257" t="s">
        <v>229</v>
      </c>
      <c r="D1003" s="257" t="s">
        <v>31</v>
      </c>
      <c r="E1003" s="257"/>
      <c r="F1003" s="258"/>
      <c r="G1003" s="382"/>
      <c r="H1003" s="382"/>
      <c r="I1003" s="382"/>
      <c r="J1003" s="382"/>
      <c r="K1003" s="382"/>
      <c r="L1003" s="382"/>
      <c r="M1003" s="382"/>
      <c r="N1003" s="382"/>
      <c r="O1003" s="265"/>
      <c r="P1003" s="258"/>
      <c r="Q1003" s="259"/>
      <c r="R1003" s="262"/>
      <c r="S1003" s="503"/>
    </row>
    <row r="1004" spans="1:21" ht="9.75" customHeight="1">
      <c r="A1004" s="503"/>
      <c r="B1004" s="503"/>
      <c r="C1004" s="257" t="s">
        <v>230</v>
      </c>
      <c r="D1004" s="381" t="s">
        <v>231</v>
      </c>
      <c r="E1004" s="383">
        <v>2</v>
      </c>
      <c r="F1004" s="386"/>
      <c r="G1004" s="386"/>
      <c r="H1004" s="386"/>
      <c r="I1004" s="386"/>
      <c r="J1004" s="386"/>
      <c r="K1004" s="387"/>
      <c r="L1004" s="387"/>
      <c r="M1004" s="387"/>
      <c r="N1004" s="387"/>
      <c r="O1004" s="383"/>
      <c r="P1004" s="388">
        <f t="shared" ref="P1004:P1007" si="182">MIN(F1004:O1004)</f>
        <v>0</v>
      </c>
      <c r="Q1004" s="267">
        <f t="shared" ref="Q1004:Q1007" si="183">E1004-P1004</f>
        <v>2</v>
      </c>
      <c r="R1004" s="268">
        <f t="shared" ref="R1004:R1007" si="184">Q1004/E1004</f>
        <v>1</v>
      </c>
      <c r="S1004" s="503"/>
    </row>
    <row r="1005" spans="1:21" ht="9.75" customHeight="1">
      <c r="A1005" s="503"/>
      <c r="B1005" s="503"/>
      <c r="C1005" s="258" t="s">
        <v>232</v>
      </c>
      <c r="D1005" s="266" t="s">
        <v>233</v>
      </c>
      <c r="E1005" s="385">
        <v>2</v>
      </c>
      <c r="F1005" s="382"/>
      <c r="G1005" s="382"/>
      <c r="H1005" s="382"/>
      <c r="I1005" s="382"/>
      <c r="J1005" s="382"/>
      <c r="K1005" s="392"/>
      <c r="L1005" s="392"/>
      <c r="M1005" s="392"/>
      <c r="N1005" s="392"/>
      <c r="O1005" s="385"/>
      <c r="P1005" s="382">
        <f t="shared" si="182"/>
        <v>0</v>
      </c>
      <c r="Q1005" s="380">
        <f t="shared" si="183"/>
        <v>2</v>
      </c>
      <c r="R1005" s="262">
        <f t="shared" si="184"/>
        <v>1</v>
      </c>
      <c r="S1005" s="393"/>
    </row>
    <row r="1006" spans="1:21" s="379" customFormat="1" ht="9.75" customHeight="1">
      <c r="A1006" s="503"/>
      <c r="B1006" s="503"/>
      <c r="C1006" s="257" t="s">
        <v>2</v>
      </c>
      <c r="D1006" s="394" t="s">
        <v>234</v>
      </c>
      <c r="E1006" s="384">
        <f>SUBTOTAL(9,E1004,E1005)</f>
        <v>4</v>
      </c>
      <c r="F1006" s="389" t="str">
        <f>IF(F1004, SUBTOTAL(9,F1004,F1005), "")</f>
        <v/>
      </c>
      <c r="G1006" s="389" t="str">
        <f t="shared" ref="G1006:O1006" si="185">IF(G1004, SUBTOTAL(9,G1004,G1005), "")</f>
        <v/>
      </c>
      <c r="H1006" s="389" t="str">
        <f t="shared" si="185"/>
        <v/>
      </c>
      <c r="I1006" s="389" t="str">
        <f t="shared" si="185"/>
        <v/>
      </c>
      <c r="J1006" s="389" t="str">
        <f t="shared" si="185"/>
        <v/>
      </c>
      <c r="K1006" s="390" t="str">
        <f t="shared" si="185"/>
        <v/>
      </c>
      <c r="L1006" s="390" t="str">
        <f t="shared" si="185"/>
        <v/>
      </c>
      <c r="M1006" s="390" t="str">
        <f t="shared" si="185"/>
        <v/>
      </c>
      <c r="N1006" s="390" t="str">
        <f t="shared" si="185"/>
        <v/>
      </c>
      <c r="O1006" s="384" t="str">
        <f t="shared" si="185"/>
        <v/>
      </c>
      <c r="P1006" s="391">
        <f t="shared" ref="P1006" si="186">MIN(F1006:O1006)</f>
        <v>0</v>
      </c>
      <c r="Q1006" s="269">
        <f t="shared" ref="Q1006" si="187">E1006-P1006</f>
        <v>4</v>
      </c>
      <c r="R1006" s="270">
        <f t="shared" ref="R1006" si="188">Q1006/E1006</f>
        <v>1</v>
      </c>
      <c r="S1006" s="503"/>
      <c r="T1006" s="547"/>
      <c r="U1006" s="547"/>
    </row>
    <row r="1007" spans="1:21" ht="9.75" customHeight="1">
      <c r="A1007" s="503"/>
      <c r="B1007" s="503"/>
      <c r="C1007" s="257"/>
      <c r="D1007" s="257" t="s">
        <v>118</v>
      </c>
      <c r="E1007" s="257">
        <v>8</v>
      </c>
      <c r="F1007" s="258"/>
      <c r="G1007" s="395"/>
      <c r="H1007" s="382"/>
      <c r="I1007" s="382"/>
      <c r="J1007" s="382"/>
      <c r="K1007" s="382"/>
      <c r="L1007" s="382"/>
      <c r="M1007" s="382"/>
      <c r="N1007" s="382"/>
      <c r="O1007" s="265"/>
      <c r="P1007" s="258">
        <f t="shared" si="182"/>
        <v>0</v>
      </c>
      <c r="Q1007" s="382">
        <f t="shared" si="183"/>
        <v>8</v>
      </c>
      <c r="R1007" s="262">
        <f t="shared" si="184"/>
        <v>1</v>
      </c>
      <c r="S1007" s="503"/>
    </row>
    <row r="1008" spans="1:21" ht="9.75" customHeight="1">
      <c r="A1008" s="503"/>
      <c r="B1008" s="503"/>
      <c r="C1008" s="257"/>
      <c r="D1008" s="257" t="s">
        <v>120</v>
      </c>
      <c r="E1008" s="257"/>
      <c r="F1008" s="258"/>
      <c r="G1008" s="259"/>
      <c r="H1008" s="259"/>
      <c r="I1008" s="259"/>
      <c r="J1008" s="259"/>
      <c r="K1008" s="259"/>
      <c r="L1008" s="259"/>
      <c r="M1008" s="259"/>
      <c r="N1008" s="259"/>
      <c r="O1008" s="265"/>
      <c r="P1008" s="258"/>
      <c r="Q1008" s="259"/>
      <c r="R1008" s="262"/>
      <c r="S1008" s="503"/>
    </row>
    <row r="1009" spans="1:19" ht="9.75" customHeight="1">
      <c r="A1009" s="503"/>
      <c r="B1009" s="503"/>
      <c r="C1009" s="257"/>
      <c r="D1009" s="257" t="s">
        <v>120</v>
      </c>
      <c r="E1009" s="257"/>
      <c r="F1009" s="258"/>
      <c r="G1009" s="259"/>
      <c r="H1009" s="259"/>
      <c r="I1009" s="259"/>
      <c r="J1009" s="259"/>
      <c r="K1009" s="259"/>
      <c r="L1009" s="259"/>
      <c r="M1009" s="259"/>
      <c r="N1009" s="259"/>
      <c r="O1009" s="265"/>
      <c r="P1009" s="258"/>
      <c r="Q1009" s="259"/>
      <c r="R1009" s="262"/>
      <c r="S1009" s="503"/>
    </row>
    <row r="1010" spans="1:19" ht="9.75" customHeight="1">
      <c r="A1010" s="503"/>
      <c r="B1010" s="503"/>
      <c r="C1010" s="257"/>
      <c r="D1010" s="257" t="s">
        <v>120</v>
      </c>
      <c r="E1010" s="257"/>
      <c r="F1010" s="258"/>
      <c r="G1010" s="259"/>
      <c r="H1010" s="259"/>
      <c r="I1010" s="259"/>
      <c r="J1010" s="259"/>
      <c r="K1010" s="259"/>
      <c r="L1010" s="259"/>
      <c r="M1010" s="259"/>
      <c r="N1010" s="259"/>
      <c r="O1010" s="265"/>
      <c r="P1010" s="258"/>
      <c r="Q1010" s="259"/>
      <c r="R1010" s="262"/>
      <c r="S1010" s="503"/>
    </row>
    <row r="1011" spans="1:19" ht="9.75" customHeight="1">
      <c r="A1011" s="503"/>
      <c r="B1011" s="503"/>
      <c r="C1011" s="257"/>
      <c r="D1011" s="257" t="s">
        <v>120</v>
      </c>
      <c r="E1011" s="257"/>
      <c r="F1011" s="258"/>
      <c r="G1011" s="259"/>
      <c r="H1011" s="259"/>
      <c r="I1011" s="259"/>
      <c r="J1011" s="259"/>
      <c r="K1011" s="259"/>
      <c r="L1011" s="259"/>
      <c r="M1011" s="259"/>
      <c r="N1011" s="259"/>
      <c r="O1011" s="265"/>
      <c r="P1011" s="258"/>
      <c r="Q1011" s="259"/>
      <c r="R1011" s="262"/>
      <c r="S1011" s="503"/>
    </row>
    <row r="1012" spans="1:19" ht="9.75" customHeight="1">
      <c r="A1012" s="503"/>
      <c r="B1012" s="503"/>
      <c r="C1012" s="257"/>
      <c r="D1012" s="257" t="s">
        <v>34</v>
      </c>
      <c r="E1012" s="257">
        <v>6</v>
      </c>
      <c r="F1012" s="258"/>
      <c r="G1012" s="259"/>
      <c r="H1012" s="259"/>
      <c r="I1012" s="259"/>
      <c r="J1012" s="259"/>
      <c r="K1012" s="260"/>
      <c r="L1012" s="260"/>
      <c r="M1012" s="260"/>
      <c r="N1012" s="260"/>
      <c r="O1012" s="261"/>
      <c r="P1012" s="258">
        <f>MIN(F1012:O1012)</f>
        <v>0</v>
      </c>
      <c r="Q1012" s="259">
        <f>E1012-P1012</f>
        <v>6</v>
      </c>
      <c r="R1012" s="262">
        <f>Q1012/E1012</f>
        <v>1</v>
      </c>
      <c r="S1012" s="503"/>
    </row>
    <row r="1013" spans="1:19" ht="9.75" customHeight="1">
      <c r="A1013" s="503"/>
      <c r="B1013" s="503"/>
      <c r="C1013" s="257"/>
      <c r="D1013" s="257" t="s">
        <v>35</v>
      </c>
      <c r="E1013" s="257"/>
      <c r="F1013" s="258"/>
      <c r="G1013" s="259"/>
      <c r="H1013" s="259"/>
      <c r="I1013" s="259"/>
      <c r="J1013" s="259"/>
      <c r="K1013" s="263"/>
      <c r="L1013" s="263"/>
      <c r="M1013" s="263"/>
      <c r="N1013" s="263"/>
      <c r="O1013" s="264"/>
      <c r="P1013" s="258"/>
      <c r="Q1013" s="259"/>
      <c r="R1013" s="262"/>
      <c r="S1013" s="503"/>
    </row>
    <row r="1014" spans="1:19" ht="9.75" customHeight="1">
      <c r="A1014" s="503"/>
      <c r="B1014" s="503"/>
      <c r="C1014" s="257"/>
      <c r="D1014" s="257" t="s">
        <v>36</v>
      </c>
      <c r="E1014" s="257">
        <v>2</v>
      </c>
      <c r="F1014" s="258"/>
      <c r="G1014" s="259"/>
      <c r="H1014" s="259"/>
      <c r="I1014" s="259"/>
      <c r="J1014" s="259"/>
      <c r="K1014" s="260"/>
      <c r="L1014" s="260"/>
      <c r="M1014" s="260"/>
      <c r="N1014" s="260"/>
      <c r="O1014" s="261"/>
      <c r="P1014" s="258">
        <f>MIN(F1014:O1014)</f>
        <v>0</v>
      </c>
      <c r="Q1014" s="259">
        <f>E1014-P1014</f>
        <v>2</v>
      </c>
      <c r="R1014" s="262">
        <f>Q1014/E1014</f>
        <v>1</v>
      </c>
      <c r="S1014" s="503"/>
    </row>
    <row r="1015" spans="1:19" ht="9.75" customHeight="1">
      <c r="A1015" s="503"/>
      <c r="B1015" s="503"/>
      <c r="C1015" s="257"/>
      <c r="D1015" s="257" t="s">
        <v>37</v>
      </c>
      <c r="E1015" s="257"/>
      <c r="F1015" s="258"/>
      <c r="G1015" s="259"/>
      <c r="H1015" s="259"/>
      <c r="I1015" s="259"/>
      <c r="J1015" s="259"/>
      <c r="K1015" s="259"/>
      <c r="L1015" s="259"/>
      <c r="M1015" s="259"/>
      <c r="N1015" s="259"/>
      <c r="O1015" s="265"/>
      <c r="P1015" s="258"/>
      <c r="Q1015" s="259"/>
      <c r="R1015" s="262"/>
      <c r="S1015" s="503"/>
    </row>
    <row r="1016" spans="1:19" ht="9.75" customHeight="1">
      <c r="A1016" s="503"/>
      <c r="B1016" s="503"/>
      <c r="C1016" s="271"/>
      <c r="D1016" s="272" t="s">
        <v>38</v>
      </c>
      <c r="E1016" s="272">
        <f>SUBTOTAL(9,E999:E1015)</f>
        <v>153</v>
      </c>
      <c r="F1016" s="273"/>
      <c r="G1016" s="274"/>
      <c r="H1016" s="274"/>
      <c r="I1016" s="274"/>
      <c r="J1016" s="274"/>
      <c r="K1016" s="274"/>
      <c r="L1016" s="274"/>
      <c r="M1016" s="274"/>
      <c r="N1016" s="274"/>
      <c r="O1016" s="275"/>
      <c r="P1016" s="273">
        <f>MIN(F1016:O1016)</f>
        <v>0</v>
      </c>
      <c r="Q1016" s="274">
        <f>E1016-P1016</f>
        <v>153</v>
      </c>
      <c r="R1016" s="276">
        <f>Q1016/E1016</f>
        <v>1</v>
      </c>
      <c r="S1016" s="503"/>
    </row>
    <row r="1017" spans="1:19" ht="9.75" customHeight="1">
      <c r="A1017" s="503"/>
      <c r="B1017" s="503"/>
      <c r="C1017" s="29" t="s">
        <v>235</v>
      </c>
      <c r="D1017" s="43" t="s">
        <v>23</v>
      </c>
      <c r="E1017" s="43"/>
      <c r="F1017" s="116"/>
      <c r="G1017" s="128"/>
      <c r="H1017" s="128"/>
      <c r="I1017" s="128"/>
      <c r="J1017" s="128"/>
      <c r="K1017" s="128"/>
      <c r="L1017" s="128"/>
      <c r="M1017" s="128"/>
      <c r="N1017" s="128"/>
      <c r="O1017" s="129"/>
      <c r="P1017" s="116"/>
      <c r="Q1017" s="128"/>
      <c r="R1017" s="141"/>
      <c r="S1017" s="503"/>
    </row>
    <row r="1018" spans="1:19" ht="9.75" customHeight="1">
      <c r="A1018" s="503"/>
      <c r="B1018" s="503"/>
      <c r="C1018" s="30"/>
      <c r="D1018" s="13" t="s">
        <v>25</v>
      </c>
      <c r="E1018" s="13"/>
      <c r="F1018" s="109"/>
      <c r="G1018" s="504"/>
      <c r="H1018" s="504"/>
      <c r="I1018" s="504"/>
      <c r="J1018" s="504"/>
      <c r="K1018" s="504"/>
      <c r="L1018" s="504"/>
      <c r="M1018" s="504"/>
      <c r="N1018" s="504"/>
      <c r="O1018" s="110"/>
      <c r="P1018" s="109"/>
      <c r="Q1018" s="504"/>
      <c r="R1018" s="107"/>
      <c r="S1018" s="503"/>
    </row>
    <row r="1019" spans="1:19" ht="9.75" customHeight="1">
      <c r="A1019" s="503"/>
      <c r="B1019" s="503"/>
      <c r="C1019" s="30"/>
      <c r="D1019" s="13" t="s">
        <v>27</v>
      </c>
      <c r="E1019" s="13"/>
      <c r="F1019" s="109"/>
      <c r="G1019" s="504"/>
      <c r="H1019" s="504"/>
      <c r="I1019" s="504"/>
      <c r="J1019" s="504"/>
      <c r="K1019" s="504"/>
      <c r="L1019" s="504"/>
      <c r="M1019" s="504"/>
      <c r="N1019" s="504"/>
      <c r="O1019" s="110"/>
      <c r="P1019" s="109"/>
      <c r="Q1019" s="504"/>
      <c r="R1019" s="107"/>
      <c r="S1019" s="503"/>
    </row>
    <row r="1020" spans="1:19" ht="9.75" customHeight="1">
      <c r="A1020" s="503"/>
      <c r="B1020" s="503"/>
      <c r="C1020" s="30"/>
      <c r="D1020" s="13" t="s">
        <v>115</v>
      </c>
      <c r="E1020" s="13"/>
      <c r="F1020" s="109"/>
      <c r="G1020" s="504"/>
      <c r="H1020" s="504"/>
      <c r="I1020" s="504"/>
      <c r="J1020" s="504"/>
      <c r="K1020" s="504"/>
      <c r="L1020" s="504"/>
      <c r="M1020" s="504"/>
      <c r="N1020" s="504"/>
      <c r="O1020" s="110"/>
      <c r="P1020" s="109"/>
      <c r="Q1020" s="504"/>
      <c r="R1020" s="107"/>
      <c r="S1020" s="503"/>
    </row>
    <row r="1021" spans="1:19" ht="9.75" customHeight="1">
      <c r="A1021" s="503"/>
      <c r="B1021" s="503"/>
      <c r="C1021" s="30"/>
      <c r="D1021" s="13" t="s">
        <v>115</v>
      </c>
      <c r="E1021" s="13"/>
      <c r="F1021" s="109"/>
      <c r="G1021" s="504"/>
      <c r="H1021" s="504"/>
      <c r="I1021" s="504"/>
      <c r="J1021" s="504"/>
      <c r="K1021" s="504"/>
      <c r="L1021" s="504"/>
      <c r="M1021" s="504"/>
      <c r="N1021" s="504"/>
      <c r="O1021" s="110"/>
      <c r="P1021" s="109"/>
      <c r="Q1021" s="504"/>
      <c r="R1021" s="107"/>
      <c r="S1021" s="503"/>
    </row>
    <row r="1022" spans="1:19" ht="9.75" customHeight="1">
      <c r="A1022" s="503"/>
      <c r="B1022" s="503"/>
      <c r="C1022" s="30"/>
      <c r="D1022" s="13" t="s">
        <v>32</v>
      </c>
      <c r="E1022" s="13"/>
      <c r="F1022" s="109"/>
      <c r="G1022" s="504"/>
      <c r="H1022" s="504"/>
      <c r="I1022" s="504"/>
      <c r="J1022" s="504"/>
      <c r="K1022" s="504"/>
      <c r="L1022" s="504"/>
      <c r="M1022" s="504"/>
      <c r="N1022" s="504"/>
      <c r="O1022" s="110"/>
      <c r="P1022" s="109"/>
      <c r="Q1022" s="504"/>
      <c r="R1022" s="107"/>
      <c r="S1022" s="503"/>
    </row>
    <row r="1023" spans="1:19" ht="9.75" customHeight="1">
      <c r="A1023" s="503"/>
      <c r="B1023" s="503"/>
      <c r="C1023" s="30"/>
      <c r="D1023" s="13" t="s">
        <v>120</v>
      </c>
      <c r="E1023" s="13"/>
      <c r="F1023" s="109"/>
      <c r="G1023" s="504"/>
      <c r="H1023" s="504"/>
      <c r="I1023" s="504"/>
      <c r="J1023" s="504"/>
      <c r="K1023" s="504"/>
      <c r="L1023" s="504"/>
      <c r="M1023" s="504"/>
      <c r="N1023" s="504"/>
      <c r="O1023" s="110"/>
      <c r="P1023" s="109"/>
      <c r="Q1023" s="504"/>
      <c r="R1023" s="107"/>
      <c r="S1023" s="503"/>
    </row>
    <row r="1024" spans="1:19" ht="9.75" customHeight="1">
      <c r="A1024" s="503"/>
      <c r="B1024" s="503"/>
      <c r="C1024" s="30"/>
      <c r="D1024" s="13" t="s">
        <v>120</v>
      </c>
      <c r="E1024" s="13"/>
      <c r="F1024" s="109"/>
      <c r="G1024" s="504"/>
      <c r="H1024" s="504"/>
      <c r="I1024" s="504"/>
      <c r="J1024" s="504"/>
      <c r="K1024" s="504"/>
      <c r="L1024" s="504"/>
      <c r="M1024" s="504"/>
      <c r="N1024" s="504"/>
      <c r="O1024" s="110"/>
      <c r="P1024" s="109"/>
      <c r="Q1024" s="504"/>
      <c r="R1024" s="107"/>
      <c r="S1024" s="503"/>
    </row>
    <row r="1025" spans="1:19" ht="9.75" customHeight="1">
      <c r="A1025" s="503"/>
      <c r="B1025" s="503"/>
      <c r="C1025" s="30"/>
      <c r="D1025" s="13" t="s">
        <v>120</v>
      </c>
      <c r="E1025" s="13"/>
      <c r="F1025" s="109"/>
      <c r="G1025" s="504"/>
      <c r="H1025" s="504"/>
      <c r="I1025" s="504"/>
      <c r="J1025" s="504"/>
      <c r="K1025" s="504"/>
      <c r="L1025" s="504"/>
      <c r="M1025" s="504"/>
      <c r="N1025" s="504"/>
      <c r="O1025" s="110"/>
      <c r="P1025" s="109"/>
      <c r="Q1025" s="504"/>
      <c r="R1025" s="107"/>
      <c r="S1025" s="503"/>
    </row>
    <row r="1026" spans="1:19" ht="9.75" customHeight="1">
      <c r="A1026" s="503"/>
      <c r="B1026" s="503"/>
      <c r="C1026" s="30"/>
      <c r="D1026" s="13" t="s">
        <v>120</v>
      </c>
      <c r="E1026" s="13"/>
      <c r="F1026" s="109"/>
      <c r="G1026" s="504"/>
      <c r="H1026" s="504"/>
      <c r="I1026" s="504"/>
      <c r="J1026" s="504"/>
      <c r="K1026" s="504"/>
      <c r="L1026" s="504"/>
      <c r="M1026" s="504"/>
      <c r="N1026" s="504"/>
      <c r="O1026" s="110"/>
      <c r="P1026" s="109"/>
      <c r="Q1026" s="504"/>
      <c r="R1026" s="107"/>
      <c r="S1026" s="503"/>
    </row>
    <row r="1027" spans="1:19" ht="9.75" customHeight="1">
      <c r="A1027" s="503"/>
      <c r="B1027" s="503"/>
      <c r="C1027" s="30"/>
      <c r="D1027" s="13" t="s">
        <v>120</v>
      </c>
      <c r="E1027" s="13"/>
      <c r="F1027" s="109"/>
      <c r="G1027" s="504"/>
      <c r="H1027" s="504"/>
      <c r="I1027" s="504"/>
      <c r="J1027" s="504"/>
      <c r="K1027" s="504"/>
      <c r="L1027" s="504"/>
      <c r="M1027" s="504"/>
      <c r="N1027" s="504"/>
      <c r="O1027" s="110"/>
      <c r="P1027" s="109"/>
      <c r="Q1027" s="504"/>
      <c r="R1027" s="107"/>
      <c r="S1027" s="503"/>
    </row>
    <row r="1028" spans="1:19" ht="9.75" customHeight="1">
      <c r="A1028" s="503"/>
      <c r="B1028" s="503"/>
      <c r="C1028" s="30"/>
      <c r="D1028" s="13" t="s">
        <v>120</v>
      </c>
      <c r="E1028" s="13"/>
      <c r="F1028" s="109"/>
      <c r="G1028" s="504"/>
      <c r="H1028" s="504"/>
      <c r="I1028" s="504"/>
      <c r="J1028" s="504"/>
      <c r="K1028" s="504"/>
      <c r="L1028" s="504"/>
      <c r="M1028" s="504"/>
      <c r="N1028" s="504"/>
      <c r="O1028" s="110"/>
      <c r="P1028" s="109"/>
      <c r="Q1028" s="504"/>
      <c r="R1028" s="107"/>
      <c r="S1028" s="503"/>
    </row>
    <row r="1029" spans="1:19" ht="9.75" customHeight="1">
      <c r="A1029" s="503"/>
      <c r="B1029" s="503"/>
      <c r="C1029" s="30"/>
      <c r="D1029" s="13" t="s">
        <v>34</v>
      </c>
      <c r="E1029" s="13"/>
      <c r="F1029" s="109"/>
      <c r="G1029" s="504"/>
      <c r="H1029" s="504"/>
      <c r="I1029" s="504"/>
      <c r="J1029" s="504"/>
      <c r="K1029" s="11"/>
      <c r="L1029" s="11"/>
      <c r="M1029" s="11"/>
      <c r="N1029" s="11"/>
      <c r="O1029" s="136"/>
      <c r="P1029" s="109"/>
      <c r="Q1029" s="504"/>
      <c r="R1029" s="107"/>
      <c r="S1029" s="503"/>
    </row>
    <row r="1030" spans="1:19" ht="9.75" customHeight="1">
      <c r="A1030" s="503"/>
      <c r="B1030" s="503"/>
      <c r="C1030" s="30"/>
      <c r="D1030" s="13" t="s">
        <v>35</v>
      </c>
      <c r="E1030" s="13">
        <v>1</v>
      </c>
      <c r="F1030" s="109">
        <v>0</v>
      </c>
      <c r="G1030" s="504">
        <v>0</v>
      </c>
      <c r="H1030" s="504">
        <v>0</v>
      </c>
      <c r="I1030" s="504">
        <v>0</v>
      </c>
      <c r="J1030" s="504">
        <v>0</v>
      </c>
      <c r="K1030" s="11">
        <v>0</v>
      </c>
      <c r="L1030" s="11">
        <v>0</v>
      </c>
      <c r="M1030" s="11">
        <v>0</v>
      </c>
      <c r="N1030" s="11">
        <v>0</v>
      </c>
      <c r="O1030" s="136">
        <v>0</v>
      </c>
      <c r="P1030" s="109">
        <f>MIN(F1030:O1030)</f>
        <v>0</v>
      </c>
      <c r="Q1030" s="504">
        <f>E1030-P1030</f>
        <v>1</v>
      </c>
      <c r="R1030" s="107">
        <f>Q1030/E1030</f>
        <v>1</v>
      </c>
      <c r="S1030" s="503"/>
    </row>
    <row r="1031" spans="1:19" ht="9.75" customHeight="1">
      <c r="A1031" s="503"/>
      <c r="B1031" s="503"/>
      <c r="C1031" s="30"/>
      <c r="D1031" s="13" t="s">
        <v>36</v>
      </c>
      <c r="E1031" s="13"/>
      <c r="F1031" s="109"/>
      <c r="G1031" s="504"/>
      <c r="H1031" s="504"/>
      <c r="I1031" s="504"/>
      <c r="J1031" s="504"/>
      <c r="K1031" s="504"/>
      <c r="L1031" s="504"/>
      <c r="M1031" s="504"/>
      <c r="N1031" s="504"/>
      <c r="O1031" s="110"/>
      <c r="P1031" s="109"/>
      <c r="Q1031" s="504"/>
      <c r="R1031" s="107"/>
      <c r="S1031" s="503"/>
    </row>
    <row r="1032" spans="1:19" ht="9.75" customHeight="1">
      <c r="A1032" s="503"/>
      <c r="B1032" s="503"/>
      <c r="C1032" s="30"/>
      <c r="D1032" s="13" t="s">
        <v>37</v>
      </c>
      <c r="E1032" s="13"/>
      <c r="F1032" s="109"/>
      <c r="G1032" s="504"/>
      <c r="H1032" s="504"/>
      <c r="I1032" s="504"/>
      <c r="J1032" s="504"/>
      <c r="K1032" s="504"/>
      <c r="L1032" s="504"/>
      <c r="M1032" s="504"/>
      <c r="N1032" s="504"/>
      <c r="O1032" s="110"/>
      <c r="P1032" s="109"/>
      <c r="Q1032" s="504"/>
      <c r="R1032" s="107"/>
      <c r="S1032" s="503"/>
    </row>
    <row r="1033" spans="1:19" ht="9.75" customHeight="1">
      <c r="A1033" s="503"/>
      <c r="B1033" s="503" t="s">
        <v>127</v>
      </c>
      <c r="C1033" s="31"/>
      <c r="D1033" s="3" t="s">
        <v>38</v>
      </c>
      <c r="E1033" s="3">
        <f t="shared" ref="E1033:O1033" si="189">SUM(E1017:E1032)</f>
        <v>1</v>
      </c>
      <c r="F1033" s="21">
        <f t="shared" si="189"/>
        <v>0</v>
      </c>
      <c r="G1033" s="71">
        <f t="shared" si="189"/>
        <v>0</v>
      </c>
      <c r="H1033" s="71">
        <f t="shared" si="189"/>
        <v>0</v>
      </c>
      <c r="I1033" s="71">
        <f t="shared" si="189"/>
        <v>0</v>
      </c>
      <c r="J1033" s="71">
        <f t="shared" si="189"/>
        <v>0</v>
      </c>
      <c r="K1033" s="71">
        <f t="shared" si="189"/>
        <v>0</v>
      </c>
      <c r="L1033" s="71">
        <f t="shared" si="189"/>
        <v>0</v>
      </c>
      <c r="M1033" s="71">
        <f t="shared" si="189"/>
        <v>0</v>
      </c>
      <c r="N1033" s="71">
        <f t="shared" si="189"/>
        <v>0</v>
      </c>
      <c r="O1033" s="26">
        <f t="shared" si="189"/>
        <v>0</v>
      </c>
      <c r="P1033" s="21">
        <f>MIN(F1033:O1033)</f>
        <v>0</v>
      </c>
      <c r="Q1033" s="71">
        <f>E1033-P1033</f>
        <v>1</v>
      </c>
      <c r="R1033" s="7">
        <f>Q1033/E1033</f>
        <v>1</v>
      </c>
      <c r="S1033" s="503"/>
    </row>
    <row r="1034" spans="1:19" ht="9.75" customHeight="1">
      <c r="A1034" s="503"/>
      <c r="B1034" s="503"/>
      <c r="C1034" s="29" t="s">
        <v>236</v>
      </c>
      <c r="D1034" s="29" t="s">
        <v>23</v>
      </c>
      <c r="E1034" s="43"/>
      <c r="F1034" s="116"/>
      <c r="G1034" s="128"/>
      <c r="H1034" s="128"/>
      <c r="I1034" s="128"/>
      <c r="J1034" s="128"/>
      <c r="K1034" s="128"/>
      <c r="L1034" s="128"/>
      <c r="M1034" s="128"/>
      <c r="N1034" s="128"/>
      <c r="O1034" s="129"/>
      <c r="P1034" s="116"/>
      <c r="Q1034" s="128"/>
      <c r="R1034" s="141"/>
      <c r="S1034" s="503"/>
    </row>
    <row r="1035" spans="1:19" ht="9.75" customHeight="1">
      <c r="A1035" s="503"/>
      <c r="B1035" s="503"/>
      <c r="C1035" s="30"/>
      <c r="D1035" s="13" t="s">
        <v>25</v>
      </c>
      <c r="E1035" s="13">
        <v>49</v>
      </c>
      <c r="F1035" s="109">
        <v>0</v>
      </c>
      <c r="G1035" s="504">
        <v>0</v>
      </c>
      <c r="H1035" s="504">
        <v>0</v>
      </c>
      <c r="I1035" s="504">
        <v>0</v>
      </c>
      <c r="J1035" s="504">
        <v>2</v>
      </c>
      <c r="K1035" s="11">
        <v>6</v>
      </c>
      <c r="L1035" s="11">
        <v>2</v>
      </c>
      <c r="M1035" s="11">
        <v>1</v>
      </c>
      <c r="N1035" s="11">
        <v>7</v>
      </c>
      <c r="O1035" s="136">
        <v>0</v>
      </c>
      <c r="P1035" s="109">
        <f>MIN(F1035:O1035)</f>
        <v>0</v>
      </c>
      <c r="Q1035" s="504">
        <f>E1035-P1035</f>
        <v>49</v>
      </c>
      <c r="R1035" s="107">
        <f>Q1035/E1035</f>
        <v>1</v>
      </c>
      <c r="S1035" s="503"/>
    </row>
    <row r="1036" spans="1:19" ht="9.75" customHeight="1">
      <c r="A1036" s="503"/>
      <c r="B1036" s="503"/>
      <c r="C1036" s="30"/>
      <c r="D1036" s="13" t="s">
        <v>27</v>
      </c>
      <c r="E1036" s="13"/>
      <c r="F1036" s="109"/>
      <c r="G1036" s="504"/>
      <c r="H1036" s="504"/>
      <c r="I1036" s="504"/>
      <c r="J1036" s="504"/>
      <c r="K1036" s="32"/>
      <c r="L1036" s="32"/>
      <c r="M1036" s="32"/>
      <c r="N1036" s="32"/>
      <c r="O1036" s="142"/>
      <c r="P1036" s="109"/>
      <c r="Q1036" s="504"/>
      <c r="R1036" s="107"/>
      <c r="S1036" s="503"/>
    </row>
    <row r="1037" spans="1:19" ht="9.75" customHeight="1">
      <c r="A1037" s="503"/>
      <c r="B1037" s="503"/>
      <c r="C1037" s="13"/>
      <c r="D1037" s="13" t="s">
        <v>115</v>
      </c>
      <c r="E1037" s="13"/>
      <c r="F1037" s="109"/>
      <c r="G1037" s="504"/>
      <c r="H1037" s="504"/>
      <c r="I1037" s="504"/>
      <c r="J1037" s="504"/>
      <c r="K1037" s="32"/>
      <c r="L1037" s="32"/>
      <c r="M1037" s="32"/>
      <c r="N1037" s="32"/>
      <c r="O1037" s="142"/>
      <c r="P1037" s="109"/>
      <c r="Q1037" s="504"/>
      <c r="R1037" s="107"/>
      <c r="S1037" s="503"/>
    </row>
    <row r="1038" spans="1:19" ht="9.75" customHeight="1">
      <c r="A1038" s="503"/>
      <c r="B1038" s="503"/>
      <c r="C1038" s="13"/>
      <c r="D1038" s="13" t="s">
        <v>115</v>
      </c>
      <c r="E1038" s="13"/>
      <c r="F1038" s="109"/>
      <c r="G1038" s="504"/>
      <c r="H1038" s="504"/>
      <c r="I1038" s="504"/>
      <c r="J1038" s="504"/>
      <c r="K1038" s="32"/>
      <c r="L1038" s="32"/>
      <c r="M1038" s="32"/>
      <c r="N1038" s="32"/>
      <c r="O1038" s="142"/>
      <c r="P1038" s="109"/>
      <c r="Q1038" s="504"/>
      <c r="R1038" s="107"/>
      <c r="S1038" s="503"/>
    </row>
    <row r="1039" spans="1:19" ht="9.75" customHeight="1">
      <c r="A1039" s="503"/>
      <c r="B1039" s="503"/>
      <c r="C1039" s="13"/>
      <c r="D1039" s="13" t="s">
        <v>32</v>
      </c>
      <c r="E1039" s="13"/>
      <c r="F1039" s="109"/>
      <c r="G1039" s="504"/>
      <c r="H1039" s="504"/>
      <c r="I1039" s="504"/>
      <c r="J1039" s="504"/>
      <c r="K1039" s="32"/>
      <c r="L1039" s="32"/>
      <c r="M1039" s="32"/>
      <c r="N1039" s="32"/>
      <c r="O1039" s="142"/>
      <c r="P1039" s="109"/>
      <c r="Q1039" s="504"/>
      <c r="R1039" s="107"/>
      <c r="S1039" s="503"/>
    </row>
    <row r="1040" spans="1:19" ht="9.75" customHeight="1">
      <c r="A1040" s="503"/>
      <c r="B1040" s="503"/>
      <c r="C1040" s="13"/>
      <c r="D1040" s="13" t="s">
        <v>120</v>
      </c>
      <c r="E1040" s="13"/>
      <c r="F1040" s="109"/>
      <c r="G1040" s="504"/>
      <c r="H1040" s="504"/>
      <c r="I1040" s="504"/>
      <c r="J1040" s="504"/>
      <c r="K1040" s="32"/>
      <c r="L1040" s="32"/>
      <c r="M1040" s="32"/>
      <c r="N1040" s="32"/>
      <c r="O1040" s="142"/>
      <c r="P1040" s="109"/>
      <c r="Q1040" s="504"/>
      <c r="R1040" s="107"/>
      <c r="S1040" s="503"/>
    </row>
    <row r="1041" spans="1:19" ht="9.75" customHeight="1">
      <c r="A1041" s="503"/>
      <c r="B1041" s="503"/>
      <c r="C1041" s="13"/>
      <c r="D1041" s="13" t="s">
        <v>120</v>
      </c>
      <c r="E1041" s="13"/>
      <c r="F1041" s="109"/>
      <c r="G1041" s="504"/>
      <c r="H1041" s="504"/>
      <c r="I1041" s="504"/>
      <c r="J1041" s="504"/>
      <c r="K1041" s="32"/>
      <c r="L1041" s="32"/>
      <c r="M1041" s="32"/>
      <c r="N1041" s="32"/>
      <c r="O1041" s="142"/>
      <c r="P1041" s="109"/>
      <c r="Q1041" s="504"/>
      <c r="R1041" s="107"/>
      <c r="S1041" s="503"/>
    </row>
    <row r="1042" spans="1:19" ht="9.75" customHeight="1">
      <c r="A1042" s="503"/>
      <c r="B1042" s="503"/>
      <c r="C1042" s="13"/>
      <c r="D1042" s="13" t="s">
        <v>120</v>
      </c>
      <c r="E1042" s="13"/>
      <c r="F1042" s="109"/>
      <c r="G1042" s="504"/>
      <c r="H1042" s="504"/>
      <c r="I1042" s="504"/>
      <c r="J1042" s="504"/>
      <c r="K1042" s="32"/>
      <c r="L1042" s="32"/>
      <c r="M1042" s="32"/>
      <c r="N1042" s="32"/>
      <c r="O1042" s="142"/>
      <c r="P1042" s="109"/>
      <c r="Q1042" s="504"/>
      <c r="R1042" s="107"/>
      <c r="S1042" s="503"/>
    </row>
    <row r="1043" spans="1:19" ht="9.75" customHeight="1">
      <c r="A1043" s="503"/>
      <c r="B1043" s="503"/>
      <c r="C1043" s="13"/>
      <c r="D1043" s="13" t="s">
        <v>120</v>
      </c>
      <c r="E1043" s="13"/>
      <c r="F1043" s="109"/>
      <c r="G1043" s="504"/>
      <c r="H1043" s="504"/>
      <c r="I1043" s="504"/>
      <c r="J1043" s="504"/>
      <c r="K1043" s="32"/>
      <c r="L1043" s="32"/>
      <c r="M1043" s="32"/>
      <c r="N1043" s="32"/>
      <c r="O1043" s="142"/>
      <c r="P1043" s="109"/>
      <c r="Q1043" s="504"/>
      <c r="R1043" s="107"/>
      <c r="S1043" s="503"/>
    </row>
    <row r="1044" spans="1:19" ht="9.75" customHeight="1">
      <c r="A1044" s="503"/>
      <c r="B1044" s="503"/>
      <c r="C1044" s="13"/>
      <c r="D1044" s="13" t="s">
        <v>120</v>
      </c>
      <c r="E1044" s="13"/>
      <c r="F1044" s="109"/>
      <c r="G1044" s="504"/>
      <c r="H1044" s="504"/>
      <c r="I1044" s="504"/>
      <c r="J1044" s="504"/>
      <c r="K1044" s="32"/>
      <c r="L1044" s="32"/>
      <c r="M1044" s="32"/>
      <c r="N1044" s="32"/>
      <c r="O1044" s="142"/>
      <c r="P1044" s="109"/>
      <c r="Q1044" s="504"/>
      <c r="R1044" s="107"/>
      <c r="S1044" s="503"/>
    </row>
    <row r="1045" spans="1:19" ht="9.75" customHeight="1">
      <c r="A1045" s="503"/>
      <c r="B1045" s="503"/>
      <c r="C1045" s="13"/>
      <c r="D1045" s="13" t="s">
        <v>120</v>
      </c>
      <c r="E1045" s="13"/>
      <c r="F1045" s="109"/>
      <c r="G1045" s="504"/>
      <c r="H1045" s="504"/>
      <c r="I1045" s="504"/>
      <c r="J1045" s="504"/>
      <c r="K1045" s="32"/>
      <c r="L1045" s="32"/>
      <c r="M1045" s="32"/>
      <c r="N1045" s="32"/>
      <c r="O1045" s="142"/>
      <c r="P1045" s="109"/>
      <c r="Q1045" s="504"/>
      <c r="R1045" s="107"/>
      <c r="S1045" s="503"/>
    </row>
    <row r="1046" spans="1:19" ht="9.75" customHeight="1">
      <c r="A1046" s="503"/>
      <c r="B1046" s="503"/>
      <c r="C1046" s="13"/>
      <c r="D1046" s="13" t="s">
        <v>34</v>
      </c>
      <c r="E1046" s="13"/>
      <c r="F1046" s="109"/>
      <c r="G1046" s="504"/>
      <c r="H1046" s="504"/>
      <c r="I1046" s="504"/>
      <c r="J1046" s="504"/>
      <c r="K1046" s="32"/>
      <c r="L1046" s="32"/>
      <c r="M1046" s="32"/>
      <c r="N1046" s="32"/>
      <c r="O1046" s="142"/>
      <c r="P1046" s="109"/>
      <c r="Q1046" s="504"/>
      <c r="R1046" s="107"/>
      <c r="S1046" s="503"/>
    </row>
    <row r="1047" spans="1:19" ht="9.75" customHeight="1">
      <c r="A1047" s="503"/>
      <c r="B1047" s="503"/>
      <c r="C1047" s="13"/>
      <c r="D1047" s="13" t="s">
        <v>35</v>
      </c>
      <c r="E1047" s="13">
        <v>6</v>
      </c>
      <c r="F1047" s="109">
        <v>3</v>
      </c>
      <c r="G1047" s="504">
        <v>3</v>
      </c>
      <c r="H1047" s="504">
        <v>2</v>
      </c>
      <c r="I1047" s="504">
        <v>0</v>
      </c>
      <c r="J1047" s="504">
        <v>1</v>
      </c>
      <c r="K1047" s="11">
        <v>3</v>
      </c>
      <c r="L1047" s="11">
        <v>3</v>
      </c>
      <c r="M1047" s="11">
        <v>3</v>
      </c>
      <c r="N1047" s="11">
        <v>3</v>
      </c>
      <c r="O1047" s="136">
        <v>3</v>
      </c>
      <c r="P1047" s="109">
        <f>MIN(F1047:O1047)</f>
        <v>0</v>
      </c>
      <c r="Q1047" s="504">
        <f>E1047-P1047</f>
        <v>6</v>
      </c>
      <c r="R1047" s="107">
        <f>Q1047/E1047</f>
        <v>1</v>
      </c>
      <c r="S1047" s="503"/>
    </row>
    <row r="1048" spans="1:19" ht="9.75" customHeight="1">
      <c r="A1048" s="503"/>
      <c r="B1048" s="503"/>
      <c r="C1048" s="13"/>
      <c r="D1048" s="13" t="s">
        <v>36</v>
      </c>
      <c r="E1048" s="13"/>
      <c r="F1048" s="109"/>
      <c r="G1048" s="504"/>
      <c r="H1048" s="504"/>
      <c r="I1048" s="504"/>
      <c r="J1048" s="504"/>
      <c r="K1048" s="504"/>
      <c r="L1048" s="504"/>
      <c r="M1048" s="504"/>
      <c r="N1048" s="504"/>
      <c r="O1048" s="110"/>
      <c r="P1048" s="109"/>
      <c r="Q1048" s="504"/>
      <c r="R1048" s="107"/>
      <c r="S1048" s="503"/>
    </row>
    <row r="1049" spans="1:19" ht="9.75" customHeight="1">
      <c r="A1049" s="503"/>
      <c r="B1049" s="503"/>
      <c r="C1049" s="13"/>
      <c r="D1049" s="13" t="s">
        <v>37</v>
      </c>
      <c r="E1049" s="13"/>
      <c r="F1049" s="109"/>
      <c r="G1049" s="504"/>
      <c r="H1049" s="504"/>
      <c r="I1049" s="504"/>
      <c r="J1049" s="504"/>
      <c r="K1049" s="504"/>
      <c r="L1049" s="504"/>
      <c r="M1049" s="504"/>
      <c r="N1049" s="504"/>
      <c r="O1049" s="110"/>
      <c r="P1049" s="109"/>
      <c r="Q1049" s="504"/>
      <c r="R1049" s="107"/>
      <c r="S1049" s="503"/>
    </row>
    <row r="1050" spans="1:19" ht="9.75" customHeight="1">
      <c r="A1050" s="503"/>
      <c r="B1050" s="503" t="s">
        <v>127</v>
      </c>
      <c r="C1050" s="2"/>
      <c r="D1050" s="3" t="s">
        <v>38</v>
      </c>
      <c r="E1050" s="3">
        <f t="shared" ref="E1050:O1050" si="190">SUM(E1034:E1049)</f>
        <v>55</v>
      </c>
      <c r="F1050" s="21">
        <f t="shared" si="190"/>
        <v>3</v>
      </c>
      <c r="G1050" s="71">
        <f t="shared" si="190"/>
        <v>3</v>
      </c>
      <c r="H1050" s="71">
        <f t="shared" si="190"/>
        <v>2</v>
      </c>
      <c r="I1050" s="71">
        <f t="shared" si="190"/>
        <v>0</v>
      </c>
      <c r="J1050" s="71">
        <f t="shared" si="190"/>
        <v>3</v>
      </c>
      <c r="K1050" s="71">
        <f t="shared" si="190"/>
        <v>9</v>
      </c>
      <c r="L1050" s="71">
        <f t="shared" si="190"/>
        <v>5</v>
      </c>
      <c r="M1050" s="71">
        <f t="shared" si="190"/>
        <v>4</v>
      </c>
      <c r="N1050" s="71">
        <f t="shared" si="190"/>
        <v>10</v>
      </c>
      <c r="O1050" s="26">
        <f t="shared" si="190"/>
        <v>3</v>
      </c>
      <c r="P1050" s="21">
        <f>MIN(F1050:O1050)</f>
        <v>0</v>
      </c>
      <c r="Q1050" s="71">
        <f>E1050-P1050</f>
        <v>55</v>
      </c>
      <c r="R1050" s="7">
        <f>Q1050/E1050</f>
        <v>1</v>
      </c>
      <c r="S1050" s="503"/>
    </row>
    <row r="1051" spans="1:19" ht="9.75" customHeight="1">
      <c r="A1051" s="503"/>
      <c r="B1051" s="503"/>
      <c r="C1051" s="43" t="s">
        <v>237</v>
      </c>
      <c r="D1051" s="43" t="s">
        <v>23</v>
      </c>
      <c r="E1051" s="43"/>
      <c r="F1051" s="116"/>
      <c r="G1051" s="128"/>
      <c r="H1051" s="128"/>
      <c r="I1051" s="128"/>
      <c r="J1051" s="128"/>
      <c r="K1051" s="128"/>
      <c r="L1051" s="128"/>
      <c r="M1051" s="128"/>
      <c r="N1051" s="128"/>
      <c r="O1051" s="129"/>
      <c r="P1051" s="116"/>
      <c r="Q1051" s="128"/>
      <c r="R1051" s="141"/>
      <c r="S1051" s="503"/>
    </row>
    <row r="1052" spans="1:19" ht="9.75" customHeight="1">
      <c r="A1052" s="503"/>
      <c r="B1052" s="503"/>
      <c r="C1052" s="13"/>
      <c r="D1052" s="13" t="s">
        <v>25</v>
      </c>
      <c r="E1052" s="13"/>
      <c r="F1052" s="109"/>
      <c r="G1052" s="504"/>
      <c r="H1052" s="504"/>
      <c r="I1052" s="504"/>
      <c r="J1052" s="504"/>
      <c r="K1052" s="504"/>
      <c r="L1052" s="504"/>
      <c r="M1052" s="504"/>
      <c r="N1052" s="504"/>
      <c r="O1052" s="110"/>
      <c r="P1052" s="109"/>
      <c r="Q1052" s="504"/>
      <c r="R1052" s="107"/>
      <c r="S1052" s="503"/>
    </row>
    <row r="1053" spans="1:19" ht="9.75" customHeight="1">
      <c r="A1053" s="503"/>
      <c r="B1053" s="503"/>
      <c r="C1053" s="13"/>
      <c r="D1053" s="13" t="s">
        <v>27</v>
      </c>
      <c r="E1053" s="13">
        <v>126</v>
      </c>
      <c r="F1053" s="109">
        <v>120</v>
      </c>
      <c r="G1053" s="504">
        <v>126</v>
      </c>
      <c r="H1053" s="504">
        <v>126</v>
      </c>
      <c r="I1053" s="504">
        <v>126</v>
      </c>
      <c r="J1053" s="504">
        <v>126</v>
      </c>
      <c r="K1053" s="11">
        <v>126</v>
      </c>
      <c r="L1053" s="11">
        <v>126</v>
      </c>
      <c r="M1053" s="11">
        <v>126</v>
      </c>
      <c r="N1053" s="11">
        <v>126</v>
      </c>
      <c r="O1053" s="136">
        <v>126</v>
      </c>
      <c r="P1053" s="109">
        <f>MIN(F1053:O1053)</f>
        <v>120</v>
      </c>
      <c r="Q1053" s="504">
        <f>E1053-P1053</f>
        <v>6</v>
      </c>
      <c r="R1053" s="107">
        <f>Q1053/E1053</f>
        <v>4.7619047619047616E-2</v>
      </c>
      <c r="S1053" s="503"/>
    </row>
    <row r="1054" spans="1:19" ht="9.75" customHeight="1">
      <c r="A1054" s="503"/>
      <c r="B1054" s="503"/>
      <c r="C1054" s="13"/>
      <c r="D1054" s="13" t="s">
        <v>115</v>
      </c>
      <c r="E1054" s="13"/>
      <c r="F1054" s="109"/>
      <c r="G1054" s="504"/>
      <c r="H1054" s="504"/>
      <c r="I1054" s="504"/>
      <c r="J1054" s="504"/>
      <c r="K1054" s="504"/>
      <c r="L1054" s="504"/>
      <c r="M1054" s="504"/>
      <c r="N1054" s="504"/>
      <c r="O1054" s="110"/>
      <c r="P1054" s="109"/>
      <c r="Q1054" s="504"/>
      <c r="R1054" s="107"/>
      <c r="S1054" s="503"/>
    </row>
    <row r="1055" spans="1:19" ht="9.75" customHeight="1">
      <c r="A1055" s="503"/>
      <c r="B1055" s="503"/>
      <c r="C1055" s="13"/>
      <c r="D1055" s="13" t="s">
        <v>115</v>
      </c>
      <c r="E1055" s="13"/>
      <c r="F1055" s="109"/>
      <c r="G1055" s="504"/>
      <c r="H1055" s="504"/>
      <c r="I1055" s="504"/>
      <c r="J1055" s="504"/>
      <c r="K1055" s="504"/>
      <c r="L1055" s="504"/>
      <c r="M1055" s="504"/>
      <c r="N1055" s="504"/>
      <c r="O1055" s="110"/>
      <c r="P1055" s="109"/>
      <c r="Q1055" s="504"/>
      <c r="R1055" s="107"/>
      <c r="S1055" s="503"/>
    </row>
    <row r="1056" spans="1:19" ht="9.75" customHeight="1">
      <c r="A1056" s="503"/>
      <c r="B1056" s="503"/>
      <c r="C1056" s="13"/>
      <c r="D1056" s="13" t="s">
        <v>32</v>
      </c>
      <c r="E1056" s="13"/>
      <c r="F1056" s="109"/>
      <c r="G1056" s="504"/>
      <c r="H1056" s="504"/>
      <c r="I1056" s="504"/>
      <c r="J1056" s="504"/>
      <c r="K1056" s="504"/>
      <c r="L1056" s="504"/>
      <c r="M1056" s="504"/>
      <c r="N1056" s="504"/>
      <c r="O1056" s="110"/>
      <c r="P1056" s="109"/>
      <c r="Q1056" s="504"/>
      <c r="R1056" s="107"/>
      <c r="S1056" s="503"/>
    </row>
    <row r="1057" spans="1:19" ht="9.75" customHeight="1">
      <c r="A1057" s="503"/>
      <c r="B1057" s="503"/>
      <c r="C1057" s="13"/>
      <c r="D1057" s="13" t="s">
        <v>120</v>
      </c>
      <c r="E1057" s="13"/>
      <c r="F1057" s="109"/>
      <c r="G1057" s="504"/>
      <c r="H1057" s="504"/>
      <c r="I1057" s="504"/>
      <c r="J1057" s="504"/>
      <c r="K1057" s="504"/>
      <c r="L1057" s="504"/>
      <c r="M1057" s="504"/>
      <c r="N1057" s="504"/>
      <c r="O1057" s="110"/>
      <c r="P1057" s="109"/>
      <c r="Q1057" s="504"/>
      <c r="R1057" s="107"/>
      <c r="S1057" s="503"/>
    </row>
    <row r="1058" spans="1:19" ht="9.75" customHeight="1">
      <c r="A1058" s="503"/>
      <c r="B1058" s="503"/>
      <c r="C1058" s="13"/>
      <c r="D1058" s="13" t="s">
        <v>120</v>
      </c>
      <c r="E1058" s="13"/>
      <c r="F1058" s="109"/>
      <c r="G1058" s="504"/>
      <c r="H1058" s="504"/>
      <c r="I1058" s="504"/>
      <c r="J1058" s="504"/>
      <c r="K1058" s="504"/>
      <c r="L1058" s="504"/>
      <c r="M1058" s="504"/>
      <c r="N1058" s="504"/>
      <c r="O1058" s="110"/>
      <c r="P1058" s="109"/>
      <c r="Q1058" s="504"/>
      <c r="R1058" s="107"/>
      <c r="S1058" s="503"/>
    </row>
    <row r="1059" spans="1:19" ht="9.75" customHeight="1">
      <c r="A1059" s="503"/>
      <c r="B1059" s="503"/>
      <c r="C1059" s="13"/>
      <c r="D1059" s="13" t="s">
        <v>120</v>
      </c>
      <c r="E1059" s="13"/>
      <c r="F1059" s="109"/>
      <c r="G1059" s="504"/>
      <c r="H1059" s="504"/>
      <c r="I1059" s="504"/>
      <c r="J1059" s="504"/>
      <c r="K1059" s="504"/>
      <c r="L1059" s="504"/>
      <c r="M1059" s="504"/>
      <c r="N1059" s="504"/>
      <c r="O1059" s="110"/>
      <c r="P1059" s="109"/>
      <c r="Q1059" s="504"/>
      <c r="R1059" s="107"/>
      <c r="S1059" s="503"/>
    </row>
    <row r="1060" spans="1:19" ht="9.75" customHeight="1">
      <c r="A1060" s="503"/>
      <c r="B1060" s="503"/>
      <c r="C1060" s="13"/>
      <c r="D1060" s="13" t="s">
        <v>120</v>
      </c>
      <c r="E1060" s="13"/>
      <c r="F1060" s="109"/>
      <c r="G1060" s="504"/>
      <c r="H1060" s="504"/>
      <c r="I1060" s="504"/>
      <c r="J1060" s="504"/>
      <c r="K1060" s="504"/>
      <c r="L1060" s="504"/>
      <c r="M1060" s="504"/>
      <c r="N1060" s="504"/>
      <c r="O1060" s="110"/>
      <c r="P1060" s="109"/>
      <c r="Q1060" s="504"/>
      <c r="R1060" s="107"/>
      <c r="S1060" s="503"/>
    </row>
    <row r="1061" spans="1:19" ht="9.75" customHeight="1">
      <c r="A1061" s="503"/>
      <c r="B1061" s="503"/>
      <c r="C1061" s="13"/>
      <c r="D1061" s="13" t="s">
        <v>120</v>
      </c>
      <c r="E1061" s="13"/>
      <c r="F1061" s="109"/>
      <c r="G1061" s="504"/>
      <c r="H1061" s="504"/>
      <c r="I1061" s="504"/>
      <c r="J1061" s="504"/>
      <c r="K1061" s="504"/>
      <c r="L1061" s="504"/>
      <c r="M1061" s="504"/>
      <c r="N1061" s="504"/>
      <c r="O1061" s="110"/>
      <c r="P1061" s="109"/>
      <c r="Q1061" s="504"/>
      <c r="R1061" s="107"/>
      <c r="S1061" s="503"/>
    </row>
    <row r="1062" spans="1:19" ht="9.75" customHeight="1">
      <c r="A1062" s="503"/>
      <c r="B1062" s="503"/>
      <c r="C1062" s="13"/>
      <c r="D1062" s="13" t="s">
        <v>120</v>
      </c>
      <c r="E1062" s="13"/>
      <c r="F1062" s="109"/>
      <c r="G1062" s="504"/>
      <c r="H1062" s="504"/>
      <c r="I1062" s="504"/>
      <c r="J1062" s="504"/>
      <c r="K1062" s="504"/>
      <c r="L1062" s="504"/>
      <c r="M1062" s="504"/>
      <c r="N1062" s="504"/>
      <c r="O1062" s="110"/>
      <c r="P1062" s="109"/>
      <c r="Q1062" s="504"/>
      <c r="R1062" s="107"/>
      <c r="S1062" s="503"/>
    </row>
    <row r="1063" spans="1:19" ht="9.75" customHeight="1">
      <c r="A1063" s="503"/>
      <c r="B1063" s="503"/>
      <c r="C1063" s="13"/>
      <c r="D1063" s="13" t="s">
        <v>34</v>
      </c>
      <c r="E1063" s="13"/>
      <c r="F1063" s="109"/>
      <c r="G1063" s="504"/>
      <c r="H1063" s="504"/>
      <c r="I1063" s="504"/>
      <c r="J1063" s="504"/>
      <c r="K1063" s="504"/>
      <c r="L1063" s="504"/>
      <c r="M1063" s="504"/>
      <c r="N1063" s="504"/>
      <c r="O1063" s="110"/>
      <c r="P1063" s="109"/>
      <c r="Q1063" s="504"/>
      <c r="R1063" s="107"/>
      <c r="S1063" s="503"/>
    </row>
    <row r="1064" spans="1:19" ht="9.75" customHeight="1">
      <c r="A1064" s="503"/>
      <c r="B1064" s="503"/>
      <c r="C1064" s="13"/>
      <c r="D1064" s="13" t="s">
        <v>35</v>
      </c>
      <c r="E1064" s="13"/>
      <c r="F1064" s="109"/>
      <c r="G1064" s="504"/>
      <c r="H1064" s="504"/>
      <c r="I1064" s="504"/>
      <c r="J1064" s="504"/>
      <c r="K1064" s="504"/>
      <c r="L1064" s="504"/>
      <c r="M1064" s="504"/>
      <c r="N1064" s="504"/>
      <c r="O1064" s="110"/>
      <c r="P1064" s="109"/>
      <c r="Q1064" s="504"/>
      <c r="R1064" s="107"/>
      <c r="S1064" s="503"/>
    </row>
    <row r="1065" spans="1:19" ht="9.75" customHeight="1">
      <c r="A1065" s="503"/>
      <c r="B1065" s="503"/>
      <c r="C1065" s="13"/>
      <c r="D1065" s="13" t="s">
        <v>36</v>
      </c>
      <c r="E1065" s="13"/>
      <c r="F1065" s="109"/>
      <c r="G1065" s="504"/>
      <c r="H1065" s="504"/>
      <c r="I1065" s="504"/>
      <c r="J1065" s="504"/>
      <c r="K1065" s="504"/>
      <c r="L1065" s="504"/>
      <c r="M1065" s="504"/>
      <c r="N1065" s="504"/>
      <c r="O1065" s="110"/>
      <c r="P1065" s="109"/>
      <c r="Q1065" s="504"/>
      <c r="R1065" s="107"/>
      <c r="S1065" s="503"/>
    </row>
    <row r="1066" spans="1:19" ht="9.75" customHeight="1">
      <c r="A1066" s="503"/>
      <c r="B1066" s="503"/>
      <c r="C1066" s="13"/>
      <c r="D1066" s="13" t="s">
        <v>37</v>
      </c>
      <c r="E1066" s="13"/>
      <c r="F1066" s="109"/>
      <c r="G1066" s="504"/>
      <c r="H1066" s="504"/>
      <c r="I1066" s="504"/>
      <c r="J1066" s="504"/>
      <c r="K1066" s="504"/>
      <c r="L1066" s="504"/>
      <c r="M1066" s="504"/>
      <c r="N1066" s="504"/>
      <c r="O1066" s="110"/>
      <c r="P1066" s="109"/>
      <c r="Q1066" s="504"/>
      <c r="R1066" s="107"/>
      <c r="S1066" s="503"/>
    </row>
    <row r="1067" spans="1:19" ht="9.75" customHeight="1">
      <c r="A1067" s="503"/>
      <c r="B1067" s="503" t="s">
        <v>127</v>
      </c>
      <c r="C1067" s="2"/>
      <c r="D1067" s="3" t="s">
        <v>38</v>
      </c>
      <c r="E1067" s="3">
        <f t="shared" ref="E1067:O1067" si="191">SUM(E1051:E1066)</f>
        <v>126</v>
      </c>
      <c r="F1067" s="21">
        <f t="shared" si="191"/>
        <v>120</v>
      </c>
      <c r="G1067" s="71">
        <f t="shared" si="191"/>
        <v>126</v>
      </c>
      <c r="H1067" s="71">
        <f t="shared" si="191"/>
        <v>126</v>
      </c>
      <c r="I1067" s="71">
        <f t="shared" si="191"/>
        <v>126</v>
      </c>
      <c r="J1067" s="71">
        <f t="shared" si="191"/>
        <v>126</v>
      </c>
      <c r="K1067" s="71">
        <f t="shared" si="191"/>
        <v>126</v>
      </c>
      <c r="L1067" s="71">
        <f t="shared" si="191"/>
        <v>126</v>
      </c>
      <c r="M1067" s="71">
        <f t="shared" si="191"/>
        <v>126</v>
      </c>
      <c r="N1067" s="71">
        <f t="shared" si="191"/>
        <v>126</v>
      </c>
      <c r="O1067" s="26">
        <f t="shared" si="191"/>
        <v>126</v>
      </c>
      <c r="P1067" s="21">
        <f>MIN(F1067:O1067)</f>
        <v>120</v>
      </c>
      <c r="Q1067" s="71">
        <f>E1067-P1067</f>
        <v>6</v>
      </c>
      <c r="R1067" s="7">
        <f>Q1067/E1067</f>
        <v>4.7619047619047616E-2</v>
      </c>
      <c r="S1067" s="503"/>
    </row>
    <row r="1068" spans="1:19" ht="9.75" customHeight="1">
      <c r="A1068" s="503"/>
      <c r="B1068" s="503"/>
      <c r="C1068" s="43" t="s">
        <v>238</v>
      </c>
      <c r="D1068" s="43" t="s">
        <v>23</v>
      </c>
      <c r="E1068" s="43"/>
      <c r="F1068" s="116"/>
      <c r="G1068" s="128"/>
      <c r="H1068" s="128"/>
      <c r="I1068" s="128"/>
      <c r="J1068" s="128"/>
      <c r="K1068" s="128"/>
      <c r="L1068" s="128"/>
      <c r="M1068" s="128"/>
      <c r="N1068" s="128"/>
      <c r="O1068" s="129"/>
      <c r="P1068" s="116"/>
      <c r="Q1068" s="128"/>
      <c r="R1068" s="141"/>
      <c r="S1068" s="503"/>
    </row>
    <row r="1069" spans="1:19" ht="9.75" customHeight="1">
      <c r="A1069" s="503"/>
      <c r="B1069" s="503"/>
      <c r="C1069" s="13"/>
      <c r="D1069" s="13" t="s">
        <v>25</v>
      </c>
      <c r="E1069" s="13"/>
      <c r="F1069" s="109"/>
      <c r="G1069" s="504"/>
      <c r="H1069" s="504"/>
      <c r="I1069" s="504"/>
      <c r="J1069" s="504"/>
      <c r="K1069" s="504"/>
      <c r="L1069" s="504"/>
      <c r="M1069" s="504"/>
      <c r="N1069" s="504"/>
      <c r="O1069" s="110"/>
      <c r="P1069" s="109"/>
      <c r="Q1069" s="504"/>
      <c r="R1069" s="107"/>
      <c r="S1069" s="503"/>
    </row>
    <row r="1070" spans="1:19" ht="9.75" customHeight="1">
      <c r="A1070" s="503"/>
      <c r="B1070" s="503"/>
      <c r="C1070" s="13"/>
      <c r="D1070" s="13" t="s">
        <v>27</v>
      </c>
      <c r="E1070" s="13">
        <v>184</v>
      </c>
      <c r="F1070" s="109">
        <f>E1070-45</f>
        <v>139</v>
      </c>
      <c r="G1070" s="504">
        <f>E1070-50</f>
        <v>134</v>
      </c>
      <c r="H1070" s="504">
        <f>E1070-54</f>
        <v>130</v>
      </c>
      <c r="I1070" s="504">
        <f>E1070-60</f>
        <v>124</v>
      </c>
      <c r="J1070" s="504">
        <f>E1070-70</f>
        <v>114</v>
      </c>
      <c r="K1070" s="11">
        <f>E1070-75</f>
        <v>109</v>
      </c>
      <c r="L1070" s="11">
        <f>E1070-80</f>
        <v>104</v>
      </c>
      <c r="M1070" s="11">
        <f>E1070-87</f>
        <v>97</v>
      </c>
      <c r="N1070" s="11">
        <v>104</v>
      </c>
      <c r="O1070" s="136">
        <v>104</v>
      </c>
      <c r="P1070" s="109">
        <f>MIN(F1070:O1070)</f>
        <v>97</v>
      </c>
      <c r="Q1070" s="504">
        <f>E1070-P1070</f>
        <v>87</v>
      </c>
      <c r="R1070" s="107">
        <f>Q1070/E1070</f>
        <v>0.47282608695652173</v>
      </c>
      <c r="S1070" s="503"/>
    </row>
    <row r="1071" spans="1:19" ht="9.75" customHeight="1">
      <c r="A1071" s="503"/>
      <c r="B1071" s="503"/>
      <c r="C1071" s="13"/>
      <c r="D1071" s="13" t="s">
        <v>115</v>
      </c>
      <c r="E1071" s="13"/>
      <c r="F1071" s="109"/>
      <c r="G1071" s="504"/>
      <c r="H1071" s="504"/>
      <c r="I1071" s="504"/>
      <c r="J1071" s="504"/>
      <c r="K1071" s="32"/>
      <c r="L1071" s="32"/>
      <c r="M1071" s="32"/>
      <c r="N1071" s="32"/>
      <c r="O1071" s="142"/>
      <c r="P1071" s="109"/>
      <c r="Q1071" s="504"/>
      <c r="R1071" s="107"/>
      <c r="S1071" s="503"/>
    </row>
    <row r="1072" spans="1:19" ht="9.75" customHeight="1">
      <c r="A1072" s="503"/>
      <c r="B1072" s="503"/>
      <c r="C1072" s="13"/>
      <c r="D1072" s="13" t="s">
        <v>115</v>
      </c>
      <c r="E1072" s="13"/>
      <c r="F1072" s="109"/>
      <c r="G1072" s="504"/>
      <c r="H1072" s="504"/>
      <c r="I1072" s="504"/>
      <c r="J1072" s="504"/>
      <c r="K1072" s="32"/>
      <c r="L1072" s="32"/>
      <c r="M1072" s="32"/>
      <c r="N1072" s="32"/>
      <c r="O1072" s="142"/>
      <c r="P1072" s="109"/>
      <c r="Q1072" s="504"/>
      <c r="R1072" s="107"/>
      <c r="S1072" s="503"/>
    </row>
    <row r="1073" spans="1:19" ht="9.75" customHeight="1">
      <c r="A1073" s="503"/>
      <c r="B1073" s="503"/>
      <c r="C1073" s="13"/>
      <c r="D1073" s="13" t="s">
        <v>32</v>
      </c>
      <c r="E1073" s="13"/>
      <c r="F1073" s="109"/>
      <c r="G1073" s="504"/>
      <c r="H1073" s="504"/>
      <c r="I1073" s="504"/>
      <c r="J1073" s="504"/>
      <c r="K1073" s="32"/>
      <c r="L1073" s="32"/>
      <c r="M1073" s="32"/>
      <c r="N1073" s="32"/>
      <c r="O1073" s="142"/>
      <c r="P1073" s="109"/>
      <c r="Q1073" s="504"/>
      <c r="R1073" s="107"/>
      <c r="S1073" s="503"/>
    </row>
    <row r="1074" spans="1:19" ht="9.75" customHeight="1">
      <c r="A1074" s="503"/>
      <c r="B1074" s="503"/>
      <c r="C1074" s="13"/>
      <c r="D1074" s="13" t="s">
        <v>120</v>
      </c>
      <c r="E1074" s="13"/>
      <c r="F1074" s="109"/>
      <c r="G1074" s="504"/>
      <c r="H1074" s="504"/>
      <c r="I1074" s="504"/>
      <c r="J1074" s="504"/>
      <c r="K1074" s="32"/>
      <c r="L1074" s="32"/>
      <c r="M1074" s="32"/>
      <c r="N1074" s="32"/>
      <c r="O1074" s="142"/>
      <c r="P1074" s="109"/>
      <c r="Q1074" s="504"/>
      <c r="R1074" s="107"/>
      <c r="S1074" s="503"/>
    </row>
    <row r="1075" spans="1:19" ht="9.75" customHeight="1">
      <c r="A1075" s="503"/>
      <c r="B1075" s="503"/>
      <c r="C1075" s="13"/>
      <c r="D1075" s="13" t="s">
        <v>120</v>
      </c>
      <c r="E1075" s="13"/>
      <c r="F1075" s="109"/>
      <c r="G1075" s="504"/>
      <c r="H1075" s="504"/>
      <c r="I1075" s="504"/>
      <c r="J1075" s="504"/>
      <c r="K1075" s="32"/>
      <c r="L1075" s="32"/>
      <c r="M1075" s="32"/>
      <c r="N1075" s="32"/>
      <c r="O1075" s="142"/>
      <c r="P1075" s="109"/>
      <c r="Q1075" s="504"/>
      <c r="R1075" s="107"/>
      <c r="S1075" s="503"/>
    </row>
    <row r="1076" spans="1:19" ht="9.75" customHeight="1">
      <c r="A1076" s="503"/>
      <c r="B1076" s="503"/>
      <c r="C1076" s="13"/>
      <c r="D1076" s="13" t="s">
        <v>120</v>
      </c>
      <c r="E1076" s="13"/>
      <c r="F1076" s="109"/>
      <c r="G1076" s="504"/>
      <c r="H1076" s="504"/>
      <c r="I1076" s="504"/>
      <c r="J1076" s="504"/>
      <c r="K1076" s="32"/>
      <c r="L1076" s="32"/>
      <c r="M1076" s="32"/>
      <c r="N1076" s="32"/>
      <c r="O1076" s="142"/>
      <c r="P1076" s="109"/>
      <c r="Q1076" s="504"/>
      <c r="R1076" s="107"/>
      <c r="S1076" s="503"/>
    </row>
    <row r="1077" spans="1:19" ht="9.75" customHeight="1">
      <c r="A1077" s="503"/>
      <c r="B1077" s="503"/>
      <c r="C1077" s="13"/>
      <c r="D1077" s="13" t="s">
        <v>120</v>
      </c>
      <c r="E1077" s="13"/>
      <c r="F1077" s="109"/>
      <c r="G1077" s="504"/>
      <c r="H1077" s="504"/>
      <c r="I1077" s="504"/>
      <c r="J1077" s="504"/>
      <c r="K1077" s="32"/>
      <c r="L1077" s="32"/>
      <c r="M1077" s="32"/>
      <c r="N1077" s="32"/>
      <c r="O1077" s="142"/>
      <c r="P1077" s="109"/>
      <c r="Q1077" s="504"/>
      <c r="R1077" s="107"/>
      <c r="S1077" s="503"/>
    </row>
    <row r="1078" spans="1:19" ht="9.75" customHeight="1">
      <c r="A1078" s="503"/>
      <c r="B1078" s="503"/>
      <c r="C1078" s="13"/>
      <c r="D1078" s="13" t="s">
        <v>120</v>
      </c>
      <c r="E1078" s="13"/>
      <c r="F1078" s="109"/>
      <c r="G1078" s="504"/>
      <c r="H1078" s="504"/>
      <c r="I1078" s="504"/>
      <c r="J1078" s="504"/>
      <c r="K1078" s="32"/>
      <c r="L1078" s="32"/>
      <c r="M1078" s="32"/>
      <c r="N1078" s="32"/>
      <c r="O1078" s="142"/>
      <c r="P1078" s="109"/>
      <c r="Q1078" s="504"/>
      <c r="R1078" s="107"/>
      <c r="S1078" s="503"/>
    </row>
    <row r="1079" spans="1:19" ht="9.75" customHeight="1">
      <c r="A1079" s="503"/>
      <c r="B1079" s="503"/>
      <c r="C1079" s="13"/>
      <c r="D1079" s="13" t="s">
        <v>120</v>
      </c>
      <c r="E1079" s="13"/>
      <c r="F1079" s="109"/>
      <c r="G1079" s="504"/>
      <c r="H1079" s="504"/>
      <c r="I1079" s="504"/>
      <c r="J1079" s="504"/>
      <c r="K1079" s="32"/>
      <c r="L1079" s="32"/>
      <c r="M1079" s="32"/>
      <c r="N1079" s="32"/>
      <c r="O1079" s="142"/>
      <c r="P1079" s="109"/>
      <c r="Q1079" s="504"/>
      <c r="R1079" s="107"/>
      <c r="S1079" s="503"/>
    </row>
    <row r="1080" spans="1:19" ht="9.75" customHeight="1">
      <c r="A1080" s="503"/>
      <c r="B1080" s="503"/>
      <c r="C1080" s="13"/>
      <c r="D1080" s="13" t="s">
        <v>34</v>
      </c>
      <c r="E1080" s="13"/>
      <c r="F1080" s="109"/>
      <c r="G1080" s="504"/>
      <c r="H1080" s="504"/>
      <c r="I1080" s="504"/>
      <c r="J1080" s="504"/>
      <c r="K1080" s="32"/>
      <c r="L1080" s="32"/>
      <c r="M1080" s="32"/>
      <c r="N1080" s="32"/>
      <c r="O1080" s="142"/>
      <c r="P1080" s="109"/>
      <c r="Q1080" s="504"/>
      <c r="R1080" s="107"/>
      <c r="S1080" s="503"/>
    </row>
    <row r="1081" spans="1:19" ht="9.75" customHeight="1">
      <c r="A1081" s="503"/>
      <c r="B1081" s="503"/>
      <c r="C1081" s="13"/>
      <c r="D1081" s="13" t="s">
        <v>35</v>
      </c>
      <c r="E1081" s="13">
        <v>1</v>
      </c>
      <c r="F1081" s="109">
        <v>1</v>
      </c>
      <c r="G1081" s="504">
        <v>1</v>
      </c>
      <c r="H1081" s="504">
        <v>1</v>
      </c>
      <c r="I1081" s="504">
        <v>1</v>
      </c>
      <c r="J1081" s="504">
        <v>1</v>
      </c>
      <c r="K1081" s="11">
        <v>1</v>
      </c>
      <c r="L1081" s="11">
        <v>1</v>
      </c>
      <c r="M1081" s="11">
        <v>1</v>
      </c>
      <c r="N1081" s="11">
        <v>1</v>
      </c>
      <c r="O1081" s="136">
        <v>1</v>
      </c>
      <c r="P1081" s="109">
        <f>MIN(F1081:O1081)</f>
        <v>1</v>
      </c>
      <c r="Q1081" s="504">
        <f>E1081-P1081</f>
        <v>0</v>
      </c>
      <c r="R1081" s="107">
        <f>Q1081/E1081</f>
        <v>0</v>
      </c>
      <c r="S1081" s="503"/>
    </row>
    <row r="1082" spans="1:19" ht="9.75" customHeight="1">
      <c r="A1082" s="503"/>
      <c r="B1082" s="503"/>
      <c r="C1082" s="13"/>
      <c r="D1082" s="13" t="s">
        <v>36</v>
      </c>
      <c r="E1082" s="13"/>
      <c r="F1082" s="109"/>
      <c r="G1082" s="504"/>
      <c r="H1082" s="504"/>
      <c r="I1082" s="504"/>
      <c r="J1082" s="504"/>
      <c r="K1082" s="504"/>
      <c r="L1082" s="504"/>
      <c r="M1082" s="504"/>
      <c r="N1082" s="504"/>
      <c r="O1082" s="110"/>
      <c r="P1082" s="109"/>
      <c r="Q1082" s="504"/>
      <c r="R1082" s="107"/>
      <c r="S1082" s="503"/>
    </row>
    <row r="1083" spans="1:19" ht="9.75" customHeight="1">
      <c r="A1083" s="503"/>
      <c r="B1083" s="503"/>
      <c r="C1083" s="13"/>
      <c r="D1083" s="13" t="s">
        <v>37</v>
      </c>
      <c r="E1083" s="13"/>
      <c r="F1083" s="109"/>
      <c r="G1083" s="504"/>
      <c r="H1083" s="504"/>
      <c r="I1083" s="504"/>
      <c r="J1083" s="504"/>
      <c r="K1083" s="504"/>
      <c r="L1083" s="504"/>
      <c r="M1083" s="504"/>
      <c r="N1083" s="504"/>
      <c r="O1083" s="110"/>
      <c r="P1083" s="109"/>
      <c r="Q1083" s="504"/>
      <c r="R1083" s="107"/>
      <c r="S1083" s="503"/>
    </row>
    <row r="1084" spans="1:19" ht="9.75" customHeight="1">
      <c r="A1084" s="503"/>
      <c r="B1084" s="503" t="s">
        <v>127</v>
      </c>
      <c r="C1084" s="2"/>
      <c r="D1084" s="3" t="s">
        <v>38</v>
      </c>
      <c r="E1084" s="3">
        <f t="shared" ref="E1084:O1084" si="192">SUM(E1068:E1083)</f>
        <v>185</v>
      </c>
      <c r="F1084" s="21">
        <f t="shared" si="192"/>
        <v>140</v>
      </c>
      <c r="G1084" s="71">
        <f t="shared" si="192"/>
        <v>135</v>
      </c>
      <c r="H1084" s="71">
        <f t="shared" si="192"/>
        <v>131</v>
      </c>
      <c r="I1084" s="71">
        <f t="shared" si="192"/>
        <v>125</v>
      </c>
      <c r="J1084" s="71">
        <f t="shared" si="192"/>
        <v>115</v>
      </c>
      <c r="K1084" s="71">
        <f t="shared" si="192"/>
        <v>110</v>
      </c>
      <c r="L1084" s="71">
        <f t="shared" si="192"/>
        <v>105</v>
      </c>
      <c r="M1084" s="71">
        <f t="shared" si="192"/>
        <v>98</v>
      </c>
      <c r="N1084" s="71">
        <f t="shared" si="192"/>
        <v>105</v>
      </c>
      <c r="O1084" s="26">
        <f t="shared" si="192"/>
        <v>105</v>
      </c>
      <c r="P1084" s="21">
        <f>MIN(F1084:O1084)</f>
        <v>98</v>
      </c>
      <c r="Q1084" s="71">
        <f>E1084-P1084</f>
        <v>87</v>
      </c>
      <c r="R1084" s="7">
        <f>Q1084/E1084</f>
        <v>0.4702702702702703</v>
      </c>
      <c r="S1084" s="503"/>
    </row>
    <row r="1085" spans="1:19" ht="9.75" customHeight="1">
      <c r="A1085" s="503"/>
      <c r="B1085" s="503"/>
      <c r="C1085" s="43" t="s">
        <v>239</v>
      </c>
      <c r="D1085" s="29" t="s">
        <v>23</v>
      </c>
      <c r="E1085" s="43"/>
      <c r="F1085" s="116"/>
      <c r="G1085" s="128"/>
      <c r="H1085" s="128"/>
      <c r="I1085" s="128"/>
      <c r="J1085" s="128"/>
      <c r="K1085" s="128"/>
      <c r="L1085" s="128"/>
      <c r="M1085" s="128"/>
      <c r="N1085" s="128"/>
      <c r="O1085" s="129"/>
      <c r="P1085" s="116"/>
      <c r="Q1085" s="128"/>
      <c r="R1085" s="141"/>
      <c r="S1085" s="503"/>
    </row>
    <row r="1086" spans="1:19" ht="9.75" customHeight="1">
      <c r="A1086" s="503"/>
      <c r="B1086" s="503"/>
      <c r="C1086" s="13"/>
      <c r="D1086" s="13" t="s">
        <v>25</v>
      </c>
      <c r="E1086" s="13">
        <v>89</v>
      </c>
      <c r="F1086" s="109">
        <f>E1086-50</f>
        <v>39</v>
      </c>
      <c r="G1086" s="504">
        <f>E1086-45</f>
        <v>44</v>
      </c>
      <c r="H1086" s="504">
        <v>35</v>
      </c>
      <c r="I1086" s="504">
        <v>30</v>
      </c>
      <c r="J1086" s="504">
        <v>20</v>
      </c>
      <c r="K1086" s="504">
        <v>25</v>
      </c>
      <c r="L1086" s="504">
        <v>30</v>
      </c>
      <c r="M1086" s="504">
        <v>30</v>
      </c>
      <c r="N1086" s="504">
        <v>31</v>
      </c>
      <c r="O1086" s="110">
        <v>35</v>
      </c>
      <c r="P1086" s="109">
        <f t="shared" ref="P1086:P1087" si="193">MIN(F1086:O1086)</f>
        <v>20</v>
      </c>
      <c r="Q1086" s="504">
        <f t="shared" ref="Q1086:Q1087" si="194">E1086-P1086</f>
        <v>69</v>
      </c>
      <c r="R1086" s="107">
        <f t="shared" ref="R1086:R1087" si="195">Q1086/E1086</f>
        <v>0.7752808988764045</v>
      </c>
      <c r="S1086" s="503"/>
    </row>
    <row r="1087" spans="1:19" ht="9.75" customHeight="1">
      <c r="A1087" s="503"/>
      <c r="B1087" s="503"/>
      <c r="C1087" s="13"/>
      <c r="D1087" s="13" t="s">
        <v>27</v>
      </c>
      <c r="E1087" s="13">
        <v>100</v>
      </c>
      <c r="F1087" s="109">
        <v>0</v>
      </c>
      <c r="G1087" s="504">
        <v>10</v>
      </c>
      <c r="H1087" s="504">
        <v>25</v>
      </c>
      <c r="I1087" s="504">
        <v>30</v>
      </c>
      <c r="J1087" s="504">
        <v>30</v>
      </c>
      <c r="K1087" s="504">
        <v>30</v>
      </c>
      <c r="L1087" s="504">
        <v>25</v>
      </c>
      <c r="M1087" s="504">
        <v>21</v>
      </c>
      <c r="N1087" s="504">
        <v>27</v>
      </c>
      <c r="O1087" s="110">
        <v>29</v>
      </c>
      <c r="P1087" s="109">
        <f t="shared" si="193"/>
        <v>0</v>
      </c>
      <c r="Q1087" s="504">
        <f t="shared" si="194"/>
        <v>100</v>
      </c>
      <c r="R1087" s="107">
        <f t="shared" si="195"/>
        <v>1</v>
      </c>
      <c r="S1087" s="503"/>
    </row>
    <row r="1088" spans="1:19" ht="9.75" customHeight="1">
      <c r="A1088" s="503"/>
      <c r="B1088" s="503"/>
      <c r="C1088" s="13"/>
      <c r="D1088" s="13" t="s">
        <v>115</v>
      </c>
      <c r="E1088" s="13"/>
      <c r="F1088" s="109"/>
      <c r="G1088" s="504"/>
      <c r="H1088" s="504"/>
      <c r="I1088" s="504"/>
      <c r="J1088" s="504"/>
      <c r="K1088" s="504"/>
      <c r="L1088" s="504"/>
      <c r="M1088" s="504"/>
      <c r="N1088" s="504"/>
      <c r="O1088" s="110"/>
      <c r="P1088" s="109"/>
      <c r="Q1088" s="504"/>
      <c r="R1088" s="107"/>
      <c r="S1088" s="503"/>
    </row>
    <row r="1089" spans="1:19" ht="9.75" customHeight="1">
      <c r="A1089" s="503"/>
      <c r="B1089" s="503"/>
      <c r="C1089" s="13"/>
      <c r="D1089" s="13" t="s">
        <v>115</v>
      </c>
      <c r="E1089" s="13"/>
      <c r="F1089" s="109"/>
      <c r="G1089" s="504"/>
      <c r="H1089" s="504"/>
      <c r="I1089" s="504"/>
      <c r="J1089" s="504"/>
      <c r="K1089" s="504"/>
      <c r="L1089" s="504"/>
      <c r="M1089" s="504"/>
      <c r="N1089" s="504"/>
      <c r="O1089" s="110"/>
      <c r="P1089" s="109"/>
      <c r="Q1089" s="504"/>
      <c r="R1089" s="107"/>
      <c r="S1089" s="503"/>
    </row>
    <row r="1090" spans="1:19" ht="9.75" customHeight="1">
      <c r="A1090" s="503"/>
      <c r="B1090" s="503"/>
      <c r="C1090" s="13"/>
      <c r="D1090" s="13" t="s">
        <v>32</v>
      </c>
      <c r="E1090" s="13"/>
      <c r="F1090" s="109"/>
      <c r="G1090" s="504"/>
      <c r="H1090" s="504"/>
      <c r="I1090" s="504"/>
      <c r="J1090" s="504"/>
      <c r="K1090" s="504"/>
      <c r="L1090" s="504"/>
      <c r="M1090" s="504"/>
      <c r="N1090" s="504"/>
      <c r="O1090" s="110"/>
      <c r="P1090" s="109"/>
      <c r="Q1090" s="504"/>
      <c r="R1090" s="107"/>
      <c r="S1090" s="503"/>
    </row>
    <row r="1091" spans="1:19" ht="9.75" customHeight="1">
      <c r="A1091" s="503"/>
      <c r="B1091" s="503"/>
      <c r="C1091" s="13"/>
      <c r="D1091" s="13" t="s">
        <v>120</v>
      </c>
      <c r="E1091" s="13"/>
      <c r="F1091" s="109"/>
      <c r="G1091" s="504"/>
      <c r="H1091" s="504"/>
      <c r="I1091" s="504"/>
      <c r="J1091" s="504"/>
      <c r="K1091" s="504"/>
      <c r="L1091" s="504"/>
      <c r="M1091" s="504"/>
      <c r="N1091" s="504"/>
      <c r="O1091" s="110"/>
      <c r="P1091" s="109"/>
      <c r="Q1091" s="504"/>
      <c r="R1091" s="107"/>
      <c r="S1091" s="503"/>
    </row>
    <row r="1092" spans="1:19" ht="9.75" customHeight="1">
      <c r="A1092" s="503"/>
      <c r="B1092" s="503"/>
      <c r="C1092" s="13"/>
      <c r="D1092" s="13" t="s">
        <v>120</v>
      </c>
      <c r="E1092" s="13"/>
      <c r="F1092" s="109"/>
      <c r="G1092" s="504"/>
      <c r="H1092" s="504"/>
      <c r="I1092" s="504"/>
      <c r="J1092" s="504"/>
      <c r="K1092" s="504"/>
      <c r="L1092" s="504"/>
      <c r="M1092" s="504"/>
      <c r="N1092" s="504"/>
      <c r="O1092" s="110"/>
      <c r="P1092" s="109"/>
      <c r="Q1092" s="504"/>
      <c r="R1092" s="107"/>
      <c r="S1092" s="503"/>
    </row>
    <row r="1093" spans="1:19" ht="9.75" customHeight="1">
      <c r="A1093" s="503"/>
      <c r="B1093" s="503"/>
      <c r="C1093" s="13"/>
      <c r="D1093" s="13" t="s">
        <v>120</v>
      </c>
      <c r="E1093" s="13"/>
      <c r="F1093" s="109"/>
      <c r="G1093" s="504"/>
      <c r="H1093" s="504"/>
      <c r="I1093" s="504"/>
      <c r="J1093" s="504"/>
      <c r="K1093" s="504"/>
      <c r="L1093" s="504"/>
      <c r="M1093" s="504"/>
      <c r="N1093" s="504"/>
      <c r="O1093" s="110"/>
      <c r="P1093" s="109"/>
      <c r="Q1093" s="504"/>
      <c r="R1093" s="107"/>
      <c r="S1093" s="503"/>
    </row>
    <row r="1094" spans="1:19" ht="9.75" customHeight="1">
      <c r="A1094" s="503"/>
      <c r="B1094" s="503"/>
      <c r="C1094" s="13"/>
      <c r="D1094" s="13" t="s">
        <v>120</v>
      </c>
      <c r="E1094" s="13"/>
      <c r="F1094" s="109"/>
      <c r="G1094" s="504"/>
      <c r="H1094" s="504"/>
      <c r="I1094" s="504"/>
      <c r="J1094" s="504"/>
      <c r="K1094" s="504"/>
      <c r="L1094" s="504"/>
      <c r="M1094" s="504"/>
      <c r="N1094" s="504"/>
      <c r="O1094" s="110"/>
      <c r="P1094" s="109"/>
      <c r="Q1094" s="504"/>
      <c r="R1094" s="107"/>
      <c r="S1094" s="503"/>
    </row>
    <row r="1095" spans="1:19" ht="9.75" customHeight="1">
      <c r="A1095" s="503"/>
      <c r="B1095" s="503"/>
      <c r="C1095" s="13"/>
      <c r="D1095" s="13" t="s">
        <v>120</v>
      </c>
      <c r="E1095" s="13"/>
      <c r="F1095" s="109"/>
      <c r="G1095" s="504"/>
      <c r="H1095" s="504"/>
      <c r="I1095" s="504"/>
      <c r="J1095" s="504"/>
      <c r="K1095" s="504"/>
      <c r="L1095" s="504"/>
      <c r="M1095" s="504"/>
      <c r="N1095" s="504"/>
      <c r="O1095" s="110"/>
      <c r="P1095" s="109"/>
      <c r="Q1095" s="504"/>
      <c r="R1095" s="107"/>
      <c r="S1095" s="503"/>
    </row>
    <row r="1096" spans="1:19" ht="9.75" customHeight="1">
      <c r="A1096" s="503"/>
      <c r="B1096" s="503"/>
      <c r="C1096" s="13"/>
      <c r="D1096" s="13" t="s">
        <v>120</v>
      </c>
      <c r="E1096" s="13"/>
      <c r="F1096" s="109"/>
      <c r="G1096" s="504"/>
      <c r="H1096" s="504"/>
      <c r="I1096" s="504"/>
      <c r="J1096" s="504"/>
      <c r="K1096" s="504"/>
      <c r="L1096" s="504"/>
      <c r="M1096" s="504"/>
      <c r="N1096" s="504"/>
      <c r="O1096" s="110"/>
      <c r="P1096" s="109"/>
      <c r="Q1096" s="504"/>
      <c r="R1096" s="107"/>
      <c r="S1096" s="503"/>
    </row>
    <row r="1097" spans="1:19" ht="9.75" customHeight="1">
      <c r="A1097" s="503"/>
      <c r="B1097" s="503"/>
      <c r="C1097" s="13"/>
      <c r="D1097" s="13" t="s">
        <v>34</v>
      </c>
      <c r="E1097" s="13"/>
      <c r="F1097" s="109"/>
      <c r="G1097" s="504"/>
      <c r="H1097" s="504"/>
      <c r="I1097" s="504"/>
      <c r="J1097" s="504"/>
      <c r="K1097" s="504"/>
      <c r="L1097" s="504"/>
      <c r="M1097" s="504"/>
      <c r="N1097" s="504"/>
      <c r="O1097" s="110"/>
      <c r="P1097" s="109"/>
      <c r="Q1097" s="504"/>
      <c r="R1097" s="107"/>
      <c r="S1097" s="503"/>
    </row>
    <row r="1098" spans="1:19" ht="9.75" customHeight="1">
      <c r="A1098" s="503"/>
      <c r="B1098" s="503"/>
      <c r="C1098" s="13"/>
      <c r="D1098" s="13" t="s">
        <v>35</v>
      </c>
      <c r="E1098" s="13"/>
      <c r="F1098" s="109"/>
      <c r="G1098" s="504"/>
      <c r="H1098" s="504"/>
      <c r="I1098" s="504"/>
      <c r="J1098" s="504"/>
      <c r="K1098" s="504"/>
      <c r="L1098" s="504"/>
      <c r="M1098" s="504"/>
      <c r="N1098" s="504"/>
      <c r="O1098" s="110"/>
      <c r="P1098" s="109"/>
      <c r="Q1098" s="504"/>
      <c r="R1098" s="107"/>
      <c r="S1098" s="503"/>
    </row>
    <row r="1099" spans="1:19" ht="9.75" customHeight="1">
      <c r="A1099" s="503"/>
      <c r="B1099" s="503"/>
      <c r="C1099" s="13"/>
      <c r="D1099" s="13" t="s">
        <v>36</v>
      </c>
      <c r="E1099" s="13"/>
      <c r="F1099" s="109"/>
      <c r="G1099" s="504"/>
      <c r="H1099" s="504"/>
      <c r="I1099" s="504"/>
      <c r="J1099" s="504"/>
      <c r="K1099" s="504"/>
      <c r="L1099" s="504"/>
      <c r="M1099" s="504"/>
      <c r="N1099" s="504"/>
      <c r="O1099" s="110"/>
      <c r="P1099" s="109"/>
      <c r="Q1099" s="504"/>
      <c r="R1099" s="107"/>
      <c r="S1099" s="503"/>
    </row>
    <row r="1100" spans="1:19" ht="9.75" customHeight="1">
      <c r="A1100" s="503"/>
      <c r="B1100" s="503"/>
      <c r="C1100" s="13"/>
      <c r="D1100" s="13" t="s">
        <v>37</v>
      </c>
      <c r="E1100" s="13"/>
      <c r="F1100" s="109"/>
      <c r="G1100" s="504"/>
      <c r="H1100" s="504"/>
      <c r="I1100" s="504"/>
      <c r="J1100" s="504"/>
      <c r="K1100" s="504"/>
      <c r="L1100" s="504"/>
      <c r="M1100" s="504"/>
      <c r="N1100" s="504"/>
      <c r="O1100" s="110"/>
      <c r="P1100" s="109"/>
      <c r="Q1100" s="504"/>
      <c r="R1100" s="107"/>
      <c r="S1100" s="503"/>
    </row>
    <row r="1101" spans="1:19" ht="9.75" customHeight="1">
      <c r="A1101" s="503"/>
      <c r="B1101" s="503" t="s">
        <v>127</v>
      </c>
      <c r="C1101" s="2"/>
      <c r="D1101" s="3" t="s">
        <v>38</v>
      </c>
      <c r="E1101" s="3">
        <f t="shared" ref="E1101:O1101" si="196">SUM(E1085:E1100)</f>
        <v>189</v>
      </c>
      <c r="F1101" s="21">
        <f t="shared" si="196"/>
        <v>39</v>
      </c>
      <c r="G1101" s="71">
        <f t="shared" si="196"/>
        <v>54</v>
      </c>
      <c r="H1101" s="71">
        <f t="shared" si="196"/>
        <v>60</v>
      </c>
      <c r="I1101" s="71">
        <f t="shared" si="196"/>
        <v>60</v>
      </c>
      <c r="J1101" s="71">
        <f t="shared" si="196"/>
        <v>50</v>
      </c>
      <c r="K1101" s="71">
        <f t="shared" si="196"/>
        <v>55</v>
      </c>
      <c r="L1101" s="71">
        <f t="shared" si="196"/>
        <v>55</v>
      </c>
      <c r="M1101" s="71">
        <f t="shared" si="196"/>
        <v>51</v>
      </c>
      <c r="N1101" s="71">
        <f t="shared" si="196"/>
        <v>58</v>
      </c>
      <c r="O1101" s="26">
        <f t="shared" si="196"/>
        <v>64</v>
      </c>
      <c r="P1101" s="21">
        <f>MIN(F1101:O1101)</f>
        <v>39</v>
      </c>
      <c r="Q1101" s="71">
        <f>E1101-P1101</f>
        <v>150</v>
      </c>
      <c r="R1101" s="7">
        <f>Q1101/E1101</f>
        <v>0.79365079365079361</v>
      </c>
      <c r="S1101" s="503"/>
    </row>
    <row r="1102" spans="1:19" ht="9.75" customHeight="1">
      <c r="A1102" s="503"/>
      <c r="B1102" s="503"/>
      <c r="C1102" s="43" t="s">
        <v>240</v>
      </c>
      <c r="D1102" s="29" t="s">
        <v>23</v>
      </c>
      <c r="E1102" s="43"/>
      <c r="F1102" s="116"/>
      <c r="G1102" s="128"/>
      <c r="H1102" s="128"/>
      <c r="I1102" s="128"/>
      <c r="J1102" s="128"/>
      <c r="K1102" s="128"/>
      <c r="L1102" s="128"/>
      <c r="M1102" s="128"/>
      <c r="N1102" s="128"/>
      <c r="O1102" s="129"/>
      <c r="P1102" s="116"/>
      <c r="Q1102" s="128"/>
      <c r="R1102" s="141"/>
      <c r="S1102" s="503"/>
    </row>
    <row r="1103" spans="1:19" ht="9.75" customHeight="1">
      <c r="A1103" s="503"/>
      <c r="B1103" s="503"/>
      <c r="C1103" s="13"/>
      <c r="D1103" s="13" t="s">
        <v>25</v>
      </c>
      <c r="E1103" s="13">
        <v>165</v>
      </c>
      <c r="F1103" s="109">
        <v>0</v>
      </c>
      <c r="G1103" s="504">
        <v>0</v>
      </c>
      <c r="H1103" s="504">
        <v>3</v>
      </c>
      <c r="I1103" s="504">
        <v>3</v>
      </c>
      <c r="J1103" s="504">
        <v>4</v>
      </c>
      <c r="K1103" s="11">
        <v>5</v>
      </c>
      <c r="L1103" s="11">
        <v>7</v>
      </c>
      <c r="M1103" s="11">
        <v>10</v>
      </c>
      <c r="N1103" s="11">
        <v>11</v>
      </c>
      <c r="O1103" s="136">
        <v>15</v>
      </c>
      <c r="P1103" s="109">
        <f>MIN(F1103:O1103)</f>
        <v>0</v>
      </c>
      <c r="Q1103" s="504">
        <f>E1103-P1103</f>
        <v>165</v>
      </c>
      <c r="R1103" s="107">
        <f>Q1103/E1103</f>
        <v>1</v>
      </c>
      <c r="S1103" s="503"/>
    </row>
    <row r="1104" spans="1:19" ht="9.75" customHeight="1">
      <c r="A1104" s="503"/>
      <c r="B1104" s="503"/>
      <c r="C1104" s="13"/>
      <c r="D1104" s="13" t="s">
        <v>27</v>
      </c>
      <c r="E1104" s="13"/>
      <c r="F1104" s="109"/>
      <c r="G1104" s="504"/>
      <c r="H1104" s="504"/>
      <c r="I1104" s="504"/>
      <c r="J1104" s="504"/>
      <c r="K1104" s="32"/>
      <c r="L1104" s="32"/>
      <c r="M1104" s="32"/>
      <c r="N1104" s="32"/>
      <c r="O1104" s="142"/>
      <c r="P1104" s="109"/>
      <c r="Q1104" s="504"/>
      <c r="R1104" s="107"/>
      <c r="S1104" s="503"/>
    </row>
    <row r="1105" spans="1:19" ht="9.75" customHeight="1">
      <c r="A1105" s="503"/>
      <c r="B1105" s="503"/>
      <c r="C1105" s="13"/>
      <c r="D1105" s="13" t="s">
        <v>115</v>
      </c>
      <c r="E1105" s="13"/>
      <c r="F1105" s="109"/>
      <c r="G1105" s="504"/>
      <c r="H1105" s="504"/>
      <c r="I1105" s="504"/>
      <c r="J1105" s="504"/>
      <c r="K1105" s="32"/>
      <c r="L1105" s="32"/>
      <c r="M1105" s="32"/>
      <c r="N1105" s="32"/>
      <c r="O1105" s="142"/>
      <c r="P1105" s="109"/>
      <c r="Q1105" s="504"/>
      <c r="R1105" s="107"/>
      <c r="S1105" s="503"/>
    </row>
    <row r="1106" spans="1:19" ht="9.75" customHeight="1">
      <c r="A1106" s="503"/>
      <c r="B1106" s="503"/>
      <c r="C1106" s="13"/>
      <c r="D1106" s="13" t="s">
        <v>115</v>
      </c>
      <c r="E1106" s="13"/>
      <c r="F1106" s="109"/>
      <c r="G1106" s="504"/>
      <c r="H1106" s="504"/>
      <c r="I1106" s="504"/>
      <c r="J1106" s="504"/>
      <c r="K1106" s="32"/>
      <c r="L1106" s="32"/>
      <c r="M1106" s="32"/>
      <c r="N1106" s="32"/>
      <c r="O1106" s="142"/>
      <c r="P1106" s="109"/>
      <c r="Q1106" s="504"/>
      <c r="R1106" s="107"/>
      <c r="S1106" s="503"/>
    </row>
    <row r="1107" spans="1:19" ht="9.75" customHeight="1">
      <c r="A1107" s="503"/>
      <c r="B1107" s="503"/>
      <c r="C1107" s="13"/>
      <c r="D1107" s="13" t="s">
        <v>32</v>
      </c>
      <c r="E1107" s="13"/>
      <c r="F1107" s="109"/>
      <c r="G1107" s="504"/>
      <c r="H1107" s="504"/>
      <c r="I1107" s="504"/>
      <c r="J1107" s="504"/>
      <c r="K1107" s="32"/>
      <c r="L1107" s="32"/>
      <c r="M1107" s="32"/>
      <c r="N1107" s="32"/>
      <c r="O1107" s="142"/>
      <c r="P1107" s="109"/>
      <c r="Q1107" s="504"/>
      <c r="R1107" s="107"/>
      <c r="S1107" s="503"/>
    </row>
    <row r="1108" spans="1:19" ht="9.75" customHeight="1">
      <c r="A1108" s="503"/>
      <c r="B1108" s="503"/>
      <c r="C1108" s="13"/>
      <c r="D1108" s="13" t="s">
        <v>118</v>
      </c>
      <c r="E1108" s="13">
        <v>10</v>
      </c>
      <c r="F1108" s="109">
        <v>6</v>
      </c>
      <c r="G1108" s="504">
        <v>5</v>
      </c>
      <c r="H1108" s="504">
        <v>10</v>
      </c>
      <c r="I1108" s="504">
        <v>10</v>
      </c>
      <c r="J1108" s="504">
        <v>10</v>
      </c>
      <c r="K1108" s="11">
        <v>10</v>
      </c>
      <c r="L1108" s="11">
        <v>10</v>
      </c>
      <c r="M1108" s="11">
        <v>10</v>
      </c>
      <c r="N1108" s="11">
        <v>10</v>
      </c>
      <c r="O1108" s="136">
        <v>10</v>
      </c>
      <c r="P1108" s="109">
        <f>MIN(F1108:O1108)</f>
        <v>5</v>
      </c>
      <c r="Q1108" s="504">
        <f>E1108-P1108</f>
        <v>5</v>
      </c>
      <c r="R1108" s="107">
        <f>Q1108/E1108</f>
        <v>0.5</v>
      </c>
      <c r="S1108" s="503"/>
    </row>
    <row r="1109" spans="1:19" ht="9.75" customHeight="1">
      <c r="A1109" s="503"/>
      <c r="B1109" s="503"/>
      <c r="C1109" s="13"/>
      <c r="D1109" s="13" t="s">
        <v>120</v>
      </c>
      <c r="E1109" s="13"/>
      <c r="F1109" s="109"/>
      <c r="G1109" s="504"/>
      <c r="H1109" s="504"/>
      <c r="I1109" s="504"/>
      <c r="J1109" s="504"/>
      <c r="K1109" s="504"/>
      <c r="L1109" s="504"/>
      <c r="M1109" s="504"/>
      <c r="N1109" s="504"/>
      <c r="O1109" s="110"/>
      <c r="P1109" s="109"/>
      <c r="Q1109" s="504"/>
      <c r="R1109" s="107"/>
      <c r="S1109" s="503"/>
    </row>
    <row r="1110" spans="1:19" ht="9.75" customHeight="1">
      <c r="A1110" s="503"/>
      <c r="B1110" s="503"/>
      <c r="C1110" s="13"/>
      <c r="D1110" s="13" t="s">
        <v>120</v>
      </c>
      <c r="E1110" s="13"/>
      <c r="F1110" s="109"/>
      <c r="G1110" s="504"/>
      <c r="H1110" s="504"/>
      <c r="I1110" s="504"/>
      <c r="J1110" s="504"/>
      <c r="K1110" s="504"/>
      <c r="L1110" s="504"/>
      <c r="M1110" s="504"/>
      <c r="N1110" s="504"/>
      <c r="O1110" s="110"/>
      <c r="P1110" s="109"/>
      <c r="Q1110" s="504"/>
      <c r="R1110" s="107"/>
      <c r="S1110" s="503"/>
    </row>
    <row r="1111" spans="1:19" ht="9.75" customHeight="1">
      <c r="A1111" s="503"/>
      <c r="B1111" s="503"/>
      <c r="C1111" s="13"/>
      <c r="D1111" s="13" t="s">
        <v>120</v>
      </c>
      <c r="E1111" s="13"/>
      <c r="F1111" s="109"/>
      <c r="G1111" s="504"/>
      <c r="H1111" s="504"/>
      <c r="I1111" s="504"/>
      <c r="J1111" s="504"/>
      <c r="K1111" s="504"/>
      <c r="L1111" s="504"/>
      <c r="M1111" s="504"/>
      <c r="N1111" s="504"/>
      <c r="O1111" s="110"/>
      <c r="P1111" s="109"/>
      <c r="Q1111" s="504"/>
      <c r="R1111" s="107"/>
      <c r="S1111" s="503"/>
    </row>
    <row r="1112" spans="1:19" ht="9.75" customHeight="1">
      <c r="A1112" s="503"/>
      <c r="B1112" s="503"/>
      <c r="C1112" s="13"/>
      <c r="D1112" s="13" t="s">
        <v>120</v>
      </c>
      <c r="E1112" s="13"/>
      <c r="F1112" s="109"/>
      <c r="G1112" s="504"/>
      <c r="H1112" s="504"/>
      <c r="I1112" s="504"/>
      <c r="J1112" s="504"/>
      <c r="K1112" s="504"/>
      <c r="L1112" s="504"/>
      <c r="M1112" s="504"/>
      <c r="N1112" s="504"/>
      <c r="O1112" s="110"/>
      <c r="P1112" s="109"/>
      <c r="Q1112" s="504"/>
      <c r="R1112" s="107"/>
      <c r="S1112" s="503"/>
    </row>
    <row r="1113" spans="1:19" ht="9.75" customHeight="1">
      <c r="A1113" s="503"/>
      <c r="B1113" s="503"/>
      <c r="C1113" s="13"/>
      <c r="D1113" s="13" t="s">
        <v>120</v>
      </c>
      <c r="E1113" s="13"/>
      <c r="F1113" s="109"/>
      <c r="G1113" s="504"/>
      <c r="H1113" s="504"/>
      <c r="I1113" s="504"/>
      <c r="J1113" s="504"/>
      <c r="K1113" s="504"/>
      <c r="L1113" s="504"/>
      <c r="M1113" s="504"/>
      <c r="N1113" s="504"/>
      <c r="O1113" s="110"/>
      <c r="P1113" s="109"/>
      <c r="Q1113" s="504"/>
      <c r="R1113" s="107"/>
      <c r="S1113" s="503"/>
    </row>
    <row r="1114" spans="1:19" ht="9.75" customHeight="1">
      <c r="A1114" s="503"/>
      <c r="B1114" s="503"/>
      <c r="C1114" s="13"/>
      <c r="D1114" s="13" t="s">
        <v>34</v>
      </c>
      <c r="E1114" s="13"/>
      <c r="F1114" s="109"/>
      <c r="G1114" s="504"/>
      <c r="H1114" s="504"/>
      <c r="I1114" s="504"/>
      <c r="J1114" s="504"/>
      <c r="K1114" s="504"/>
      <c r="L1114" s="504"/>
      <c r="M1114" s="504"/>
      <c r="N1114" s="504"/>
      <c r="O1114" s="110"/>
      <c r="P1114" s="109"/>
      <c r="Q1114" s="504"/>
      <c r="R1114" s="107"/>
      <c r="S1114" s="503"/>
    </row>
    <row r="1115" spans="1:19" ht="9.75" customHeight="1">
      <c r="A1115" s="503"/>
      <c r="B1115" s="503"/>
      <c r="C1115" s="13"/>
      <c r="D1115" s="13" t="s">
        <v>35</v>
      </c>
      <c r="E1115" s="13"/>
      <c r="F1115" s="109"/>
      <c r="G1115" s="504"/>
      <c r="H1115" s="504"/>
      <c r="I1115" s="504"/>
      <c r="J1115" s="504"/>
      <c r="K1115" s="504"/>
      <c r="L1115" s="504"/>
      <c r="M1115" s="504"/>
      <c r="N1115" s="504"/>
      <c r="O1115" s="110"/>
      <c r="P1115" s="109"/>
      <c r="Q1115" s="504"/>
      <c r="R1115" s="107"/>
      <c r="S1115" s="503"/>
    </row>
    <row r="1116" spans="1:19" ht="9.75" customHeight="1">
      <c r="A1116" s="503"/>
      <c r="B1116" s="503"/>
      <c r="C1116" s="13"/>
      <c r="D1116" s="13" t="s">
        <v>36</v>
      </c>
      <c r="E1116" s="13"/>
      <c r="F1116" s="109"/>
      <c r="G1116" s="504"/>
      <c r="H1116" s="504"/>
      <c r="I1116" s="504"/>
      <c r="J1116" s="504"/>
      <c r="K1116" s="504"/>
      <c r="L1116" s="504"/>
      <c r="M1116" s="504"/>
      <c r="N1116" s="504"/>
      <c r="O1116" s="110"/>
      <c r="P1116" s="109"/>
      <c r="Q1116" s="504"/>
      <c r="R1116" s="107"/>
      <c r="S1116" s="503"/>
    </row>
    <row r="1117" spans="1:19" ht="9.75" customHeight="1">
      <c r="A1117" s="503"/>
      <c r="B1117" s="503"/>
      <c r="C1117" s="13"/>
      <c r="D1117" s="13" t="s">
        <v>37</v>
      </c>
      <c r="E1117" s="13"/>
      <c r="F1117" s="109"/>
      <c r="G1117" s="504"/>
      <c r="H1117" s="504"/>
      <c r="I1117" s="504"/>
      <c r="J1117" s="504"/>
      <c r="K1117" s="504"/>
      <c r="L1117" s="504"/>
      <c r="M1117" s="504"/>
      <c r="N1117" s="504"/>
      <c r="O1117" s="110"/>
      <c r="P1117" s="109"/>
      <c r="Q1117" s="504"/>
      <c r="R1117" s="107"/>
      <c r="S1117" s="503"/>
    </row>
    <row r="1118" spans="1:19" ht="9.75" customHeight="1">
      <c r="A1118" s="503"/>
      <c r="B1118" s="503" t="s">
        <v>127</v>
      </c>
      <c r="C1118" s="2"/>
      <c r="D1118" s="3" t="s">
        <v>38</v>
      </c>
      <c r="E1118" s="3">
        <f t="shared" ref="E1118:O1118" si="197">SUM(E1102:E1117)</f>
        <v>175</v>
      </c>
      <c r="F1118" s="21">
        <f t="shared" si="197"/>
        <v>6</v>
      </c>
      <c r="G1118" s="71">
        <f t="shared" si="197"/>
        <v>5</v>
      </c>
      <c r="H1118" s="71">
        <f t="shared" si="197"/>
        <v>13</v>
      </c>
      <c r="I1118" s="71">
        <f t="shared" si="197"/>
        <v>13</v>
      </c>
      <c r="J1118" s="71">
        <f t="shared" si="197"/>
        <v>14</v>
      </c>
      <c r="K1118" s="71">
        <f t="shared" si="197"/>
        <v>15</v>
      </c>
      <c r="L1118" s="71">
        <f t="shared" si="197"/>
        <v>17</v>
      </c>
      <c r="M1118" s="71">
        <f t="shared" si="197"/>
        <v>20</v>
      </c>
      <c r="N1118" s="71">
        <f t="shared" si="197"/>
        <v>21</v>
      </c>
      <c r="O1118" s="26">
        <f t="shared" si="197"/>
        <v>25</v>
      </c>
      <c r="P1118" s="21">
        <f t="shared" ref="P1118:P1119" si="198">MIN(F1118:O1118)</f>
        <v>5</v>
      </c>
      <c r="Q1118" s="71">
        <f t="shared" ref="Q1118:Q1119" si="199">E1118-P1118</f>
        <v>170</v>
      </c>
      <c r="R1118" s="7">
        <f t="shared" ref="R1118:R1119" si="200">Q1118/E1118</f>
        <v>0.97142857142857142</v>
      </c>
      <c r="S1118" s="503"/>
    </row>
    <row r="1119" spans="1:19" ht="9.75" customHeight="1">
      <c r="A1119" s="503"/>
      <c r="B1119" s="503"/>
      <c r="C1119" s="43" t="s">
        <v>241</v>
      </c>
      <c r="D1119" s="29" t="s">
        <v>23</v>
      </c>
      <c r="E1119" s="43">
        <v>61</v>
      </c>
      <c r="F1119" s="116">
        <v>51</v>
      </c>
      <c r="G1119" s="128">
        <f>E1119-13</f>
        <v>48</v>
      </c>
      <c r="H1119" s="128">
        <f>E1119-17</f>
        <v>44</v>
      </c>
      <c r="I1119" s="128">
        <f>E1119-17</f>
        <v>44</v>
      </c>
      <c r="J1119" s="128">
        <v>51</v>
      </c>
      <c r="K1119" s="128">
        <f>E1119-19</f>
        <v>42</v>
      </c>
      <c r="L1119" s="128">
        <f>E1119-19</f>
        <v>42</v>
      </c>
      <c r="M1119" s="128">
        <f>E1119-19</f>
        <v>42</v>
      </c>
      <c r="N1119" s="128">
        <f>E1119-20</f>
        <v>41</v>
      </c>
      <c r="O1119" s="129">
        <f>E1119-21</f>
        <v>40</v>
      </c>
      <c r="P1119" s="116">
        <f t="shared" si="198"/>
        <v>40</v>
      </c>
      <c r="Q1119" s="128">
        <f t="shared" si="199"/>
        <v>21</v>
      </c>
      <c r="R1119" s="141">
        <f t="shared" si="200"/>
        <v>0.34426229508196721</v>
      </c>
      <c r="S1119" s="503"/>
    </row>
    <row r="1120" spans="1:19" ht="9.75" customHeight="1">
      <c r="A1120" s="503"/>
      <c r="B1120" s="503"/>
      <c r="C1120" s="13"/>
      <c r="D1120" s="13" t="s">
        <v>25</v>
      </c>
      <c r="E1120" s="13">
        <f>23+52</f>
        <v>75</v>
      </c>
      <c r="F1120" s="109">
        <v>0</v>
      </c>
      <c r="G1120" s="504">
        <v>0</v>
      </c>
      <c r="H1120" s="504">
        <v>0</v>
      </c>
      <c r="I1120" s="504">
        <v>0</v>
      </c>
      <c r="J1120" s="504">
        <v>0</v>
      </c>
      <c r="K1120" s="504">
        <v>0</v>
      </c>
      <c r="L1120" s="504">
        <v>0</v>
      </c>
      <c r="M1120" s="504">
        <v>0</v>
      </c>
      <c r="N1120" s="504">
        <v>0</v>
      </c>
      <c r="O1120" s="110">
        <v>0</v>
      </c>
      <c r="P1120" s="109"/>
      <c r="Q1120" s="504"/>
      <c r="R1120" s="107"/>
      <c r="S1120" s="503"/>
    </row>
    <row r="1121" spans="1:19" ht="9.75" customHeight="1">
      <c r="A1121" s="503"/>
      <c r="B1121" s="503"/>
      <c r="C1121" s="13"/>
      <c r="D1121" s="13" t="s">
        <v>27</v>
      </c>
      <c r="E1121" s="13"/>
      <c r="F1121" s="109"/>
      <c r="G1121" s="504"/>
      <c r="H1121" s="504"/>
      <c r="I1121" s="504"/>
      <c r="J1121" s="504"/>
      <c r="K1121" s="504"/>
      <c r="L1121" s="504"/>
      <c r="M1121" s="504"/>
      <c r="N1121" s="504"/>
      <c r="O1121" s="110"/>
      <c r="P1121" s="109"/>
      <c r="Q1121" s="504"/>
      <c r="R1121" s="107"/>
      <c r="S1121" s="503"/>
    </row>
    <row r="1122" spans="1:19" ht="9.75" customHeight="1">
      <c r="A1122" s="503"/>
      <c r="B1122" s="503"/>
      <c r="C1122" s="13"/>
      <c r="D1122" s="13" t="s">
        <v>198</v>
      </c>
      <c r="E1122" s="13"/>
      <c r="F1122" s="109"/>
      <c r="G1122" s="504"/>
      <c r="H1122" s="504"/>
      <c r="I1122" s="504"/>
      <c r="J1122" s="504"/>
      <c r="K1122" s="504"/>
      <c r="L1122" s="504"/>
      <c r="M1122" s="504"/>
      <c r="N1122" s="504"/>
      <c r="O1122" s="110"/>
      <c r="P1122" s="109"/>
      <c r="Q1122" s="504"/>
      <c r="R1122" s="107"/>
      <c r="S1122" s="503"/>
    </row>
    <row r="1123" spans="1:19" ht="9.75" customHeight="1">
      <c r="A1123" s="503"/>
      <c r="B1123" s="503"/>
      <c r="C1123" s="13"/>
      <c r="D1123" s="13" t="s">
        <v>115</v>
      </c>
      <c r="E1123" s="13"/>
      <c r="F1123" s="109"/>
      <c r="G1123" s="504"/>
      <c r="H1123" s="504"/>
      <c r="I1123" s="504"/>
      <c r="J1123" s="504"/>
      <c r="K1123" s="504"/>
      <c r="L1123" s="504"/>
      <c r="M1123" s="504"/>
      <c r="N1123" s="504"/>
      <c r="O1123" s="110"/>
      <c r="P1123" s="109"/>
      <c r="Q1123" s="504"/>
      <c r="R1123" s="107"/>
      <c r="S1123" s="503"/>
    </row>
    <row r="1124" spans="1:19" ht="9.75" customHeight="1">
      <c r="A1124" s="503"/>
      <c r="B1124" s="503"/>
      <c r="C1124" s="13"/>
      <c r="D1124" s="13" t="s">
        <v>32</v>
      </c>
      <c r="E1124" s="13">
        <v>8</v>
      </c>
      <c r="F1124" s="109">
        <v>8</v>
      </c>
      <c r="G1124" s="504">
        <v>7</v>
      </c>
      <c r="H1124" s="504">
        <v>6</v>
      </c>
      <c r="I1124" s="504">
        <v>6</v>
      </c>
      <c r="J1124" s="504">
        <v>5</v>
      </c>
      <c r="K1124" s="504">
        <v>3</v>
      </c>
      <c r="L1124" s="504">
        <v>3</v>
      </c>
      <c r="M1124" s="504">
        <v>3</v>
      </c>
      <c r="N1124" s="504">
        <v>3</v>
      </c>
      <c r="O1124" s="110">
        <v>3</v>
      </c>
      <c r="P1124" s="109">
        <f>MIN(F1124:O1124)</f>
        <v>3</v>
      </c>
      <c r="Q1124" s="504">
        <f>E1124-P1124</f>
        <v>5</v>
      </c>
      <c r="R1124" s="107">
        <f>Q1124/E1124</f>
        <v>0.625</v>
      </c>
      <c r="S1124" s="503"/>
    </row>
    <row r="1125" spans="1:19" ht="9.75" customHeight="1">
      <c r="A1125" s="503"/>
      <c r="B1125" s="503"/>
      <c r="C1125" s="13"/>
      <c r="D1125" s="13" t="s">
        <v>191</v>
      </c>
      <c r="E1125" s="13"/>
      <c r="F1125" s="109"/>
      <c r="G1125" s="504"/>
      <c r="H1125" s="504"/>
      <c r="I1125" s="504"/>
      <c r="J1125" s="504"/>
      <c r="K1125" s="504"/>
      <c r="L1125" s="504"/>
      <c r="M1125" s="504"/>
      <c r="N1125" s="504"/>
      <c r="O1125" s="110"/>
      <c r="P1125" s="109"/>
      <c r="Q1125" s="504"/>
      <c r="R1125" s="107"/>
      <c r="S1125" s="503"/>
    </row>
    <row r="1126" spans="1:19" ht="9.75" customHeight="1">
      <c r="A1126" s="503"/>
      <c r="B1126" s="503"/>
      <c r="C1126" s="13"/>
      <c r="D1126" s="13" t="s">
        <v>118</v>
      </c>
      <c r="E1126" s="13">
        <v>6</v>
      </c>
      <c r="F1126" s="109">
        <v>2</v>
      </c>
      <c r="G1126" s="504">
        <v>3</v>
      </c>
      <c r="H1126" s="504">
        <v>3</v>
      </c>
      <c r="I1126" s="504">
        <v>3</v>
      </c>
      <c r="J1126" s="504">
        <v>3</v>
      </c>
      <c r="K1126" s="504">
        <v>3</v>
      </c>
      <c r="L1126" s="504">
        <v>3</v>
      </c>
      <c r="M1126" s="504">
        <v>3</v>
      </c>
      <c r="N1126" s="504">
        <v>3</v>
      </c>
      <c r="O1126" s="110">
        <v>3</v>
      </c>
      <c r="P1126" s="109">
        <f>MIN(F1126:O1126)</f>
        <v>2</v>
      </c>
      <c r="Q1126" s="504">
        <f>E1126-P1126</f>
        <v>4</v>
      </c>
      <c r="R1126" s="107">
        <f>Q1126/E1126</f>
        <v>0.66666666666666663</v>
      </c>
      <c r="S1126" s="503"/>
    </row>
    <row r="1127" spans="1:19" ht="9.75" customHeight="1">
      <c r="A1127" s="503"/>
      <c r="B1127" s="503"/>
      <c r="C1127" s="13"/>
      <c r="D1127" s="13" t="s">
        <v>120</v>
      </c>
      <c r="E1127" s="13"/>
      <c r="F1127" s="109"/>
      <c r="G1127" s="504"/>
      <c r="H1127" s="504"/>
      <c r="I1127" s="504"/>
      <c r="J1127" s="504"/>
      <c r="K1127" s="504"/>
      <c r="L1127" s="504"/>
      <c r="M1127" s="504"/>
      <c r="N1127" s="504"/>
      <c r="O1127" s="110"/>
      <c r="P1127" s="109"/>
      <c r="Q1127" s="504"/>
      <c r="R1127" s="107"/>
      <c r="S1127" s="503"/>
    </row>
    <row r="1128" spans="1:19" ht="9.75" customHeight="1">
      <c r="A1128" s="503"/>
      <c r="B1128" s="503"/>
      <c r="C1128" s="13"/>
      <c r="D1128" s="13" t="s">
        <v>120</v>
      </c>
      <c r="E1128" s="13"/>
      <c r="F1128" s="109"/>
      <c r="G1128" s="504"/>
      <c r="H1128" s="504"/>
      <c r="I1128" s="504"/>
      <c r="J1128" s="504"/>
      <c r="K1128" s="504"/>
      <c r="L1128" s="504"/>
      <c r="M1128" s="504"/>
      <c r="N1128" s="504"/>
      <c r="O1128" s="110"/>
      <c r="P1128" s="109"/>
      <c r="Q1128" s="504"/>
      <c r="R1128" s="107"/>
      <c r="S1128" s="503"/>
    </row>
    <row r="1129" spans="1:19" ht="9.75" customHeight="1">
      <c r="A1129" s="503"/>
      <c r="B1129" s="503"/>
      <c r="C1129" s="13"/>
      <c r="D1129" s="13" t="s">
        <v>120</v>
      </c>
      <c r="E1129" s="13"/>
      <c r="F1129" s="109"/>
      <c r="G1129" s="504"/>
      <c r="H1129" s="504"/>
      <c r="I1129" s="504"/>
      <c r="J1129" s="504"/>
      <c r="K1129" s="504"/>
      <c r="L1129" s="504"/>
      <c r="M1129" s="504"/>
      <c r="N1129" s="504"/>
      <c r="O1129" s="110"/>
      <c r="P1129" s="109"/>
      <c r="Q1129" s="504"/>
      <c r="R1129" s="107"/>
      <c r="S1129" s="503"/>
    </row>
    <row r="1130" spans="1:19" ht="9.75" customHeight="1">
      <c r="A1130" s="503"/>
      <c r="B1130" s="503"/>
      <c r="C1130" s="13"/>
      <c r="D1130" s="13" t="s">
        <v>120</v>
      </c>
      <c r="E1130" s="13"/>
      <c r="F1130" s="109"/>
      <c r="G1130" s="504"/>
      <c r="H1130" s="504"/>
      <c r="I1130" s="504"/>
      <c r="J1130" s="504"/>
      <c r="K1130" s="504"/>
      <c r="L1130" s="504"/>
      <c r="M1130" s="504"/>
      <c r="N1130" s="504"/>
      <c r="O1130" s="110"/>
      <c r="P1130" s="109"/>
      <c r="Q1130" s="504"/>
      <c r="R1130" s="107"/>
      <c r="S1130" s="503"/>
    </row>
    <row r="1131" spans="1:19" ht="9.75" customHeight="1">
      <c r="A1131" s="503"/>
      <c r="B1131" s="503"/>
      <c r="C1131" s="13"/>
      <c r="D1131" s="13" t="s">
        <v>34</v>
      </c>
      <c r="E1131" s="13">
        <v>5</v>
      </c>
      <c r="F1131" s="109">
        <v>2</v>
      </c>
      <c r="G1131" s="504">
        <v>2</v>
      </c>
      <c r="H1131" s="504">
        <v>2</v>
      </c>
      <c r="I1131" s="504">
        <v>2</v>
      </c>
      <c r="J1131" s="504">
        <v>2</v>
      </c>
      <c r="K1131" s="504">
        <v>2</v>
      </c>
      <c r="L1131" s="504">
        <v>2</v>
      </c>
      <c r="M1131" s="504">
        <v>2</v>
      </c>
      <c r="N1131" s="504">
        <v>2</v>
      </c>
      <c r="O1131" s="110">
        <v>2</v>
      </c>
      <c r="P1131" s="109">
        <f t="shared" ref="P1131:P1132" si="201">MIN(F1131:O1131)</f>
        <v>2</v>
      </c>
      <c r="Q1131" s="504">
        <f t="shared" ref="Q1131:Q1132" si="202">E1131-P1131</f>
        <v>3</v>
      </c>
      <c r="R1131" s="107">
        <f t="shared" ref="R1131:R1132" si="203">Q1131/E1131</f>
        <v>0.6</v>
      </c>
      <c r="S1131" s="503"/>
    </row>
    <row r="1132" spans="1:19" ht="9.75" customHeight="1">
      <c r="A1132" s="503"/>
      <c r="B1132" s="503"/>
      <c r="C1132" s="13"/>
      <c r="D1132" s="13" t="s">
        <v>35</v>
      </c>
      <c r="E1132" s="13">
        <v>8</v>
      </c>
      <c r="F1132" s="109">
        <v>3</v>
      </c>
      <c r="G1132" s="504">
        <v>2</v>
      </c>
      <c r="H1132" s="504">
        <v>5</v>
      </c>
      <c r="I1132" s="504">
        <v>5</v>
      </c>
      <c r="J1132" s="504">
        <v>3</v>
      </c>
      <c r="K1132" s="504">
        <v>3</v>
      </c>
      <c r="L1132" s="504">
        <v>3</v>
      </c>
      <c r="M1132" s="504">
        <v>3</v>
      </c>
      <c r="N1132" s="504">
        <v>2</v>
      </c>
      <c r="O1132" s="110">
        <v>4</v>
      </c>
      <c r="P1132" s="109">
        <f t="shared" si="201"/>
        <v>2</v>
      </c>
      <c r="Q1132" s="504">
        <f t="shared" si="202"/>
        <v>6</v>
      </c>
      <c r="R1132" s="107">
        <f t="shared" si="203"/>
        <v>0.75</v>
      </c>
      <c r="S1132" s="503"/>
    </row>
    <row r="1133" spans="1:19" ht="9.75" customHeight="1">
      <c r="A1133" s="503"/>
      <c r="B1133" s="503"/>
      <c r="C1133" s="13"/>
      <c r="D1133" s="13" t="s">
        <v>36</v>
      </c>
      <c r="E1133" s="13"/>
      <c r="F1133" s="109"/>
      <c r="G1133" s="504"/>
      <c r="H1133" s="504"/>
      <c r="I1133" s="504"/>
      <c r="J1133" s="504"/>
      <c r="K1133" s="504"/>
      <c r="L1133" s="504"/>
      <c r="M1133" s="504"/>
      <c r="N1133" s="504"/>
      <c r="O1133" s="110"/>
      <c r="P1133" s="109"/>
      <c r="Q1133" s="504"/>
      <c r="R1133" s="107"/>
      <c r="S1133" s="503"/>
    </row>
    <row r="1134" spans="1:19" ht="9.75" customHeight="1">
      <c r="A1134" s="503"/>
      <c r="B1134" s="503"/>
      <c r="C1134" s="13"/>
      <c r="D1134" s="13" t="s">
        <v>37</v>
      </c>
      <c r="E1134" s="13"/>
      <c r="F1134" s="109"/>
      <c r="G1134" s="504"/>
      <c r="H1134" s="504"/>
      <c r="I1134" s="504"/>
      <c r="J1134" s="504"/>
      <c r="K1134" s="504"/>
      <c r="L1134" s="504"/>
      <c r="M1134" s="504"/>
      <c r="N1134" s="504"/>
      <c r="O1134" s="110"/>
      <c r="P1134" s="109"/>
      <c r="Q1134" s="504"/>
      <c r="R1134" s="107"/>
      <c r="S1134" s="503"/>
    </row>
    <row r="1135" spans="1:19" ht="9.75" customHeight="1">
      <c r="A1135" s="503"/>
      <c r="B1135" s="503" t="s">
        <v>127</v>
      </c>
      <c r="C1135" s="2"/>
      <c r="D1135" s="3" t="s">
        <v>38</v>
      </c>
      <c r="E1135" s="3">
        <f t="shared" ref="E1135:O1135" si="204">SUM(E1119:E1134)</f>
        <v>163</v>
      </c>
      <c r="F1135" s="21">
        <f t="shared" si="204"/>
        <v>66</v>
      </c>
      <c r="G1135" s="71">
        <f t="shared" si="204"/>
        <v>62</v>
      </c>
      <c r="H1135" s="71">
        <f t="shared" si="204"/>
        <v>60</v>
      </c>
      <c r="I1135" s="71">
        <f t="shared" si="204"/>
        <v>60</v>
      </c>
      <c r="J1135" s="71">
        <f t="shared" si="204"/>
        <v>64</v>
      </c>
      <c r="K1135" s="71">
        <f t="shared" si="204"/>
        <v>53</v>
      </c>
      <c r="L1135" s="71">
        <f t="shared" si="204"/>
        <v>53</v>
      </c>
      <c r="M1135" s="71">
        <f t="shared" si="204"/>
        <v>53</v>
      </c>
      <c r="N1135" s="71">
        <f t="shared" si="204"/>
        <v>51</v>
      </c>
      <c r="O1135" s="26">
        <f t="shared" si="204"/>
        <v>52</v>
      </c>
      <c r="P1135" s="21">
        <f t="shared" ref="P1135:P1136" si="205">MIN(F1135:O1135)</f>
        <v>51</v>
      </c>
      <c r="Q1135" s="71">
        <f t="shared" ref="Q1135:Q1136" si="206">E1135-P1135</f>
        <v>112</v>
      </c>
      <c r="R1135" s="7">
        <f t="shared" ref="R1135:R1136" si="207">Q1135/E1135</f>
        <v>0.68711656441717794</v>
      </c>
      <c r="S1135" s="503"/>
    </row>
    <row r="1136" spans="1:19" ht="9.75" customHeight="1">
      <c r="A1136" s="503"/>
      <c r="B1136" s="503"/>
      <c r="C1136" s="43" t="s">
        <v>242</v>
      </c>
      <c r="D1136" s="29" t="s">
        <v>23</v>
      </c>
      <c r="E1136" s="43">
        <v>23</v>
      </c>
      <c r="F1136" s="116">
        <v>21</v>
      </c>
      <c r="G1136" s="128">
        <f>E1136-5</f>
        <v>18</v>
      </c>
      <c r="H1136" s="128">
        <v>20</v>
      </c>
      <c r="I1136" s="128">
        <v>15</v>
      </c>
      <c r="J1136" s="128">
        <v>12</v>
      </c>
      <c r="K1136" s="128">
        <f>E1136-12</f>
        <v>11</v>
      </c>
      <c r="L1136" s="128">
        <f>E1136-13</f>
        <v>10</v>
      </c>
      <c r="M1136" s="128">
        <f>E1136-14</f>
        <v>9</v>
      </c>
      <c r="N1136" s="128">
        <f>E1136-15</f>
        <v>8</v>
      </c>
      <c r="O1136" s="129">
        <f>E1136-12</f>
        <v>11</v>
      </c>
      <c r="P1136" s="116">
        <f t="shared" si="205"/>
        <v>8</v>
      </c>
      <c r="Q1136" s="128">
        <f t="shared" si="206"/>
        <v>15</v>
      </c>
      <c r="R1136" s="141">
        <f t="shared" si="207"/>
        <v>0.65217391304347827</v>
      </c>
      <c r="S1136" s="503"/>
    </row>
    <row r="1137" spans="1:19" ht="9.75" customHeight="1">
      <c r="A1137" s="503"/>
      <c r="B1137" s="503"/>
      <c r="C1137" s="13"/>
      <c r="D1137" s="13" t="s">
        <v>25</v>
      </c>
      <c r="E1137" s="13"/>
      <c r="F1137" s="109"/>
      <c r="G1137" s="504"/>
      <c r="H1137" s="504"/>
      <c r="I1137" s="504"/>
      <c r="J1137" s="504"/>
      <c r="K1137" s="504"/>
      <c r="L1137" s="504"/>
      <c r="M1137" s="504"/>
      <c r="N1137" s="504"/>
      <c r="O1137" s="110"/>
      <c r="P1137" s="109"/>
      <c r="Q1137" s="504"/>
      <c r="R1137" s="107"/>
      <c r="S1137" s="503"/>
    </row>
    <row r="1138" spans="1:19" ht="9.75" customHeight="1">
      <c r="A1138" s="503"/>
      <c r="B1138" s="503"/>
      <c r="C1138" s="13"/>
      <c r="D1138" s="13" t="s">
        <v>27</v>
      </c>
      <c r="E1138" s="13"/>
      <c r="F1138" s="109"/>
      <c r="G1138" s="504"/>
      <c r="H1138" s="504"/>
      <c r="I1138" s="504"/>
      <c r="J1138" s="504"/>
      <c r="K1138" s="504"/>
      <c r="L1138" s="504"/>
      <c r="M1138" s="504"/>
      <c r="N1138" s="504"/>
      <c r="O1138" s="110"/>
      <c r="P1138" s="109"/>
      <c r="Q1138" s="504"/>
      <c r="R1138" s="107"/>
      <c r="S1138" s="503"/>
    </row>
    <row r="1139" spans="1:19" ht="9.75" customHeight="1">
      <c r="A1139" s="503"/>
      <c r="B1139" s="503"/>
      <c r="C1139" s="13"/>
      <c r="D1139" s="13" t="s">
        <v>198</v>
      </c>
      <c r="E1139" s="13">
        <f>47+29</f>
        <v>76</v>
      </c>
      <c r="F1139" s="109">
        <v>5</v>
      </c>
      <c r="G1139" s="504">
        <v>4</v>
      </c>
      <c r="H1139" s="504">
        <v>6</v>
      </c>
      <c r="I1139" s="504">
        <v>5</v>
      </c>
      <c r="J1139" s="504">
        <v>2</v>
      </c>
      <c r="K1139" s="504">
        <v>1</v>
      </c>
      <c r="L1139" s="504">
        <v>2</v>
      </c>
      <c r="M1139" s="504">
        <v>1</v>
      </c>
      <c r="N1139" s="504">
        <v>0</v>
      </c>
      <c r="O1139" s="110">
        <v>0</v>
      </c>
      <c r="P1139" s="109">
        <f>MIN(F1139:O1139)</f>
        <v>0</v>
      </c>
      <c r="Q1139" s="504">
        <f>E1139-P1139</f>
        <v>76</v>
      </c>
      <c r="R1139" s="107">
        <f>Q1139/E1139</f>
        <v>1</v>
      </c>
      <c r="S1139" s="503"/>
    </row>
    <row r="1140" spans="1:19" ht="9.75" customHeight="1">
      <c r="A1140" s="503"/>
      <c r="B1140" s="503"/>
      <c r="C1140" s="13"/>
      <c r="D1140" s="13" t="s">
        <v>115</v>
      </c>
      <c r="E1140" s="13"/>
      <c r="F1140" s="109"/>
      <c r="G1140" s="504"/>
      <c r="H1140" s="504"/>
      <c r="I1140" s="504"/>
      <c r="J1140" s="504"/>
      <c r="K1140" s="504"/>
      <c r="L1140" s="504"/>
      <c r="M1140" s="504"/>
      <c r="N1140" s="504"/>
      <c r="O1140" s="110"/>
      <c r="P1140" s="109"/>
      <c r="Q1140" s="504"/>
      <c r="R1140" s="107"/>
      <c r="S1140" s="503"/>
    </row>
    <row r="1141" spans="1:19" ht="9.75" customHeight="1">
      <c r="A1141" s="503"/>
      <c r="B1141" s="503"/>
      <c r="C1141" s="13"/>
      <c r="D1141" s="13" t="s">
        <v>32</v>
      </c>
      <c r="E1141" s="13"/>
      <c r="F1141" s="109"/>
      <c r="G1141" s="504"/>
      <c r="H1141" s="504"/>
      <c r="I1141" s="504"/>
      <c r="J1141" s="504"/>
      <c r="K1141" s="504"/>
      <c r="L1141" s="504"/>
      <c r="M1141" s="504"/>
      <c r="N1141" s="504"/>
      <c r="O1141" s="110"/>
      <c r="P1141" s="109"/>
      <c r="Q1141" s="504"/>
      <c r="R1141" s="107"/>
      <c r="S1141" s="503"/>
    </row>
    <row r="1142" spans="1:19" ht="9.75" customHeight="1">
      <c r="A1142" s="503"/>
      <c r="B1142" s="503"/>
      <c r="C1142" s="13"/>
      <c r="D1142" s="13" t="s">
        <v>243</v>
      </c>
      <c r="E1142" s="13">
        <v>4</v>
      </c>
      <c r="F1142" s="109">
        <v>1</v>
      </c>
      <c r="G1142" s="504">
        <v>1</v>
      </c>
      <c r="H1142" s="504">
        <v>2</v>
      </c>
      <c r="I1142" s="504">
        <v>2</v>
      </c>
      <c r="J1142" s="504">
        <v>2</v>
      </c>
      <c r="K1142" s="504">
        <v>2</v>
      </c>
      <c r="L1142" s="504">
        <v>2</v>
      </c>
      <c r="M1142" s="504">
        <v>2</v>
      </c>
      <c r="N1142" s="504">
        <v>2</v>
      </c>
      <c r="O1142" s="110">
        <v>2</v>
      </c>
      <c r="P1142" s="109">
        <f>MIN(F1142:O1142)</f>
        <v>1</v>
      </c>
      <c r="Q1142" s="504">
        <f>E1142-P1142</f>
        <v>3</v>
      </c>
      <c r="R1142" s="107">
        <f>Q1142/E1142</f>
        <v>0.75</v>
      </c>
      <c r="S1142" s="503"/>
    </row>
    <row r="1143" spans="1:19" ht="9.75" customHeight="1">
      <c r="A1143" s="503"/>
      <c r="B1143" s="503"/>
      <c r="C1143" s="13"/>
      <c r="D1143" s="13" t="s">
        <v>120</v>
      </c>
      <c r="E1143" s="13"/>
      <c r="F1143" s="109"/>
      <c r="G1143" s="504"/>
      <c r="H1143" s="504"/>
      <c r="I1143" s="504"/>
      <c r="J1143" s="504"/>
      <c r="K1143" s="504"/>
      <c r="L1143" s="504"/>
      <c r="M1143" s="504"/>
      <c r="N1143" s="504"/>
      <c r="O1143" s="110"/>
      <c r="P1143" s="109"/>
      <c r="Q1143" s="504"/>
      <c r="R1143" s="107"/>
      <c r="S1143" s="503"/>
    </row>
    <row r="1144" spans="1:19" ht="9.75" customHeight="1">
      <c r="A1144" s="503"/>
      <c r="B1144" s="503"/>
      <c r="C1144" s="13"/>
      <c r="D1144" s="13" t="s">
        <v>120</v>
      </c>
      <c r="E1144" s="13"/>
      <c r="F1144" s="109"/>
      <c r="G1144" s="504"/>
      <c r="H1144" s="504"/>
      <c r="I1144" s="504"/>
      <c r="J1144" s="504"/>
      <c r="K1144" s="504"/>
      <c r="L1144" s="504"/>
      <c r="M1144" s="504"/>
      <c r="N1144" s="504"/>
      <c r="O1144" s="110"/>
      <c r="P1144" s="109"/>
      <c r="Q1144" s="504"/>
      <c r="R1144" s="107"/>
      <c r="S1144" s="503"/>
    </row>
    <row r="1145" spans="1:19" ht="9.75" customHeight="1">
      <c r="A1145" s="503"/>
      <c r="B1145" s="503"/>
      <c r="C1145" s="13"/>
      <c r="D1145" s="13" t="s">
        <v>120</v>
      </c>
      <c r="E1145" s="13"/>
      <c r="F1145" s="109"/>
      <c r="G1145" s="504"/>
      <c r="H1145" s="504"/>
      <c r="I1145" s="504"/>
      <c r="J1145" s="504"/>
      <c r="K1145" s="504"/>
      <c r="L1145" s="504"/>
      <c r="M1145" s="504"/>
      <c r="N1145" s="504"/>
      <c r="O1145" s="110"/>
      <c r="P1145" s="109"/>
      <c r="Q1145" s="504"/>
      <c r="R1145" s="107"/>
      <c r="S1145" s="503"/>
    </row>
    <row r="1146" spans="1:19" ht="9.75" customHeight="1">
      <c r="A1146" s="503"/>
      <c r="B1146" s="503"/>
      <c r="C1146" s="13"/>
      <c r="D1146" s="13" t="s">
        <v>120</v>
      </c>
      <c r="E1146" s="13"/>
      <c r="F1146" s="109"/>
      <c r="G1146" s="504"/>
      <c r="H1146" s="504"/>
      <c r="I1146" s="504"/>
      <c r="J1146" s="504"/>
      <c r="K1146" s="504"/>
      <c r="L1146" s="504"/>
      <c r="M1146" s="504"/>
      <c r="N1146" s="504"/>
      <c r="O1146" s="110"/>
      <c r="P1146" s="109"/>
      <c r="Q1146" s="504"/>
      <c r="R1146" s="107"/>
      <c r="S1146" s="503"/>
    </row>
    <row r="1147" spans="1:19" ht="9.75" customHeight="1">
      <c r="A1147" s="503"/>
      <c r="B1147" s="503"/>
      <c r="C1147" s="13"/>
      <c r="D1147" s="13" t="s">
        <v>120</v>
      </c>
      <c r="E1147" s="13"/>
      <c r="F1147" s="109"/>
      <c r="G1147" s="504"/>
      <c r="H1147" s="504"/>
      <c r="I1147" s="504"/>
      <c r="J1147" s="504"/>
      <c r="K1147" s="504"/>
      <c r="L1147" s="504"/>
      <c r="M1147" s="504"/>
      <c r="N1147" s="504"/>
      <c r="O1147" s="110"/>
      <c r="P1147" s="109"/>
      <c r="Q1147" s="504"/>
      <c r="R1147" s="107"/>
      <c r="S1147" s="503"/>
    </row>
    <row r="1148" spans="1:19" ht="9.75" customHeight="1">
      <c r="A1148" s="503"/>
      <c r="B1148" s="503"/>
      <c r="C1148" s="13"/>
      <c r="D1148" s="13" t="s">
        <v>34</v>
      </c>
      <c r="E1148" s="13">
        <v>10</v>
      </c>
      <c r="F1148" s="109">
        <v>10</v>
      </c>
      <c r="G1148" s="504">
        <v>10</v>
      </c>
      <c r="H1148" s="504">
        <v>10</v>
      </c>
      <c r="I1148" s="504">
        <v>10</v>
      </c>
      <c r="J1148" s="504">
        <v>10</v>
      </c>
      <c r="K1148" s="504">
        <v>10</v>
      </c>
      <c r="L1148" s="504">
        <v>10</v>
      </c>
      <c r="M1148" s="504">
        <v>10</v>
      </c>
      <c r="N1148" s="504">
        <v>10</v>
      </c>
      <c r="O1148" s="110">
        <v>10</v>
      </c>
      <c r="P1148" s="109">
        <f>MIN(F1148:O1148)</f>
        <v>10</v>
      </c>
      <c r="Q1148" s="504">
        <f>E1148-P1148</f>
        <v>0</v>
      </c>
      <c r="R1148" s="107">
        <f>Q1148/E1148</f>
        <v>0</v>
      </c>
      <c r="S1148" s="503"/>
    </row>
    <row r="1149" spans="1:19" ht="9.75" customHeight="1">
      <c r="A1149" s="503"/>
      <c r="B1149" s="503"/>
      <c r="C1149" s="13"/>
      <c r="D1149" s="13" t="s">
        <v>35</v>
      </c>
      <c r="E1149" s="13"/>
      <c r="F1149" s="109"/>
      <c r="G1149" s="504"/>
      <c r="H1149" s="504"/>
      <c r="I1149" s="504"/>
      <c r="J1149" s="504"/>
      <c r="K1149" s="504"/>
      <c r="L1149" s="504"/>
      <c r="M1149" s="504"/>
      <c r="N1149" s="504"/>
      <c r="O1149" s="110"/>
      <c r="P1149" s="109"/>
      <c r="Q1149" s="504"/>
      <c r="R1149" s="107"/>
      <c r="S1149" s="503"/>
    </row>
    <row r="1150" spans="1:19" ht="9.75" customHeight="1">
      <c r="A1150" s="503"/>
      <c r="B1150" s="503"/>
      <c r="C1150" s="13"/>
      <c r="D1150" s="13" t="s">
        <v>36</v>
      </c>
      <c r="E1150" s="13"/>
      <c r="F1150" s="109"/>
      <c r="G1150" s="504"/>
      <c r="H1150" s="504"/>
      <c r="I1150" s="504"/>
      <c r="J1150" s="504"/>
      <c r="K1150" s="504"/>
      <c r="L1150" s="504"/>
      <c r="M1150" s="504"/>
      <c r="N1150" s="504"/>
      <c r="O1150" s="110"/>
      <c r="P1150" s="109"/>
      <c r="Q1150" s="504"/>
      <c r="R1150" s="107"/>
      <c r="S1150" s="503"/>
    </row>
    <row r="1151" spans="1:19" ht="9.75" customHeight="1">
      <c r="A1151" s="503"/>
      <c r="B1151" s="503"/>
      <c r="C1151" s="13"/>
      <c r="D1151" s="13" t="s">
        <v>37</v>
      </c>
      <c r="E1151" s="13"/>
      <c r="F1151" s="109"/>
      <c r="G1151" s="504"/>
      <c r="H1151" s="504"/>
      <c r="I1151" s="504"/>
      <c r="J1151" s="504"/>
      <c r="K1151" s="504"/>
      <c r="L1151" s="504"/>
      <c r="M1151" s="504"/>
      <c r="N1151" s="504"/>
      <c r="O1151" s="110"/>
      <c r="P1151" s="109"/>
      <c r="Q1151" s="504"/>
      <c r="R1151" s="107"/>
      <c r="S1151" s="503"/>
    </row>
    <row r="1152" spans="1:19" ht="9.75" customHeight="1">
      <c r="A1152" s="503"/>
      <c r="B1152" s="503" t="s">
        <v>127</v>
      </c>
      <c r="C1152" s="2"/>
      <c r="D1152" s="3" t="s">
        <v>38</v>
      </c>
      <c r="E1152" s="3">
        <f t="shared" ref="E1152:O1152" si="208">SUM(E1136:E1151)</f>
        <v>113</v>
      </c>
      <c r="F1152" s="21">
        <f t="shared" si="208"/>
        <v>37</v>
      </c>
      <c r="G1152" s="71">
        <f t="shared" si="208"/>
        <v>33</v>
      </c>
      <c r="H1152" s="71">
        <f t="shared" si="208"/>
        <v>38</v>
      </c>
      <c r="I1152" s="71">
        <f t="shared" si="208"/>
        <v>32</v>
      </c>
      <c r="J1152" s="71">
        <f t="shared" si="208"/>
        <v>26</v>
      </c>
      <c r="K1152" s="71">
        <f t="shared" si="208"/>
        <v>24</v>
      </c>
      <c r="L1152" s="71">
        <f t="shared" si="208"/>
        <v>24</v>
      </c>
      <c r="M1152" s="71">
        <f t="shared" si="208"/>
        <v>22</v>
      </c>
      <c r="N1152" s="71">
        <f t="shared" si="208"/>
        <v>20</v>
      </c>
      <c r="O1152" s="26">
        <f t="shared" si="208"/>
        <v>23</v>
      </c>
      <c r="P1152" s="21">
        <f>MIN(F1152:O1152)</f>
        <v>20</v>
      </c>
      <c r="Q1152" s="71">
        <f>E1152-P1152</f>
        <v>93</v>
      </c>
      <c r="R1152" s="7">
        <f>Q1152/E1152</f>
        <v>0.82300884955752207</v>
      </c>
      <c r="S1152" s="503"/>
    </row>
    <row r="1153" spans="1:19" ht="9.75" customHeight="1">
      <c r="A1153" s="503"/>
      <c r="B1153" s="503"/>
      <c r="C1153" s="43" t="s">
        <v>244</v>
      </c>
      <c r="D1153" s="43" t="s">
        <v>23</v>
      </c>
      <c r="E1153" s="43"/>
      <c r="F1153" s="116"/>
      <c r="G1153" s="128"/>
      <c r="H1153" s="128"/>
      <c r="I1153" s="128"/>
      <c r="J1153" s="128"/>
      <c r="K1153" s="128"/>
      <c r="L1153" s="128"/>
      <c r="M1153" s="128"/>
      <c r="N1153" s="128"/>
      <c r="O1153" s="129"/>
      <c r="P1153" s="116"/>
      <c r="Q1153" s="128"/>
      <c r="R1153" s="141"/>
      <c r="S1153" s="503"/>
    </row>
    <row r="1154" spans="1:19" ht="9.75" customHeight="1">
      <c r="A1154" s="503"/>
      <c r="B1154" s="503"/>
      <c r="C1154" s="13"/>
      <c r="D1154" s="13" t="s">
        <v>25</v>
      </c>
      <c r="E1154" s="13">
        <v>105</v>
      </c>
      <c r="F1154" s="109">
        <f>E1154-25</f>
        <v>80</v>
      </c>
      <c r="G1154" s="504">
        <f>E1154-22</f>
        <v>83</v>
      </c>
      <c r="H1154" s="504">
        <v>80</v>
      </c>
      <c r="I1154" s="504">
        <f>E1154-30</f>
        <v>75</v>
      </c>
      <c r="J1154" s="504">
        <f>E1154-32</f>
        <v>73</v>
      </c>
      <c r="K1154" s="504">
        <f>E1154-21</f>
        <v>84</v>
      </c>
      <c r="L1154" s="504">
        <f>E1154-20</f>
        <v>85</v>
      </c>
      <c r="M1154" s="504">
        <f>E1154-20</f>
        <v>85</v>
      </c>
      <c r="N1154" s="504">
        <f>E1154-15</f>
        <v>90</v>
      </c>
      <c r="O1154" s="110">
        <f>E1154-10</f>
        <v>95</v>
      </c>
      <c r="P1154" s="109">
        <f>MIN(F1154:O1154)</f>
        <v>73</v>
      </c>
      <c r="Q1154" s="504">
        <f>E1154-P1154</f>
        <v>32</v>
      </c>
      <c r="R1154" s="107">
        <f>Q1154/E1154</f>
        <v>0.30476190476190479</v>
      </c>
      <c r="S1154" s="503"/>
    </row>
    <row r="1155" spans="1:19" ht="9.75" customHeight="1">
      <c r="A1155" s="503"/>
      <c r="B1155" s="503"/>
      <c r="C1155" s="13"/>
      <c r="D1155" s="13" t="s">
        <v>27</v>
      </c>
      <c r="E1155" s="13"/>
      <c r="F1155" s="109"/>
      <c r="G1155" s="504"/>
      <c r="H1155" s="504"/>
      <c r="I1155" s="504"/>
      <c r="J1155" s="504"/>
      <c r="K1155" s="504"/>
      <c r="L1155" s="504"/>
      <c r="M1155" s="504"/>
      <c r="N1155" s="504"/>
      <c r="O1155" s="110"/>
      <c r="P1155" s="109"/>
      <c r="Q1155" s="504"/>
      <c r="R1155" s="107"/>
      <c r="S1155" s="503"/>
    </row>
    <row r="1156" spans="1:19" ht="9.75" customHeight="1">
      <c r="A1156" s="503"/>
      <c r="B1156" s="503"/>
      <c r="C1156" s="13"/>
      <c r="D1156" s="13" t="s">
        <v>115</v>
      </c>
      <c r="E1156" s="13"/>
      <c r="F1156" s="109"/>
      <c r="G1156" s="504"/>
      <c r="H1156" s="504"/>
      <c r="I1156" s="504"/>
      <c r="J1156" s="504"/>
      <c r="K1156" s="504"/>
      <c r="L1156" s="504"/>
      <c r="M1156" s="504"/>
      <c r="N1156" s="504"/>
      <c r="O1156" s="110"/>
      <c r="P1156" s="109"/>
      <c r="Q1156" s="504"/>
      <c r="R1156" s="107"/>
      <c r="S1156" s="503"/>
    </row>
    <row r="1157" spans="1:19" ht="9.75" customHeight="1">
      <c r="A1157" s="503"/>
      <c r="B1157" s="503"/>
      <c r="C1157" s="13"/>
      <c r="D1157" s="13" t="s">
        <v>115</v>
      </c>
      <c r="E1157" s="13"/>
      <c r="F1157" s="109"/>
      <c r="G1157" s="504"/>
      <c r="H1157" s="504"/>
      <c r="I1157" s="504"/>
      <c r="J1157" s="504"/>
      <c r="K1157" s="504"/>
      <c r="L1157" s="504"/>
      <c r="M1157" s="504"/>
      <c r="N1157" s="504"/>
      <c r="O1157" s="110"/>
      <c r="P1157" s="109"/>
      <c r="Q1157" s="504"/>
      <c r="R1157" s="107"/>
      <c r="S1157" s="503"/>
    </row>
    <row r="1158" spans="1:19" ht="9.75" customHeight="1">
      <c r="A1158" s="503"/>
      <c r="B1158" s="503"/>
      <c r="C1158" s="13"/>
      <c r="D1158" s="13" t="s">
        <v>32</v>
      </c>
      <c r="E1158" s="13">
        <v>2</v>
      </c>
      <c r="F1158" s="109">
        <v>2</v>
      </c>
      <c r="G1158" s="504">
        <v>2</v>
      </c>
      <c r="H1158" s="504">
        <v>2</v>
      </c>
      <c r="I1158" s="504">
        <v>2</v>
      </c>
      <c r="J1158" s="504">
        <v>2</v>
      </c>
      <c r="K1158" s="504">
        <v>2</v>
      </c>
      <c r="L1158" s="504">
        <v>2</v>
      </c>
      <c r="M1158" s="504">
        <v>2</v>
      </c>
      <c r="N1158" s="504">
        <v>2</v>
      </c>
      <c r="O1158" s="110">
        <v>2</v>
      </c>
      <c r="P1158" s="109">
        <f t="shared" ref="P1158:P1165" si="209">MIN(F1158:O1158)</f>
        <v>2</v>
      </c>
      <c r="Q1158" s="504">
        <f t="shared" ref="Q1158:Q1166" si="210">E1158-P1158</f>
        <v>0</v>
      </c>
      <c r="R1158" s="107">
        <f t="shared" ref="R1158:R1166" si="211">Q1158/E1158</f>
        <v>0</v>
      </c>
      <c r="S1158" s="503"/>
    </row>
    <row r="1159" spans="1:19" ht="9.75" customHeight="1">
      <c r="A1159" s="503"/>
      <c r="B1159" s="503"/>
      <c r="C1159" s="13"/>
      <c r="D1159" s="13" t="s">
        <v>245</v>
      </c>
      <c r="E1159" s="13">
        <v>2</v>
      </c>
      <c r="F1159" s="109">
        <v>2</v>
      </c>
      <c r="G1159" s="504">
        <v>2</v>
      </c>
      <c r="H1159" s="504">
        <v>2</v>
      </c>
      <c r="I1159" s="504">
        <v>2</v>
      </c>
      <c r="J1159" s="504">
        <v>2</v>
      </c>
      <c r="K1159" s="504">
        <v>2</v>
      </c>
      <c r="L1159" s="504">
        <v>2</v>
      </c>
      <c r="M1159" s="504">
        <v>2</v>
      </c>
      <c r="N1159" s="504">
        <v>2</v>
      </c>
      <c r="O1159" s="110">
        <v>2</v>
      </c>
      <c r="P1159" s="109">
        <f t="shared" si="209"/>
        <v>2</v>
      </c>
      <c r="Q1159" s="504">
        <f t="shared" si="210"/>
        <v>0</v>
      </c>
      <c r="R1159" s="107">
        <f t="shared" si="211"/>
        <v>0</v>
      </c>
      <c r="S1159" s="503"/>
    </row>
    <row r="1160" spans="1:19" ht="9.75" customHeight="1">
      <c r="A1160" s="503"/>
      <c r="B1160" s="503"/>
      <c r="C1160" s="13"/>
      <c r="D1160" s="13" t="s">
        <v>246</v>
      </c>
      <c r="E1160" s="13">
        <v>2</v>
      </c>
      <c r="F1160" s="109">
        <v>2</v>
      </c>
      <c r="G1160" s="504">
        <v>2</v>
      </c>
      <c r="H1160" s="504">
        <v>2</v>
      </c>
      <c r="I1160" s="504">
        <v>2</v>
      </c>
      <c r="J1160" s="504">
        <v>2</v>
      </c>
      <c r="K1160" s="504">
        <v>2</v>
      </c>
      <c r="L1160" s="504">
        <v>2</v>
      </c>
      <c r="M1160" s="504">
        <v>2</v>
      </c>
      <c r="N1160" s="504">
        <v>2</v>
      </c>
      <c r="O1160" s="110">
        <v>2</v>
      </c>
      <c r="P1160" s="109">
        <f t="shared" si="209"/>
        <v>2</v>
      </c>
      <c r="Q1160" s="504">
        <f t="shared" si="210"/>
        <v>0</v>
      </c>
      <c r="R1160" s="107">
        <f t="shared" si="211"/>
        <v>0</v>
      </c>
      <c r="S1160" s="503"/>
    </row>
    <row r="1161" spans="1:19" ht="9.75" customHeight="1">
      <c r="A1161" s="503"/>
      <c r="B1161" s="503"/>
      <c r="C1161" s="13"/>
      <c r="D1161" s="13" t="s">
        <v>203</v>
      </c>
      <c r="E1161" s="13">
        <v>3</v>
      </c>
      <c r="F1161" s="109">
        <v>1</v>
      </c>
      <c r="G1161" s="504">
        <v>0</v>
      </c>
      <c r="H1161" s="504">
        <v>0</v>
      </c>
      <c r="I1161" s="504">
        <v>0</v>
      </c>
      <c r="J1161" s="504">
        <v>0</v>
      </c>
      <c r="K1161" s="504">
        <v>0</v>
      </c>
      <c r="L1161" s="504">
        <v>0</v>
      </c>
      <c r="M1161" s="504">
        <v>0</v>
      </c>
      <c r="N1161" s="504">
        <v>0</v>
      </c>
      <c r="O1161" s="110">
        <v>0</v>
      </c>
      <c r="P1161" s="109">
        <f t="shared" si="209"/>
        <v>0</v>
      </c>
      <c r="Q1161" s="504">
        <f t="shared" si="210"/>
        <v>3</v>
      </c>
      <c r="R1161" s="107">
        <f t="shared" si="211"/>
        <v>1</v>
      </c>
      <c r="S1161" s="503"/>
    </row>
    <row r="1162" spans="1:19" ht="9.75" customHeight="1">
      <c r="A1162" s="503"/>
      <c r="B1162" s="503"/>
      <c r="C1162" s="13"/>
      <c r="D1162" s="13" t="s">
        <v>247</v>
      </c>
      <c r="E1162" s="13">
        <v>1</v>
      </c>
      <c r="F1162" s="109">
        <v>1</v>
      </c>
      <c r="G1162" s="504">
        <v>1</v>
      </c>
      <c r="H1162" s="504">
        <v>1</v>
      </c>
      <c r="I1162" s="504">
        <v>1</v>
      </c>
      <c r="J1162" s="504">
        <v>0</v>
      </c>
      <c r="K1162" s="504">
        <v>0</v>
      </c>
      <c r="L1162" s="504">
        <v>0</v>
      </c>
      <c r="M1162" s="504">
        <v>0</v>
      </c>
      <c r="N1162" s="504">
        <v>0</v>
      </c>
      <c r="O1162" s="110">
        <v>0</v>
      </c>
      <c r="P1162" s="109">
        <f t="shared" si="209"/>
        <v>0</v>
      </c>
      <c r="Q1162" s="504">
        <f t="shared" si="210"/>
        <v>1</v>
      </c>
      <c r="R1162" s="107">
        <f t="shared" si="211"/>
        <v>1</v>
      </c>
      <c r="S1162" s="503"/>
    </row>
    <row r="1163" spans="1:19" ht="9.75" customHeight="1">
      <c r="A1163" s="503"/>
      <c r="B1163" s="503"/>
      <c r="C1163" s="13"/>
      <c r="D1163" s="13" t="s">
        <v>248</v>
      </c>
      <c r="E1163" s="13">
        <v>2</v>
      </c>
      <c r="F1163" s="109">
        <v>2</v>
      </c>
      <c r="G1163" s="504">
        <v>2</v>
      </c>
      <c r="H1163" s="504">
        <v>2</v>
      </c>
      <c r="I1163" s="504">
        <v>2</v>
      </c>
      <c r="J1163" s="504">
        <v>2</v>
      </c>
      <c r="K1163" s="504">
        <v>2</v>
      </c>
      <c r="L1163" s="504">
        <v>2</v>
      </c>
      <c r="M1163" s="504">
        <v>2</v>
      </c>
      <c r="N1163" s="504">
        <v>2</v>
      </c>
      <c r="O1163" s="110">
        <v>2</v>
      </c>
      <c r="P1163" s="109">
        <f t="shared" si="209"/>
        <v>2</v>
      </c>
      <c r="Q1163" s="504">
        <f t="shared" si="210"/>
        <v>0</v>
      </c>
      <c r="R1163" s="107">
        <f t="shared" si="211"/>
        <v>0</v>
      </c>
      <c r="S1163" s="503"/>
    </row>
    <row r="1164" spans="1:19" ht="9.75" customHeight="1">
      <c r="A1164" s="503"/>
      <c r="B1164" s="503"/>
      <c r="C1164" s="13"/>
      <c r="D1164" s="13" t="s">
        <v>249</v>
      </c>
      <c r="E1164" s="13">
        <v>6</v>
      </c>
      <c r="F1164" s="109">
        <v>3</v>
      </c>
      <c r="G1164" s="504">
        <v>0</v>
      </c>
      <c r="H1164" s="504">
        <v>0</v>
      </c>
      <c r="I1164" s="504">
        <v>0</v>
      </c>
      <c r="J1164" s="504">
        <v>0</v>
      </c>
      <c r="K1164" s="504">
        <v>0</v>
      </c>
      <c r="L1164" s="504">
        <v>0</v>
      </c>
      <c r="M1164" s="504">
        <v>0</v>
      </c>
      <c r="N1164" s="504">
        <v>0</v>
      </c>
      <c r="O1164" s="110">
        <v>0</v>
      </c>
      <c r="P1164" s="109">
        <f t="shared" si="209"/>
        <v>0</v>
      </c>
      <c r="Q1164" s="504">
        <f t="shared" si="210"/>
        <v>6</v>
      </c>
      <c r="R1164" s="107">
        <f t="shared" si="211"/>
        <v>1</v>
      </c>
      <c r="S1164" s="503"/>
    </row>
    <row r="1165" spans="1:19" ht="9.75" customHeight="1">
      <c r="A1165" s="503"/>
      <c r="B1165" s="503"/>
      <c r="C1165" s="13"/>
      <c r="D1165" s="13" t="s">
        <v>34</v>
      </c>
      <c r="E1165" s="13">
        <v>6</v>
      </c>
      <c r="F1165" s="109">
        <v>6</v>
      </c>
      <c r="G1165" s="504">
        <v>6</v>
      </c>
      <c r="H1165" s="504">
        <v>6</v>
      </c>
      <c r="I1165" s="504">
        <v>6</v>
      </c>
      <c r="J1165" s="504">
        <v>6</v>
      </c>
      <c r="K1165" s="504">
        <v>6</v>
      </c>
      <c r="L1165" s="504">
        <v>6</v>
      </c>
      <c r="M1165" s="504">
        <v>6</v>
      </c>
      <c r="N1165" s="504">
        <v>6</v>
      </c>
      <c r="O1165" s="110">
        <v>6</v>
      </c>
      <c r="P1165" s="109">
        <f t="shared" si="209"/>
        <v>6</v>
      </c>
      <c r="Q1165" s="504">
        <f t="shared" si="210"/>
        <v>0</v>
      </c>
      <c r="R1165" s="107">
        <f t="shared" si="211"/>
        <v>0</v>
      </c>
      <c r="S1165" s="503"/>
    </row>
    <row r="1166" spans="1:19" ht="9.75" customHeight="1">
      <c r="A1166" s="503"/>
      <c r="B1166" s="503"/>
      <c r="C1166" s="13"/>
      <c r="D1166" s="13" t="s">
        <v>35</v>
      </c>
      <c r="E1166" s="13">
        <v>7</v>
      </c>
      <c r="F1166" s="109">
        <v>0</v>
      </c>
      <c r="G1166" s="504">
        <v>0</v>
      </c>
      <c r="H1166" s="504">
        <v>0</v>
      </c>
      <c r="I1166" s="504">
        <v>0</v>
      </c>
      <c r="J1166" s="504">
        <v>0</v>
      </c>
      <c r="K1166" s="504">
        <v>0</v>
      </c>
      <c r="L1166" s="504">
        <v>0</v>
      </c>
      <c r="M1166" s="504">
        <v>0</v>
      </c>
      <c r="N1166" s="504">
        <v>0</v>
      </c>
      <c r="O1166" s="110">
        <v>0</v>
      </c>
      <c r="P1166" s="109">
        <f>MIN(F1166:O1166)</f>
        <v>0</v>
      </c>
      <c r="Q1166" s="504">
        <f t="shared" si="210"/>
        <v>7</v>
      </c>
      <c r="R1166" s="107">
        <f t="shared" si="211"/>
        <v>1</v>
      </c>
      <c r="S1166" s="503"/>
    </row>
    <row r="1167" spans="1:19" ht="9.75" customHeight="1">
      <c r="A1167" s="503"/>
      <c r="B1167" s="503"/>
      <c r="C1167" s="13"/>
      <c r="D1167" s="13" t="s">
        <v>36</v>
      </c>
      <c r="E1167" s="13"/>
      <c r="F1167" s="503"/>
      <c r="G1167" s="504"/>
      <c r="H1167" s="504"/>
      <c r="I1167" s="504"/>
      <c r="J1167" s="504"/>
      <c r="K1167" s="504"/>
      <c r="L1167" s="504"/>
      <c r="M1167" s="504"/>
      <c r="N1167" s="504"/>
      <c r="O1167" s="110"/>
      <c r="P1167" s="109"/>
      <c r="Q1167" s="504"/>
      <c r="R1167" s="107"/>
      <c r="S1167" s="503"/>
    </row>
    <row r="1168" spans="1:19" ht="9.75" customHeight="1">
      <c r="A1168" s="503"/>
      <c r="B1168" s="503"/>
      <c r="C1168" s="13"/>
      <c r="D1168" s="13" t="s">
        <v>37</v>
      </c>
      <c r="E1168" s="13">
        <v>1</v>
      </c>
      <c r="F1168" s="109">
        <v>0</v>
      </c>
      <c r="G1168" s="504">
        <v>1</v>
      </c>
      <c r="H1168" s="504">
        <v>1</v>
      </c>
      <c r="I1168" s="504">
        <v>1</v>
      </c>
      <c r="J1168" s="504">
        <v>0</v>
      </c>
      <c r="K1168" s="504">
        <v>0</v>
      </c>
      <c r="L1168" s="504">
        <v>0</v>
      </c>
      <c r="M1168" s="504">
        <v>0</v>
      </c>
      <c r="N1168" s="504">
        <v>1</v>
      </c>
      <c r="O1168" s="110">
        <v>1</v>
      </c>
      <c r="P1168" s="109">
        <f t="shared" ref="P1168:P1169" si="212">MIN(F1168:O1168)</f>
        <v>0</v>
      </c>
      <c r="Q1168" s="504">
        <f t="shared" ref="Q1168:Q1169" si="213">E1168-P1168</f>
        <v>1</v>
      </c>
      <c r="R1168" s="107">
        <f t="shared" ref="R1168:R1169" si="214">Q1168/E1168</f>
        <v>1</v>
      </c>
      <c r="S1168" s="503"/>
    </row>
    <row r="1169" spans="1:19" ht="9.75" customHeight="1">
      <c r="A1169" s="503"/>
      <c r="B1169" s="503" t="s">
        <v>127</v>
      </c>
      <c r="C1169" s="2"/>
      <c r="D1169" s="3" t="s">
        <v>38</v>
      </c>
      <c r="E1169" s="3">
        <f t="shared" ref="E1169:O1169" si="215">SUM(E1153:E1168)</f>
        <v>137</v>
      </c>
      <c r="F1169" s="21">
        <f t="shared" si="215"/>
        <v>99</v>
      </c>
      <c r="G1169" s="71">
        <f t="shared" si="215"/>
        <v>99</v>
      </c>
      <c r="H1169" s="71">
        <f t="shared" si="215"/>
        <v>96</v>
      </c>
      <c r="I1169" s="71">
        <f t="shared" si="215"/>
        <v>91</v>
      </c>
      <c r="J1169" s="71">
        <f t="shared" si="215"/>
        <v>87</v>
      </c>
      <c r="K1169" s="71">
        <f t="shared" si="215"/>
        <v>98</v>
      </c>
      <c r="L1169" s="71">
        <f t="shared" si="215"/>
        <v>99</v>
      </c>
      <c r="M1169" s="71">
        <f t="shared" si="215"/>
        <v>99</v>
      </c>
      <c r="N1169" s="71">
        <f t="shared" si="215"/>
        <v>105</v>
      </c>
      <c r="O1169" s="26">
        <f t="shared" si="215"/>
        <v>110</v>
      </c>
      <c r="P1169" s="21">
        <f t="shared" si="212"/>
        <v>87</v>
      </c>
      <c r="Q1169" s="71">
        <f t="shared" si="213"/>
        <v>50</v>
      </c>
      <c r="R1169" s="7">
        <f t="shared" si="214"/>
        <v>0.36496350364963503</v>
      </c>
      <c r="S1169" s="503"/>
    </row>
    <row r="1170" spans="1:19" ht="9.75" customHeight="1">
      <c r="A1170" s="503"/>
      <c r="B1170" s="503"/>
      <c r="C1170" s="43" t="s">
        <v>250</v>
      </c>
      <c r="D1170" s="43" t="s">
        <v>23</v>
      </c>
      <c r="E1170" s="43"/>
      <c r="F1170" s="116"/>
      <c r="G1170" s="128"/>
      <c r="H1170" s="128"/>
      <c r="I1170" s="128"/>
      <c r="J1170" s="128"/>
      <c r="K1170" s="128"/>
      <c r="L1170" s="128"/>
      <c r="M1170" s="128"/>
      <c r="N1170" s="128"/>
      <c r="O1170" s="129"/>
      <c r="P1170" s="116"/>
      <c r="Q1170" s="128"/>
      <c r="R1170" s="141"/>
      <c r="S1170" s="503"/>
    </row>
    <row r="1171" spans="1:19" ht="9.75" customHeight="1">
      <c r="A1171" s="503"/>
      <c r="B1171" s="503"/>
      <c r="C1171" s="13"/>
      <c r="D1171" s="13" t="s">
        <v>25</v>
      </c>
      <c r="E1171" s="13">
        <v>275</v>
      </c>
      <c r="F1171" s="109">
        <f>E1171-11</f>
        <v>264</v>
      </c>
      <c r="G1171" s="504">
        <f>E1171-13</f>
        <v>262</v>
      </c>
      <c r="H1171" s="504">
        <f>E1171-14</f>
        <v>261</v>
      </c>
      <c r="I1171" s="504">
        <f>E1171-15</f>
        <v>260</v>
      </c>
      <c r="J1171" s="504">
        <f>E1171-21</f>
        <v>254</v>
      </c>
      <c r="K1171" s="504">
        <f>E1171-22</f>
        <v>253</v>
      </c>
      <c r="L1171" s="504">
        <f>E1171-17</f>
        <v>258</v>
      </c>
      <c r="M1171" s="504">
        <f>E1171-20</f>
        <v>255</v>
      </c>
      <c r="N1171" s="504">
        <f>E1171-19</f>
        <v>256</v>
      </c>
      <c r="O1171" s="110">
        <v>256</v>
      </c>
      <c r="P1171" s="109">
        <f t="shared" ref="P1171:P1173" si="216">MIN(F1171:O1171)</f>
        <v>253</v>
      </c>
      <c r="Q1171" s="504">
        <f t="shared" ref="Q1171:Q1173" si="217">E1171-P1171</f>
        <v>22</v>
      </c>
      <c r="R1171" s="107">
        <f t="shared" ref="R1171:R1173" si="218">Q1171/E1171</f>
        <v>0.08</v>
      </c>
      <c r="S1171" s="503"/>
    </row>
    <row r="1172" spans="1:19" ht="9.75" customHeight="1">
      <c r="A1172" s="503"/>
      <c r="B1172" s="503"/>
      <c r="C1172" s="13"/>
      <c r="D1172" s="13" t="s">
        <v>27</v>
      </c>
      <c r="E1172" s="13">
        <v>4</v>
      </c>
      <c r="F1172" s="109">
        <v>4</v>
      </c>
      <c r="G1172" s="504">
        <v>4</v>
      </c>
      <c r="H1172" s="504">
        <v>4</v>
      </c>
      <c r="I1172" s="504">
        <v>4</v>
      </c>
      <c r="J1172" s="504">
        <v>4</v>
      </c>
      <c r="K1172" s="504">
        <v>4</v>
      </c>
      <c r="L1172" s="504">
        <v>4</v>
      </c>
      <c r="M1172" s="504">
        <v>4</v>
      </c>
      <c r="N1172" s="504">
        <v>4</v>
      </c>
      <c r="O1172" s="110">
        <v>4</v>
      </c>
      <c r="P1172" s="109">
        <f t="shared" si="216"/>
        <v>4</v>
      </c>
      <c r="Q1172" s="504">
        <f t="shared" si="217"/>
        <v>0</v>
      </c>
      <c r="R1172" s="107">
        <f t="shared" si="218"/>
        <v>0</v>
      </c>
      <c r="S1172" s="503"/>
    </row>
    <row r="1173" spans="1:19" ht="9.75" customHeight="1">
      <c r="A1173" s="503"/>
      <c r="B1173" s="503"/>
      <c r="C1173" s="13"/>
      <c r="D1173" s="13" t="s">
        <v>251</v>
      </c>
      <c r="E1173" s="13">
        <v>9</v>
      </c>
      <c r="F1173" s="109">
        <v>8</v>
      </c>
      <c r="G1173" s="504">
        <v>8</v>
      </c>
      <c r="H1173" s="504">
        <v>8</v>
      </c>
      <c r="I1173" s="504">
        <v>6</v>
      </c>
      <c r="J1173" s="504">
        <v>6</v>
      </c>
      <c r="K1173" s="504">
        <v>7</v>
      </c>
      <c r="L1173" s="504">
        <v>8</v>
      </c>
      <c r="M1173" s="504">
        <v>8</v>
      </c>
      <c r="N1173" s="504">
        <v>8</v>
      </c>
      <c r="O1173" s="110">
        <v>9</v>
      </c>
      <c r="P1173" s="109">
        <f t="shared" si="216"/>
        <v>6</v>
      </c>
      <c r="Q1173" s="504">
        <f t="shared" si="217"/>
        <v>3</v>
      </c>
      <c r="R1173" s="107">
        <f t="shared" si="218"/>
        <v>0.33333333333333331</v>
      </c>
      <c r="S1173" s="503"/>
    </row>
    <row r="1174" spans="1:19" ht="9.75" customHeight="1">
      <c r="A1174" s="503"/>
      <c r="B1174" s="503"/>
      <c r="C1174" s="13"/>
      <c r="D1174" s="13" t="s">
        <v>115</v>
      </c>
      <c r="E1174" s="13"/>
      <c r="F1174" s="109"/>
      <c r="G1174" s="504"/>
      <c r="H1174" s="504"/>
      <c r="I1174" s="504"/>
      <c r="J1174" s="504"/>
      <c r="K1174" s="504"/>
      <c r="L1174" s="504"/>
      <c r="M1174" s="504"/>
      <c r="N1174" s="504"/>
      <c r="O1174" s="110"/>
      <c r="P1174" s="109"/>
      <c r="Q1174" s="504"/>
      <c r="R1174" s="107"/>
      <c r="S1174" s="503"/>
    </row>
    <row r="1175" spans="1:19" ht="9.75" customHeight="1">
      <c r="A1175" s="503"/>
      <c r="B1175" s="503"/>
      <c r="C1175" s="13"/>
      <c r="D1175" s="13" t="s">
        <v>32</v>
      </c>
      <c r="E1175" s="13">
        <v>2</v>
      </c>
      <c r="F1175" s="109">
        <v>2</v>
      </c>
      <c r="G1175" s="504">
        <v>2</v>
      </c>
      <c r="H1175" s="504">
        <v>2</v>
      </c>
      <c r="I1175" s="504">
        <v>2</v>
      </c>
      <c r="J1175" s="504">
        <v>2</v>
      </c>
      <c r="K1175" s="504">
        <v>2</v>
      </c>
      <c r="L1175" s="504">
        <v>2</v>
      </c>
      <c r="M1175" s="504">
        <v>2</v>
      </c>
      <c r="N1175" s="504">
        <v>2</v>
      </c>
      <c r="O1175" s="110">
        <v>2</v>
      </c>
      <c r="P1175" s="109">
        <f t="shared" ref="P1175:P1178" si="219">MIN(F1175:O1175)</f>
        <v>2</v>
      </c>
      <c r="Q1175" s="504">
        <f t="shared" ref="Q1175:Q1178" si="220">E1175-P1175</f>
        <v>0</v>
      </c>
      <c r="R1175" s="107">
        <f t="shared" ref="R1175:R1178" si="221">Q1175/E1175</f>
        <v>0</v>
      </c>
      <c r="S1175" s="503"/>
    </row>
    <row r="1176" spans="1:19" ht="9.75" customHeight="1">
      <c r="A1176" s="503"/>
      <c r="B1176" s="503"/>
      <c r="C1176" s="13"/>
      <c r="D1176" s="13" t="s">
        <v>245</v>
      </c>
      <c r="E1176" s="13">
        <v>6</v>
      </c>
      <c r="F1176" s="109">
        <v>6</v>
      </c>
      <c r="G1176" s="504">
        <v>6</v>
      </c>
      <c r="H1176" s="504">
        <v>6</v>
      </c>
      <c r="I1176" s="504">
        <v>6</v>
      </c>
      <c r="J1176" s="11">
        <v>6</v>
      </c>
      <c r="K1176" s="11">
        <v>6</v>
      </c>
      <c r="L1176" s="11">
        <v>6</v>
      </c>
      <c r="M1176" s="11">
        <v>6</v>
      </c>
      <c r="N1176" s="11">
        <v>6</v>
      </c>
      <c r="O1176" s="11">
        <v>6</v>
      </c>
      <c r="P1176" s="109">
        <f t="shared" si="219"/>
        <v>6</v>
      </c>
      <c r="Q1176" s="504">
        <f t="shared" si="220"/>
        <v>0</v>
      </c>
      <c r="R1176" s="107">
        <f t="shared" si="221"/>
        <v>0</v>
      </c>
      <c r="S1176" s="503"/>
    </row>
    <row r="1177" spans="1:19" ht="9.75" customHeight="1">
      <c r="A1177" s="503"/>
      <c r="B1177" s="503"/>
      <c r="C1177" s="13"/>
      <c r="D1177" s="13" t="s">
        <v>247</v>
      </c>
      <c r="E1177" s="13">
        <v>1</v>
      </c>
      <c r="F1177" s="109">
        <v>1</v>
      </c>
      <c r="G1177" s="504">
        <v>1</v>
      </c>
      <c r="H1177" s="504">
        <v>1</v>
      </c>
      <c r="I1177" s="504">
        <v>1</v>
      </c>
      <c r="J1177" s="504">
        <v>1</v>
      </c>
      <c r="K1177" s="504">
        <v>1</v>
      </c>
      <c r="L1177" s="504">
        <v>1</v>
      </c>
      <c r="M1177" s="504">
        <v>1</v>
      </c>
      <c r="N1177" s="504">
        <v>1</v>
      </c>
      <c r="O1177" s="110">
        <v>1</v>
      </c>
      <c r="P1177" s="109">
        <f t="shared" si="219"/>
        <v>1</v>
      </c>
      <c r="Q1177" s="504">
        <f t="shared" si="220"/>
        <v>0</v>
      </c>
      <c r="R1177" s="107">
        <f t="shared" si="221"/>
        <v>0</v>
      </c>
      <c r="S1177" s="503"/>
    </row>
    <row r="1178" spans="1:19" ht="9.75" customHeight="1">
      <c r="A1178" s="503"/>
      <c r="B1178" s="503"/>
      <c r="C1178" s="13"/>
      <c r="D1178" s="13" t="s">
        <v>118</v>
      </c>
      <c r="E1178" s="109">
        <v>10</v>
      </c>
      <c r="F1178" s="109">
        <v>10</v>
      </c>
      <c r="G1178" s="504">
        <v>10</v>
      </c>
      <c r="H1178" s="504">
        <v>10</v>
      </c>
      <c r="I1178" s="504">
        <v>10</v>
      </c>
      <c r="J1178" s="504">
        <v>10</v>
      </c>
      <c r="K1178" s="504">
        <v>10</v>
      </c>
      <c r="L1178" s="504">
        <v>10</v>
      </c>
      <c r="M1178" s="504">
        <v>10</v>
      </c>
      <c r="N1178" s="504">
        <v>10</v>
      </c>
      <c r="O1178" s="504">
        <v>10</v>
      </c>
      <c r="P1178" s="109">
        <f t="shared" si="219"/>
        <v>10</v>
      </c>
      <c r="Q1178" s="504">
        <f t="shared" si="220"/>
        <v>0</v>
      </c>
      <c r="R1178" s="107">
        <f t="shared" si="221"/>
        <v>0</v>
      </c>
      <c r="S1178" s="503"/>
    </row>
    <row r="1179" spans="1:19" ht="9.75" customHeight="1">
      <c r="A1179" s="503"/>
      <c r="B1179" s="503"/>
      <c r="C1179" s="13"/>
      <c r="D1179" s="13" t="s">
        <v>120</v>
      </c>
      <c r="E1179" s="13"/>
      <c r="F1179" s="109"/>
      <c r="G1179" s="504"/>
      <c r="H1179" s="504"/>
      <c r="I1179" s="504"/>
      <c r="J1179" s="504"/>
      <c r="K1179" s="504"/>
      <c r="L1179" s="504"/>
      <c r="M1179" s="504"/>
      <c r="N1179" s="504"/>
      <c r="O1179" s="110"/>
      <c r="P1179" s="109"/>
      <c r="Q1179" s="504"/>
      <c r="R1179" s="107"/>
      <c r="S1179" s="503"/>
    </row>
    <row r="1180" spans="1:19" ht="9.75" customHeight="1">
      <c r="A1180" s="503"/>
      <c r="B1180" s="503"/>
      <c r="C1180" s="13"/>
      <c r="D1180" s="13" t="s">
        <v>120</v>
      </c>
      <c r="E1180" s="13"/>
      <c r="F1180" s="109"/>
      <c r="G1180" s="504"/>
      <c r="H1180" s="504"/>
      <c r="I1180" s="504"/>
      <c r="J1180" s="504"/>
      <c r="K1180" s="504"/>
      <c r="L1180" s="504"/>
      <c r="M1180" s="504"/>
      <c r="N1180" s="504"/>
      <c r="O1180" s="110"/>
      <c r="P1180" s="109"/>
      <c r="Q1180" s="504"/>
      <c r="R1180" s="107"/>
      <c r="S1180" s="503"/>
    </row>
    <row r="1181" spans="1:19" ht="9.75" customHeight="1">
      <c r="A1181" s="503"/>
      <c r="B1181" s="503"/>
      <c r="C1181" s="13"/>
      <c r="D1181" s="13" t="s">
        <v>120</v>
      </c>
      <c r="E1181" s="13"/>
      <c r="F1181" s="109"/>
      <c r="G1181" s="504"/>
      <c r="H1181" s="504"/>
      <c r="I1181" s="504"/>
      <c r="J1181" s="504"/>
      <c r="K1181" s="504"/>
      <c r="L1181" s="504"/>
      <c r="M1181" s="504"/>
      <c r="N1181" s="504"/>
      <c r="O1181" s="110"/>
      <c r="P1181" s="109"/>
      <c r="Q1181" s="504"/>
      <c r="R1181" s="107"/>
      <c r="S1181" s="503"/>
    </row>
    <row r="1182" spans="1:19" ht="9.75" customHeight="1">
      <c r="A1182" s="503"/>
      <c r="B1182" s="503"/>
      <c r="C1182" s="13"/>
      <c r="D1182" s="13" t="s">
        <v>34</v>
      </c>
      <c r="E1182" s="13">
        <v>4</v>
      </c>
      <c r="F1182" s="109">
        <v>4</v>
      </c>
      <c r="G1182" s="504">
        <v>4</v>
      </c>
      <c r="H1182" s="504">
        <v>4</v>
      </c>
      <c r="I1182" s="504">
        <v>4</v>
      </c>
      <c r="J1182" s="504">
        <v>4</v>
      </c>
      <c r="K1182" s="504">
        <v>4</v>
      </c>
      <c r="L1182" s="504">
        <v>4</v>
      </c>
      <c r="M1182" s="504">
        <v>4</v>
      </c>
      <c r="N1182" s="504">
        <v>4</v>
      </c>
      <c r="O1182" s="110">
        <v>4</v>
      </c>
      <c r="P1182" s="109">
        <f>MIN(F1182:O1182)</f>
        <v>4</v>
      </c>
      <c r="Q1182" s="504">
        <f>E1182-P1182</f>
        <v>0</v>
      </c>
      <c r="R1182" s="107">
        <f>Q1182/E1182</f>
        <v>0</v>
      </c>
      <c r="S1182" s="503"/>
    </row>
    <row r="1183" spans="1:19" ht="9.75" customHeight="1">
      <c r="A1183" s="503"/>
      <c r="B1183" s="503"/>
      <c r="C1183" s="13"/>
      <c r="D1183" s="13" t="s">
        <v>35</v>
      </c>
      <c r="E1183" s="13"/>
      <c r="F1183" s="109"/>
      <c r="G1183" s="504"/>
      <c r="H1183" s="504"/>
      <c r="I1183" s="504"/>
      <c r="J1183" s="504"/>
      <c r="K1183" s="504"/>
      <c r="L1183" s="504"/>
      <c r="M1183" s="504"/>
      <c r="N1183" s="504"/>
      <c r="O1183" s="110"/>
      <c r="P1183" s="109"/>
      <c r="Q1183" s="504"/>
      <c r="R1183" s="107"/>
      <c r="S1183" s="503"/>
    </row>
    <row r="1184" spans="1:19" ht="9.75" customHeight="1">
      <c r="A1184" s="503"/>
      <c r="B1184" s="503"/>
      <c r="C1184" s="13"/>
      <c r="D1184" s="13" t="s">
        <v>36</v>
      </c>
      <c r="E1184" s="13"/>
      <c r="F1184" s="109"/>
      <c r="G1184" s="504"/>
      <c r="H1184" s="504"/>
      <c r="I1184" s="504"/>
      <c r="J1184" s="504"/>
      <c r="K1184" s="504"/>
      <c r="L1184" s="504"/>
      <c r="M1184" s="504"/>
      <c r="N1184" s="504"/>
      <c r="O1184" s="110"/>
      <c r="P1184" s="109"/>
      <c r="Q1184" s="504"/>
      <c r="R1184" s="107"/>
      <c r="S1184" s="503"/>
    </row>
    <row r="1185" spans="1:19" ht="9.75" customHeight="1">
      <c r="A1185" s="503"/>
      <c r="B1185" s="503"/>
      <c r="C1185" s="13"/>
      <c r="D1185" s="13" t="s">
        <v>37</v>
      </c>
      <c r="E1185" s="13"/>
      <c r="F1185" s="109"/>
      <c r="G1185" s="504"/>
      <c r="H1185" s="504"/>
      <c r="I1185" s="504"/>
      <c r="J1185" s="504"/>
      <c r="K1185" s="504"/>
      <c r="L1185" s="504"/>
      <c r="M1185" s="504"/>
      <c r="N1185" s="504"/>
      <c r="O1185" s="110"/>
      <c r="P1185" s="109"/>
      <c r="Q1185" s="504"/>
      <c r="R1185" s="107"/>
      <c r="S1185" s="503"/>
    </row>
    <row r="1186" spans="1:19" ht="9.75" customHeight="1">
      <c r="A1186" s="503"/>
      <c r="B1186" s="503" t="s">
        <v>127</v>
      </c>
      <c r="C1186" s="2"/>
      <c r="D1186" s="3" t="s">
        <v>38</v>
      </c>
      <c r="E1186" s="3">
        <f t="shared" ref="E1186:O1186" si="222">SUM(E1170:E1185)</f>
        <v>311</v>
      </c>
      <c r="F1186" s="21">
        <f t="shared" si="222"/>
        <v>299</v>
      </c>
      <c r="G1186" s="71">
        <f t="shared" si="222"/>
        <v>297</v>
      </c>
      <c r="H1186" s="71">
        <f t="shared" si="222"/>
        <v>296</v>
      </c>
      <c r="I1186" s="71">
        <f t="shared" si="222"/>
        <v>293</v>
      </c>
      <c r="J1186" s="71">
        <f t="shared" si="222"/>
        <v>287</v>
      </c>
      <c r="K1186" s="71">
        <f t="shared" si="222"/>
        <v>287</v>
      </c>
      <c r="L1186" s="71">
        <f t="shared" si="222"/>
        <v>293</v>
      </c>
      <c r="M1186" s="71">
        <f t="shared" si="222"/>
        <v>290</v>
      </c>
      <c r="N1186" s="71">
        <f t="shared" si="222"/>
        <v>291</v>
      </c>
      <c r="O1186" s="26">
        <f t="shared" si="222"/>
        <v>292</v>
      </c>
      <c r="P1186" s="21">
        <f>MIN(F1186:O1186)</f>
        <v>287</v>
      </c>
      <c r="Q1186" s="71">
        <f>E1186-P1186</f>
        <v>24</v>
      </c>
      <c r="R1186" s="7">
        <f>Q1186/E1186</f>
        <v>7.7170418006430874E-2</v>
      </c>
      <c r="S1186" s="503"/>
    </row>
    <row r="1187" spans="1:19" ht="9.75" customHeight="1">
      <c r="A1187" s="503"/>
      <c r="B1187" s="503"/>
      <c r="C1187" s="43" t="s">
        <v>252</v>
      </c>
      <c r="D1187" s="43" t="s">
        <v>23</v>
      </c>
      <c r="E1187" s="43"/>
      <c r="F1187" s="116"/>
      <c r="G1187" s="128"/>
      <c r="H1187" s="128"/>
      <c r="I1187" s="128"/>
      <c r="J1187" s="128"/>
      <c r="K1187" s="128"/>
      <c r="L1187" s="128"/>
      <c r="M1187" s="128"/>
      <c r="N1187" s="128"/>
      <c r="O1187" s="129"/>
      <c r="P1187" s="116"/>
      <c r="Q1187" s="128"/>
      <c r="R1187" s="141"/>
      <c r="S1187" s="503"/>
    </row>
    <row r="1188" spans="1:19" ht="9.75" customHeight="1">
      <c r="A1188" s="503"/>
      <c r="B1188" s="503"/>
      <c r="C1188" s="13"/>
      <c r="D1188" s="13" t="s">
        <v>25</v>
      </c>
      <c r="E1188" s="13"/>
      <c r="F1188" s="109"/>
      <c r="G1188" s="504"/>
      <c r="H1188" s="504"/>
      <c r="I1188" s="504"/>
      <c r="J1188" s="504"/>
      <c r="K1188" s="504"/>
      <c r="L1188" s="504"/>
      <c r="M1188" s="504"/>
      <c r="N1188" s="504"/>
      <c r="O1188" s="110"/>
      <c r="P1188" s="109"/>
      <c r="Q1188" s="504"/>
      <c r="R1188" s="107"/>
      <c r="S1188" s="503"/>
    </row>
    <row r="1189" spans="1:19" ht="9.75" customHeight="1">
      <c r="A1189" s="503"/>
      <c r="B1189" s="503"/>
      <c r="C1189" s="13"/>
      <c r="D1189" s="13" t="s">
        <v>27</v>
      </c>
      <c r="E1189" s="13"/>
      <c r="F1189" s="109"/>
      <c r="G1189" s="504"/>
      <c r="H1189" s="504"/>
      <c r="I1189" s="504"/>
      <c r="J1189" s="504"/>
      <c r="K1189" s="504"/>
      <c r="L1189" s="504"/>
      <c r="M1189" s="504"/>
      <c r="N1189" s="504"/>
      <c r="O1189" s="110"/>
      <c r="P1189" s="109"/>
      <c r="Q1189" s="504"/>
      <c r="R1189" s="107"/>
      <c r="S1189" s="503"/>
    </row>
    <row r="1190" spans="1:19" ht="9.75" customHeight="1">
      <c r="A1190" s="503"/>
      <c r="B1190" s="503"/>
      <c r="C1190" s="13"/>
      <c r="D1190" s="13" t="s">
        <v>251</v>
      </c>
      <c r="E1190" s="13">
        <v>8</v>
      </c>
      <c r="F1190" s="109">
        <v>5</v>
      </c>
      <c r="G1190" s="504">
        <v>4</v>
      </c>
      <c r="H1190" s="504">
        <v>5</v>
      </c>
      <c r="I1190" s="504">
        <v>5</v>
      </c>
      <c r="J1190" s="504">
        <v>5</v>
      </c>
      <c r="K1190" s="504">
        <v>5</v>
      </c>
      <c r="L1190" s="504">
        <v>6</v>
      </c>
      <c r="M1190" s="504">
        <v>7</v>
      </c>
      <c r="N1190" s="504">
        <v>7</v>
      </c>
      <c r="O1190" s="110">
        <v>7</v>
      </c>
      <c r="P1190" s="109">
        <f>MIN(F1190:O1190)</f>
        <v>4</v>
      </c>
      <c r="Q1190" s="504">
        <f>E1190-P1190</f>
        <v>4</v>
      </c>
      <c r="R1190" s="107">
        <f>Q1190/E1190</f>
        <v>0.5</v>
      </c>
      <c r="S1190" s="503"/>
    </row>
    <row r="1191" spans="1:19" ht="9.75" customHeight="1">
      <c r="A1191" s="503"/>
      <c r="B1191" s="503"/>
      <c r="C1191" s="13"/>
      <c r="D1191" s="13" t="s">
        <v>115</v>
      </c>
      <c r="E1191" s="13"/>
      <c r="F1191" s="109"/>
      <c r="G1191" s="504"/>
      <c r="H1191" s="504"/>
      <c r="I1191" s="504"/>
      <c r="J1191" s="504"/>
      <c r="K1191" s="504"/>
      <c r="L1191" s="504"/>
      <c r="M1191" s="504"/>
      <c r="N1191" s="504"/>
      <c r="O1191" s="110"/>
      <c r="P1191" s="109"/>
      <c r="Q1191" s="504"/>
      <c r="R1191" s="107"/>
      <c r="S1191" s="503"/>
    </row>
    <row r="1192" spans="1:19" ht="9.75" customHeight="1">
      <c r="A1192" s="503"/>
      <c r="B1192" s="503"/>
      <c r="C1192" s="13"/>
      <c r="D1192" s="13" t="s">
        <v>32</v>
      </c>
      <c r="E1192" s="13"/>
      <c r="F1192" s="109"/>
      <c r="G1192" s="504"/>
      <c r="H1192" s="504"/>
      <c r="I1192" s="504"/>
      <c r="J1192" s="504"/>
      <c r="K1192" s="504"/>
      <c r="L1192" s="504"/>
      <c r="M1192" s="504"/>
      <c r="N1192" s="504"/>
      <c r="O1192" s="110"/>
      <c r="P1192" s="109"/>
      <c r="Q1192" s="504"/>
      <c r="R1192" s="107"/>
      <c r="S1192" s="503"/>
    </row>
    <row r="1193" spans="1:19" ht="9.75" customHeight="1">
      <c r="A1193" s="503"/>
      <c r="B1193" s="503"/>
      <c r="C1193" s="13"/>
      <c r="D1193" s="13" t="s">
        <v>120</v>
      </c>
      <c r="E1193" s="13"/>
      <c r="F1193" s="109"/>
      <c r="G1193" s="504"/>
      <c r="H1193" s="504"/>
      <c r="I1193" s="504"/>
      <c r="J1193" s="504"/>
      <c r="K1193" s="504"/>
      <c r="L1193" s="504"/>
      <c r="M1193" s="504"/>
      <c r="N1193" s="504"/>
      <c r="O1193" s="110"/>
      <c r="P1193" s="109"/>
      <c r="Q1193" s="504"/>
      <c r="R1193" s="107"/>
      <c r="S1193" s="503"/>
    </row>
    <row r="1194" spans="1:19" ht="9.75" customHeight="1">
      <c r="A1194" s="503"/>
      <c r="B1194" s="503"/>
      <c r="C1194" s="13"/>
      <c r="D1194" s="13" t="s">
        <v>120</v>
      </c>
      <c r="E1194" s="13"/>
      <c r="F1194" s="109"/>
      <c r="G1194" s="504"/>
      <c r="H1194" s="504"/>
      <c r="I1194" s="504"/>
      <c r="J1194" s="504"/>
      <c r="K1194" s="504"/>
      <c r="L1194" s="504"/>
      <c r="M1194" s="504"/>
      <c r="N1194" s="504"/>
      <c r="O1194" s="110"/>
      <c r="P1194" s="109"/>
      <c r="Q1194" s="504"/>
      <c r="R1194" s="107"/>
      <c r="S1194" s="503"/>
    </row>
    <row r="1195" spans="1:19" ht="9.75" customHeight="1">
      <c r="A1195" s="503"/>
      <c r="B1195" s="503"/>
      <c r="C1195" s="13"/>
      <c r="D1195" s="13" t="s">
        <v>120</v>
      </c>
      <c r="E1195" s="13"/>
      <c r="F1195" s="109"/>
      <c r="G1195" s="504"/>
      <c r="H1195" s="504"/>
      <c r="I1195" s="504"/>
      <c r="J1195" s="504"/>
      <c r="K1195" s="504"/>
      <c r="L1195" s="504"/>
      <c r="M1195" s="504"/>
      <c r="N1195" s="504"/>
      <c r="O1195" s="110"/>
      <c r="P1195" s="109"/>
      <c r="Q1195" s="504"/>
      <c r="R1195" s="107"/>
      <c r="S1195" s="503"/>
    </row>
    <row r="1196" spans="1:19" ht="9.75" customHeight="1">
      <c r="A1196" s="503"/>
      <c r="B1196" s="503"/>
      <c r="C1196" s="13"/>
      <c r="D1196" s="13" t="s">
        <v>120</v>
      </c>
      <c r="E1196" s="13"/>
      <c r="F1196" s="109"/>
      <c r="G1196" s="504"/>
      <c r="H1196" s="504"/>
      <c r="I1196" s="504"/>
      <c r="J1196" s="504"/>
      <c r="K1196" s="504"/>
      <c r="L1196" s="504"/>
      <c r="M1196" s="504"/>
      <c r="N1196" s="504"/>
      <c r="O1196" s="110"/>
      <c r="P1196" s="109"/>
      <c r="Q1196" s="504"/>
      <c r="R1196" s="107"/>
      <c r="S1196" s="503"/>
    </row>
    <row r="1197" spans="1:19" ht="9.75" customHeight="1">
      <c r="A1197" s="503"/>
      <c r="B1197" s="503"/>
      <c r="C1197" s="13"/>
      <c r="D1197" s="13" t="s">
        <v>120</v>
      </c>
      <c r="E1197" s="13"/>
      <c r="F1197" s="109"/>
      <c r="G1197" s="504"/>
      <c r="H1197" s="504"/>
      <c r="I1197" s="504"/>
      <c r="J1197" s="504"/>
      <c r="K1197" s="504"/>
      <c r="L1197" s="504"/>
      <c r="M1197" s="504"/>
      <c r="N1197" s="504"/>
      <c r="O1197" s="110"/>
      <c r="P1197" s="109"/>
      <c r="Q1197" s="504"/>
      <c r="R1197" s="107"/>
      <c r="S1197" s="503"/>
    </row>
    <row r="1198" spans="1:19" ht="9.75" customHeight="1">
      <c r="A1198" s="503"/>
      <c r="B1198" s="503"/>
      <c r="C1198" s="13"/>
      <c r="D1198" s="13" t="s">
        <v>120</v>
      </c>
      <c r="E1198" s="13"/>
      <c r="F1198" s="109"/>
      <c r="G1198" s="504"/>
      <c r="H1198" s="504"/>
      <c r="I1198" s="504"/>
      <c r="J1198" s="504"/>
      <c r="K1198" s="504"/>
      <c r="L1198" s="504"/>
      <c r="M1198" s="504"/>
      <c r="N1198" s="504"/>
      <c r="O1198" s="110"/>
      <c r="P1198" s="109"/>
      <c r="Q1198" s="504"/>
      <c r="R1198" s="107"/>
      <c r="S1198" s="503"/>
    </row>
    <row r="1199" spans="1:19" ht="9.75" customHeight="1">
      <c r="A1199" s="503"/>
      <c r="B1199" s="503"/>
      <c r="C1199" s="13"/>
      <c r="D1199" s="13" t="s">
        <v>34</v>
      </c>
      <c r="E1199" s="13">
        <v>1</v>
      </c>
      <c r="F1199" s="109">
        <v>1</v>
      </c>
      <c r="G1199" s="504">
        <v>1</v>
      </c>
      <c r="H1199" s="504">
        <v>1</v>
      </c>
      <c r="I1199" s="504">
        <v>1</v>
      </c>
      <c r="J1199" s="504">
        <v>1</v>
      </c>
      <c r="K1199" s="504">
        <v>1</v>
      </c>
      <c r="L1199" s="504">
        <v>1</v>
      </c>
      <c r="M1199" s="504">
        <v>1</v>
      </c>
      <c r="N1199" s="504">
        <v>1</v>
      </c>
      <c r="O1199" s="110">
        <v>1</v>
      </c>
      <c r="P1199" s="109">
        <f t="shared" ref="P1199:P1200" si="223">MIN(F1199:O1199)</f>
        <v>1</v>
      </c>
      <c r="Q1199" s="504">
        <f t="shared" ref="Q1199:Q1200" si="224">E1199-P1199</f>
        <v>0</v>
      </c>
      <c r="R1199" s="107">
        <f t="shared" ref="R1199:R1200" si="225">Q1199/E1199</f>
        <v>0</v>
      </c>
      <c r="S1199" s="503"/>
    </row>
    <row r="1200" spans="1:19" ht="9.75" customHeight="1">
      <c r="A1200" s="503"/>
      <c r="B1200" s="503"/>
      <c r="C1200" s="13"/>
      <c r="D1200" s="13" t="s">
        <v>35</v>
      </c>
      <c r="E1200" s="13">
        <v>15</v>
      </c>
      <c r="F1200" s="109">
        <v>13</v>
      </c>
      <c r="G1200" s="504">
        <v>13</v>
      </c>
      <c r="H1200" s="504">
        <v>15</v>
      </c>
      <c r="I1200" s="504">
        <v>15</v>
      </c>
      <c r="J1200" s="504">
        <v>15</v>
      </c>
      <c r="K1200" s="504">
        <v>15</v>
      </c>
      <c r="L1200" s="504">
        <v>15</v>
      </c>
      <c r="M1200" s="504">
        <v>15</v>
      </c>
      <c r="N1200" s="504">
        <v>15</v>
      </c>
      <c r="O1200" s="110">
        <v>15</v>
      </c>
      <c r="P1200" s="109">
        <f t="shared" si="223"/>
        <v>13</v>
      </c>
      <c r="Q1200" s="504">
        <f t="shared" si="224"/>
        <v>2</v>
      </c>
      <c r="R1200" s="107">
        <f t="shared" si="225"/>
        <v>0.13333333333333333</v>
      </c>
      <c r="S1200" s="503"/>
    </row>
    <row r="1201" spans="1:19" ht="9.75" customHeight="1">
      <c r="A1201" s="503"/>
      <c r="B1201" s="503"/>
      <c r="C1201" s="13"/>
      <c r="D1201" s="13" t="s">
        <v>36</v>
      </c>
      <c r="E1201" s="13"/>
      <c r="F1201" s="109"/>
      <c r="G1201" s="504"/>
      <c r="H1201" s="504"/>
      <c r="I1201" s="504"/>
      <c r="J1201" s="504"/>
      <c r="K1201" s="504"/>
      <c r="L1201" s="504"/>
      <c r="M1201" s="504"/>
      <c r="N1201" s="504"/>
      <c r="O1201" s="110"/>
      <c r="P1201" s="109"/>
      <c r="Q1201" s="504"/>
      <c r="R1201" s="107"/>
      <c r="S1201" s="503"/>
    </row>
    <row r="1202" spans="1:19" ht="9.75" customHeight="1">
      <c r="A1202" s="503"/>
      <c r="B1202" s="503"/>
      <c r="C1202" s="13"/>
      <c r="D1202" s="13" t="s">
        <v>37</v>
      </c>
      <c r="E1202" s="13"/>
      <c r="F1202" s="109"/>
      <c r="G1202" s="504"/>
      <c r="H1202" s="504"/>
      <c r="I1202" s="504"/>
      <c r="J1202" s="504"/>
      <c r="K1202" s="504"/>
      <c r="L1202" s="504"/>
      <c r="M1202" s="504"/>
      <c r="N1202" s="504"/>
      <c r="O1202" s="110"/>
      <c r="P1202" s="109"/>
      <c r="Q1202" s="504"/>
      <c r="R1202" s="107"/>
      <c r="S1202" s="503"/>
    </row>
    <row r="1203" spans="1:19" ht="9.75" customHeight="1">
      <c r="A1203" s="503"/>
      <c r="B1203" s="503" t="s">
        <v>127</v>
      </c>
      <c r="C1203" s="2"/>
      <c r="D1203" s="3" t="s">
        <v>38</v>
      </c>
      <c r="E1203" s="3">
        <f t="shared" ref="E1203:O1203" si="226">SUM(E1187:E1202)</f>
        <v>24</v>
      </c>
      <c r="F1203" s="21">
        <f t="shared" si="226"/>
        <v>19</v>
      </c>
      <c r="G1203" s="71">
        <f t="shared" si="226"/>
        <v>18</v>
      </c>
      <c r="H1203" s="71">
        <f t="shared" si="226"/>
        <v>21</v>
      </c>
      <c r="I1203" s="71">
        <f t="shared" si="226"/>
        <v>21</v>
      </c>
      <c r="J1203" s="71">
        <f t="shared" si="226"/>
        <v>21</v>
      </c>
      <c r="K1203" s="71">
        <f t="shared" si="226"/>
        <v>21</v>
      </c>
      <c r="L1203" s="71">
        <f t="shared" si="226"/>
        <v>22</v>
      </c>
      <c r="M1203" s="71">
        <f t="shared" si="226"/>
        <v>23</v>
      </c>
      <c r="N1203" s="71">
        <f t="shared" si="226"/>
        <v>23</v>
      </c>
      <c r="O1203" s="26">
        <f t="shared" si="226"/>
        <v>23</v>
      </c>
      <c r="P1203" s="21">
        <f>MIN(F1203:O1203)</f>
        <v>18</v>
      </c>
      <c r="Q1203" s="71">
        <f>E1203-P1203</f>
        <v>6</v>
      </c>
      <c r="R1203" s="7">
        <f>Q1203/E1203</f>
        <v>0.25</v>
      </c>
      <c r="S1203" s="503"/>
    </row>
    <row r="1204" spans="1:19" ht="9.75" customHeight="1">
      <c r="A1204" s="503"/>
      <c r="B1204" s="503"/>
      <c r="C1204" s="43" t="s">
        <v>253</v>
      </c>
      <c r="D1204" s="43" t="s">
        <v>23</v>
      </c>
      <c r="E1204" s="43"/>
      <c r="F1204" s="116"/>
      <c r="G1204" s="128"/>
      <c r="H1204" s="128"/>
      <c r="I1204" s="128"/>
      <c r="J1204" s="128"/>
      <c r="K1204" s="128"/>
      <c r="L1204" s="128"/>
      <c r="M1204" s="128"/>
      <c r="N1204" s="128"/>
      <c r="O1204" s="129"/>
      <c r="P1204" s="116"/>
      <c r="Q1204" s="128"/>
      <c r="R1204" s="141"/>
      <c r="S1204" s="503"/>
    </row>
    <row r="1205" spans="1:19" ht="9.75" customHeight="1">
      <c r="A1205" s="503"/>
      <c r="B1205" s="503"/>
      <c r="C1205" s="13"/>
      <c r="D1205" s="13" t="s">
        <v>25</v>
      </c>
      <c r="E1205" s="13">
        <v>134</v>
      </c>
      <c r="F1205" s="109">
        <f>E1205-7</f>
        <v>127</v>
      </c>
      <c r="G1205" s="504">
        <f>E1205-8</f>
        <v>126</v>
      </c>
      <c r="H1205" s="504">
        <f>E1205-14</f>
        <v>120</v>
      </c>
      <c r="I1205" s="504">
        <f>E1205-15</f>
        <v>119</v>
      </c>
      <c r="J1205" s="504">
        <f>E1205-20</f>
        <v>114</v>
      </c>
      <c r="K1205" s="504">
        <f>E1205-25</f>
        <v>109</v>
      </c>
      <c r="L1205" s="504">
        <f>E1205-13</f>
        <v>121</v>
      </c>
      <c r="M1205" s="504">
        <f>E1205-12</f>
        <v>122</v>
      </c>
      <c r="N1205" s="504">
        <f>E1205-5</f>
        <v>129</v>
      </c>
      <c r="O1205" s="110">
        <f>E1205-3</f>
        <v>131</v>
      </c>
      <c r="P1205" s="109">
        <f>MIN(F1205:O1205)</f>
        <v>109</v>
      </c>
      <c r="Q1205" s="504">
        <f>E1205-P1205</f>
        <v>25</v>
      </c>
      <c r="R1205" s="107">
        <f>Q1205/E1205</f>
        <v>0.18656716417910449</v>
      </c>
      <c r="S1205" s="503"/>
    </row>
    <row r="1206" spans="1:19" ht="9.75" customHeight="1">
      <c r="A1206" s="503"/>
      <c r="B1206" s="503"/>
      <c r="C1206" s="13"/>
      <c r="D1206" s="13" t="s">
        <v>27</v>
      </c>
      <c r="E1206" s="13"/>
      <c r="F1206" s="109"/>
      <c r="G1206" s="504"/>
      <c r="H1206" s="504"/>
      <c r="I1206" s="504"/>
      <c r="J1206" s="504"/>
      <c r="K1206" s="504"/>
      <c r="L1206" s="504"/>
      <c r="M1206" s="504"/>
      <c r="N1206" s="504"/>
      <c r="O1206" s="110"/>
      <c r="P1206" s="109"/>
      <c r="Q1206" s="504"/>
      <c r="R1206" s="107"/>
      <c r="S1206" s="503"/>
    </row>
    <row r="1207" spans="1:19" ht="9.75" customHeight="1">
      <c r="A1207" s="503"/>
      <c r="B1207" s="503"/>
      <c r="C1207" s="13"/>
      <c r="D1207" s="13" t="s">
        <v>115</v>
      </c>
      <c r="E1207" s="13"/>
      <c r="F1207" s="109"/>
      <c r="G1207" s="504"/>
      <c r="H1207" s="504"/>
      <c r="I1207" s="504"/>
      <c r="J1207" s="504"/>
      <c r="K1207" s="504"/>
      <c r="L1207" s="504"/>
      <c r="M1207" s="504"/>
      <c r="N1207" s="504"/>
      <c r="O1207" s="110"/>
      <c r="P1207" s="109"/>
      <c r="Q1207" s="504"/>
      <c r="R1207" s="107"/>
      <c r="S1207" s="503"/>
    </row>
    <row r="1208" spans="1:19" ht="9.75" customHeight="1">
      <c r="A1208" s="503"/>
      <c r="B1208" s="503"/>
      <c r="C1208" s="13"/>
      <c r="D1208" s="13" t="s">
        <v>115</v>
      </c>
      <c r="E1208" s="13"/>
      <c r="F1208" s="109"/>
      <c r="G1208" s="504"/>
      <c r="H1208" s="504"/>
      <c r="I1208" s="504"/>
      <c r="J1208" s="504"/>
      <c r="K1208" s="504"/>
      <c r="L1208" s="504"/>
      <c r="M1208" s="504"/>
      <c r="N1208" s="504"/>
      <c r="O1208" s="110"/>
      <c r="P1208" s="109"/>
      <c r="Q1208" s="504"/>
      <c r="R1208" s="107"/>
      <c r="S1208" s="503"/>
    </row>
    <row r="1209" spans="1:19" ht="9.75" customHeight="1">
      <c r="A1209" s="503"/>
      <c r="B1209" s="503"/>
      <c r="C1209" s="13"/>
      <c r="D1209" s="13" t="s">
        <v>32</v>
      </c>
      <c r="E1209" s="13"/>
      <c r="F1209" s="109"/>
      <c r="G1209" s="504"/>
      <c r="H1209" s="504"/>
      <c r="I1209" s="504"/>
      <c r="J1209" s="504"/>
      <c r="K1209" s="504"/>
      <c r="L1209" s="504"/>
      <c r="M1209" s="504"/>
      <c r="N1209" s="504"/>
      <c r="O1209" s="110"/>
      <c r="P1209" s="109"/>
      <c r="Q1209" s="504"/>
      <c r="R1209" s="107"/>
      <c r="S1209" s="503"/>
    </row>
    <row r="1210" spans="1:19" ht="9.75" customHeight="1">
      <c r="A1210" s="503"/>
      <c r="B1210" s="503"/>
      <c r="C1210" s="13"/>
      <c r="D1210" s="13" t="s">
        <v>254</v>
      </c>
      <c r="E1210" s="13">
        <v>52</v>
      </c>
      <c r="F1210" s="109">
        <v>0</v>
      </c>
      <c r="G1210" s="504">
        <v>0</v>
      </c>
      <c r="H1210" s="504">
        <v>0</v>
      </c>
      <c r="I1210" s="504">
        <v>0</v>
      </c>
      <c r="J1210" s="504">
        <v>0</v>
      </c>
      <c r="K1210" s="504">
        <v>3</v>
      </c>
      <c r="L1210" s="504">
        <v>5</v>
      </c>
      <c r="M1210" s="504">
        <v>15</v>
      </c>
      <c r="N1210" s="504">
        <v>20</v>
      </c>
      <c r="O1210" s="110">
        <v>21</v>
      </c>
      <c r="P1210" s="109">
        <f>MIN(F1210:O1210)</f>
        <v>0</v>
      </c>
      <c r="Q1210" s="504">
        <f>E1210-P1210</f>
        <v>52</v>
      </c>
      <c r="R1210" s="107">
        <f>Q1210/E1210</f>
        <v>1</v>
      </c>
      <c r="S1210" s="503"/>
    </row>
    <row r="1211" spans="1:19" ht="9.75" customHeight="1">
      <c r="A1211" s="503"/>
      <c r="B1211" s="503"/>
      <c r="C1211" s="13"/>
      <c r="D1211" s="13" t="s">
        <v>120</v>
      </c>
      <c r="E1211" s="13"/>
      <c r="F1211" s="109"/>
      <c r="G1211" s="504"/>
      <c r="H1211" s="504"/>
      <c r="I1211" s="504"/>
      <c r="J1211" s="504"/>
      <c r="K1211" s="504"/>
      <c r="L1211" s="504"/>
      <c r="M1211" s="504"/>
      <c r="N1211" s="504"/>
      <c r="O1211" s="110"/>
      <c r="P1211" s="109"/>
      <c r="Q1211" s="504"/>
      <c r="R1211" s="107"/>
      <c r="S1211" s="503"/>
    </row>
    <row r="1212" spans="1:19" ht="9.75" customHeight="1">
      <c r="A1212" s="503"/>
      <c r="B1212" s="503"/>
      <c r="C1212" s="13"/>
      <c r="D1212" s="13" t="s">
        <v>120</v>
      </c>
      <c r="E1212" s="13"/>
      <c r="F1212" s="109"/>
      <c r="G1212" s="504"/>
      <c r="H1212" s="504"/>
      <c r="I1212" s="504"/>
      <c r="J1212" s="504"/>
      <c r="K1212" s="504"/>
      <c r="L1212" s="504"/>
      <c r="M1212" s="504"/>
      <c r="N1212" s="504"/>
      <c r="O1212" s="110"/>
      <c r="P1212" s="109"/>
      <c r="Q1212" s="504"/>
      <c r="R1212" s="107"/>
      <c r="S1212" s="503"/>
    </row>
    <row r="1213" spans="1:19" ht="9.75" customHeight="1">
      <c r="A1213" s="503"/>
      <c r="B1213" s="503"/>
      <c r="C1213" s="13"/>
      <c r="D1213" s="13" t="s">
        <v>120</v>
      </c>
      <c r="E1213" s="13"/>
      <c r="F1213" s="109"/>
      <c r="G1213" s="504"/>
      <c r="H1213" s="504"/>
      <c r="I1213" s="504"/>
      <c r="J1213" s="504"/>
      <c r="K1213" s="504"/>
      <c r="L1213" s="504"/>
      <c r="M1213" s="504"/>
      <c r="N1213" s="504"/>
      <c r="O1213" s="110"/>
      <c r="P1213" s="109"/>
      <c r="Q1213" s="504"/>
      <c r="R1213" s="107"/>
      <c r="S1213" s="503"/>
    </row>
    <row r="1214" spans="1:19" ht="9.75" customHeight="1">
      <c r="A1214" s="503"/>
      <c r="B1214" s="503"/>
      <c r="C1214" s="13"/>
      <c r="D1214" s="13" t="s">
        <v>120</v>
      </c>
      <c r="E1214" s="13"/>
      <c r="F1214" s="109"/>
      <c r="G1214" s="504"/>
      <c r="H1214" s="504"/>
      <c r="I1214" s="504"/>
      <c r="J1214" s="504"/>
      <c r="K1214" s="504"/>
      <c r="L1214" s="504"/>
      <c r="M1214" s="504"/>
      <c r="N1214" s="504"/>
      <c r="O1214" s="110"/>
      <c r="P1214" s="109"/>
      <c r="Q1214" s="504"/>
      <c r="R1214" s="107"/>
      <c r="S1214" s="503"/>
    </row>
    <row r="1215" spans="1:19" ht="9.75" customHeight="1">
      <c r="A1215" s="503"/>
      <c r="B1215" s="503"/>
      <c r="C1215" s="13"/>
      <c r="D1215" s="13" t="s">
        <v>120</v>
      </c>
      <c r="E1215" s="13"/>
      <c r="F1215" s="109"/>
      <c r="G1215" s="504"/>
      <c r="H1215" s="504"/>
      <c r="I1215" s="504"/>
      <c r="J1215" s="504"/>
      <c r="K1215" s="504"/>
      <c r="L1215" s="504"/>
      <c r="M1215" s="504"/>
      <c r="N1215" s="504"/>
      <c r="O1215" s="110"/>
      <c r="P1215" s="109"/>
      <c r="Q1215" s="504"/>
      <c r="R1215" s="107"/>
      <c r="S1215" s="503"/>
    </row>
    <row r="1216" spans="1:19" ht="9.75" customHeight="1">
      <c r="A1216" s="503"/>
      <c r="B1216" s="503"/>
      <c r="C1216" s="13"/>
      <c r="D1216" s="13" t="s">
        <v>34</v>
      </c>
      <c r="E1216" s="13"/>
      <c r="F1216" s="109"/>
      <c r="G1216" s="504"/>
      <c r="H1216" s="504"/>
      <c r="I1216" s="504"/>
      <c r="J1216" s="504"/>
      <c r="K1216" s="504"/>
      <c r="L1216" s="504"/>
      <c r="M1216" s="504"/>
      <c r="N1216" s="504"/>
      <c r="O1216" s="110"/>
      <c r="P1216" s="109"/>
      <c r="Q1216" s="504"/>
      <c r="R1216" s="107"/>
      <c r="S1216" s="503"/>
    </row>
    <row r="1217" spans="1:19" ht="9.75" customHeight="1">
      <c r="A1217" s="503"/>
      <c r="B1217" s="503"/>
      <c r="C1217" s="13"/>
      <c r="D1217" s="13" t="s">
        <v>35</v>
      </c>
      <c r="E1217" s="13"/>
      <c r="F1217" s="109"/>
      <c r="G1217" s="504"/>
      <c r="H1217" s="504"/>
      <c r="I1217" s="504"/>
      <c r="J1217" s="504"/>
      <c r="K1217" s="504"/>
      <c r="L1217" s="504"/>
      <c r="M1217" s="504"/>
      <c r="N1217" s="504"/>
      <c r="O1217" s="110"/>
      <c r="P1217" s="109"/>
      <c r="Q1217" s="504"/>
      <c r="R1217" s="107"/>
      <c r="S1217" s="503"/>
    </row>
    <row r="1218" spans="1:19" ht="9.75" customHeight="1">
      <c r="A1218" s="503"/>
      <c r="B1218" s="503"/>
      <c r="C1218" s="13"/>
      <c r="D1218" s="13" t="s">
        <v>36</v>
      </c>
      <c r="E1218" s="13"/>
      <c r="F1218" s="109"/>
      <c r="G1218" s="504"/>
      <c r="H1218" s="504"/>
      <c r="I1218" s="504"/>
      <c r="J1218" s="504"/>
      <c r="K1218" s="504"/>
      <c r="L1218" s="504"/>
      <c r="M1218" s="504"/>
      <c r="N1218" s="504"/>
      <c r="O1218" s="110"/>
      <c r="P1218" s="109"/>
      <c r="Q1218" s="504"/>
      <c r="R1218" s="107"/>
      <c r="S1218" s="503"/>
    </row>
    <row r="1219" spans="1:19" ht="9.75" customHeight="1">
      <c r="A1219" s="503"/>
      <c r="B1219" s="503"/>
      <c r="C1219" s="13"/>
      <c r="D1219" s="13" t="s">
        <v>37</v>
      </c>
      <c r="E1219" s="13"/>
      <c r="F1219" s="109"/>
      <c r="G1219" s="504"/>
      <c r="H1219" s="504"/>
      <c r="I1219" s="504"/>
      <c r="J1219" s="504"/>
      <c r="K1219" s="504"/>
      <c r="L1219" s="504"/>
      <c r="M1219" s="504"/>
      <c r="N1219" s="504"/>
      <c r="O1219" s="110"/>
      <c r="P1219" s="109"/>
      <c r="Q1219" s="504"/>
      <c r="R1219" s="107"/>
      <c r="S1219" s="503"/>
    </row>
    <row r="1220" spans="1:19" ht="9.75" customHeight="1">
      <c r="A1220" s="503"/>
      <c r="B1220" s="503" t="s">
        <v>127</v>
      </c>
      <c r="C1220" s="2"/>
      <c r="D1220" s="3" t="s">
        <v>38</v>
      </c>
      <c r="E1220" s="3">
        <f t="shared" ref="E1220:O1220" si="227">SUM(E1204:E1219)</f>
        <v>186</v>
      </c>
      <c r="F1220" s="21">
        <f t="shared" si="227"/>
        <v>127</v>
      </c>
      <c r="G1220" s="71">
        <f t="shared" si="227"/>
        <v>126</v>
      </c>
      <c r="H1220" s="71">
        <f t="shared" si="227"/>
        <v>120</v>
      </c>
      <c r="I1220" s="71">
        <f t="shared" si="227"/>
        <v>119</v>
      </c>
      <c r="J1220" s="71">
        <f t="shared" si="227"/>
        <v>114</v>
      </c>
      <c r="K1220" s="71">
        <f t="shared" si="227"/>
        <v>112</v>
      </c>
      <c r="L1220" s="71">
        <f t="shared" si="227"/>
        <v>126</v>
      </c>
      <c r="M1220" s="71">
        <f t="shared" si="227"/>
        <v>137</v>
      </c>
      <c r="N1220" s="71">
        <f t="shared" si="227"/>
        <v>149</v>
      </c>
      <c r="O1220" s="26">
        <f t="shared" si="227"/>
        <v>152</v>
      </c>
      <c r="P1220" s="21">
        <f>MIN(F1220:O1220)</f>
        <v>112</v>
      </c>
      <c r="Q1220" s="71">
        <f>E1220-P1220</f>
        <v>74</v>
      </c>
      <c r="R1220" s="7">
        <f>Q1220/E1220</f>
        <v>0.39784946236559138</v>
      </c>
      <c r="S1220" s="503"/>
    </row>
    <row r="1221" spans="1:19" ht="9.75" customHeight="1">
      <c r="A1221" s="503"/>
      <c r="B1221" s="503"/>
      <c r="C1221" s="43" t="s">
        <v>255</v>
      </c>
      <c r="D1221" s="43" t="s">
        <v>23</v>
      </c>
      <c r="E1221" s="43"/>
      <c r="F1221" s="116"/>
      <c r="G1221" s="128"/>
      <c r="H1221" s="128"/>
      <c r="I1221" s="128"/>
      <c r="J1221" s="128"/>
      <c r="K1221" s="128"/>
      <c r="L1221" s="128"/>
      <c r="M1221" s="128"/>
      <c r="N1221" s="128"/>
      <c r="O1221" s="129"/>
      <c r="P1221" s="116"/>
      <c r="Q1221" s="128"/>
      <c r="R1221" s="141"/>
      <c r="S1221" s="503"/>
    </row>
    <row r="1222" spans="1:19" ht="9.75" customHeight="1">
      <c r="A1222" s="503"/>
      <c r="B1222" s="503"/>
      <c r="C1222" s="13"/>
      <c r="D1222" s="13" t="s">
        <v>25</v>
      </c>
      <c r="E1222" s="13"/>
      <c r="F1222" s="109"/>
      <c r="G1222" s="504"/>
      <c r="H1222" s="504"/>
      <c r="I1222" s="504"/>
      <c r="J1222" s="504"/>
      <c r="K1222" s="504"/>
      <c r="L1222" s="504"/>
      <c r="M1222" s="504"/>
      <c r="N1222" s="504"/>
      <c r="O1222" s="110"/>
      <c r="P1222" s="109"/>
      <c r="Q1222" s="504"/>
      <c r="R1222" s="107"/>
      <c r="S1222" s="503"/>
    </row>
    <row r="1223" spans="1:19" ht="9.75" customHeight="1">
      <c r="A1223" s="503"/>
      <c r="B1223" s="503"/>
      <c r="C1223" s="13"/>
      <c r="D1223" s="13" t="s">
        <v>27</v>
      </c>
      <c r="E1223" s="13"/>
      <c r="F1223" s="109"/>
      <c r="G1223" s="504"/>
      <c r="H1223" s="504"/>
      <c r="I1223" s="504"/>
      <c r="J1223" s="504"/>
      <c r="K1223" s="504"/>
      <c r="L1223" s="504"/>
      <c r="M1223" s="504"/>
      <c r="N1223" s="504"/>
      <c r="O1223" s="110"/>
      <c r="P1223" s="109"/>
      <c r="Q1223" s="504"/>
      <c r="R1223" s="107"/>
      <c r="S1223" s="503"/>
    </row>
    <row r="1224" spans="1:19" ht="9.75" customHeight="1">
      <c r="A1224" s="503"/>
      <c r="B1224" s="503"/>
      <c r="C1224" s="13"/>
      <c r="D1224" s="13" t="s">
        <v>173</v>
      </c>
      <c r="E1224" s="13">
        <v>222</v>
      </c>
      <c r="F1224" s="109">
        <f>E1224-30</f>
        <v>192</v>
      </c>
      <c r="G1224" s="504">
        <f>E1224-32</f>
        <v>190</v>
      </c>
      <c r="H1224" s="504">
        <f>E1224-66</f>
        <v>156</v>
      </c>
      <c r="I1224" s="504">
        <f>E1224-70</f>
        <v>152</v>
      </c>
      <c r="J1224" s="504">
        <f>E1224-75</f>
        <v>147</v>
      </c>
      <c r="K1224" s="504">
        <f>E1224-80</f>
        <v>142</v>
      </c>
      <c r="L1224" s="504">
        <f>E1224-77</f>
        <v>145</v>
      </c>
      <c r="M1224" s="504">
        <f>E1224-39</f>
        <v>183</v>
      </c>
      <c r="N1224" s="504">
        <f>E1224-14</f>
        <v>208</v>
      </c>
      <c r="O1224" s="110">
        <f>E1224-15</f>
        <v>207</v>
      </c>
      <c r="P1224" s="109">
        <f>MIN(F1224:O1224)</f>
        <v>142</v>
      </c>
      <c r="Q1224" s="504">
        <f>E1224-P1224</f>
        <v>80</v>
      </c>
      <c r="R1224" s="107">
        <f>Q1224/E1224</f>
        <v>0.36036036036036034</v>
      </c>
      <c r="S1224" s="503"/>
    </row>
    <row r="1225" spans="1:19" ht="9.75" customHeight="1">
      <c r="A1225" s="503"/>
      <c r="B1225" s="503"/>
      <c r="C1225" s="13"/>
      <c r="D1225" s="13" t="s">
        <v>115</v>
      </c>
      <c r="E1225" s="13"/>
      <c r="F1225" s="109"/>
      <c r="G1225" s="504"/>
      <c r="H1225" s="504"/>
      <c r="I1225" s="504"/>
      <c r="J1225" s="504"/>
      <c r="K1225" s="504"/>
      <c r="L1225" s="504"/>
      <c r="M1225" s="504"/>
      <c r="N1225" s="504"/>
      <c r="O1225" s="110"/>
      <c r="P1225" s="109"/>
      <c r="Q1225" s="504"/>
      <c r="R1225" s="107"/>
      <c r="S1225" s="503"/>
    </row>
    <row r="1226" spans="1:19" ht="9.75" customHeight="1">
      <c r="A1226" s="503"/>
      <c r="B1226" s="503"/>
      <c r="C1226" s="13"/>
      <c r="D1226" s="13" t="s">
        <v>32</v>
      </c>
      <c r="E1226" s="13">
        <v>6</v>
      </c>
      <c r="F1226" s="109">
        <v>3</v>
      </c>
      <c r="G1226" s="504">
        <v>3</v>
      </c>
      <c r="H1226" s="504">
        <v>1</v>
      </c>
      <c r="I1226" s="504">
        <v>1</v>
      </c>
      <c r="J1226" s="504">
        <v>1</v>
      </c>
      <c r="K1226" s="504">
        <v>1</v>
      </c>
      <c r="L1226" s="504">
        <v>3</v>
      </c>
      <c r="M1226" s="504">
        <v>3</v>
      </c>
      <c r="N1226" s="504">
        <v>3</v>
      </c>
      <c r="O1226" s="110">
        <v>3</v>
      </c>
      <c r="P1226" s="109">
        <f>MIN(F1226:O1226)</f>
        <v>1</v>
      </c>
      <c r="Q1226" s="504">
        <f>E1226-P1226</f>
        <v>5</v>
      </c>
      <c r="R1226" s="107">
        <f>Q1226/E1226</f>
        <v>0.83333333333333337</v>
      </c>
      <c r="S1226" s="503"/>
    </row>
    <row r="1227" spans="1:19" ht="9.75" customHeight="1">
      <c r="A1227" s="503"/>
      <c r="B1227" s="503"/>
      <c r="C1227" s="13"/>
      <c r="D1227" s="13" t="s">
        <v>120</v>
      </c>
      <c r="E1227" s="13"/>
      <c r="F1227" s="109"/>
      <c r="G1227" s="504"/>
      <c r="H1227" s="504"/>
      <c r="I1227" s="504"/>
      <c r="J1227" s="504"/>
      <c r="K1227" s="504"/>
      <c r="L1227" s="504"/>
      <c r="M1227" s="504"/>
      <c r="N1227" s="504"/>
      <c r="O1227" s="110"/>
      <c r="P1227" s="109"/>
      <c r="Q1227" s="504"/>
      <c r="R1227" s="107"/>
      <c r="S1227" s="503"/>
    </row>
    <row r="1228" spans="1:19" ht="9.75" customHeight="1">
      <c r="A1228" s="503"/>
      <c r="B1228" s="503"/>
      <c r="C1228" s="13"/>
      <c r="D1228" s="13" t="s">
        <v>120</v>
      </c>
      <c r="E1228" s="13"/>
      <c r="F1228" s="109"/>
      <c r="G1228" s="504"/>
      <c r="H1228" s="504"/>
      <c r="I1228" s="504"/>
      <c r="J1228" s="504"/>
      <c r="K1228" s="504"/>
      <c r="L1228" s="504"/>
      <c r="M1228" s="504"/>
      <c r="N1228" s="504"/>
      <c r="O1228" s="110"/>
      <c r="P1228" s="109"/>
      <c r="Q1228" s="504"/>
      <c r="R1228" s="107"/>
      <c r="S1228" s="503"/>
    </row>
    <row r="1229" spans="1:19" ht="9.75" customHeight="1">
      <c r="A1229" s="503"/>
      <c r="B1229" s="503"/>
      <c r="C1229" s="13"/>
      <c r="D1229" s="13" t="s">
        <v>120</v>
      </c>
      <c r="E1229" s="13"/>
      <c r="F1229" s="109"/>
      <c r="G1229" s="504"/>
      <c r="H1229" s="504"/>
      <c r="I1229" s="504"/>
      <c r="J1229" s="504"/>
      <c r="K1229" s="504"/>
      <c r="L1229" s="504"/>
      <c r="M1229" s="504"/>
      <c r="N1229" s="504"/>
      <c r="O1229" s="110"/>
      <c r="P1229" s="109"/>
      <c r="Q1229" s="504"/>
      <c r="R1229" s="107"/>
      <c r="S1229" s="503"/>
    </row>
    <row r="1230" spans="1:19" ht="9.75" customHeight="1">
      <c r="A1230" s="503"/>
      <c r="B1230" s="503"/>
      <c r="C1230" s="13"/>
      <c r="D1230" s="13" t="s">
        <v>120</v>
      </c>
      <c r="E1230" s="13"/>
      <c r="F1230" s="109"/>
      <c r="G1230" s="504"/>
      <c r="H1230" s="504"/>
      <c r="I1230" s="504"/>
      <c r="J1230" s="504"/>
      <c r="K1230" s="504"/>
      <c r="L1230" s="504"/>
      <c r="M1230" s="504"/>
      <c r="N1230" s="504"/>
      <c r="O1230" s="110"/>
      <c r="P1230" s="109"/>
      <c r="Q1230" s="504"/>
      <c r="R1230" s="107"/>
      <c r="S1230" s="503"/>
    </row>
    <row r="1231" spans="1:19" ht="9.75" customHeight="1">
      <c r="A1231" s="503"/>
      <c r="B1231" s="503"/>
      <c r="C1231" s="13"/>
      <c r="D1231" s="13" t="s">
        <v>120</v>
      </c>
      <c r="E1231" s="13"/>
      <c r="F1231" s="109"/>
      <c r="G1231" s="504"/>
      <c r="H1231" s="504"/>
      <c r="I1231" s="504"/>
      <c r="J1231" s="504"/>
      <c r="K1231" s="504"/>
      <c r="L1231" s="504"/>
      <c r="M1231" s="504"/>
      <c r="N1231" s="504"/>
      <c r="O1231" s="110"/>
      <c r="P1231" s="109"/>
      <c r="Q1231" s="504"/>
      <c r="R1231" s="107"/>
      <c r="S1231" s="503"/>
    </row>
    <row r="1232" spans="1:19" ht="9.75" customHeight="1">
      <c r="A1232" s="503"/>
      <c r="B1232" s="503"/>
      <c r="C1232" s="13"/>
      <c r="D1232" s="13" t="s">
        <v>120</v>
      </c>
      <c r="E1232" s="13"/>
      <c r="F1232" s="109"/>
      <c r="G1232" s="504"/>
      <c r="H1232" s="504"/>
      <c r="I1232" s="504"/>
      <c r="J1232" s="504"/>
      <c r="K1232" s="504"/>
      <c r="L1232" s="504"/>
      <c r="M1232" s="504"/>
      <c r="N1232" s="504"/>
      <c r="O1232" s="110"/>
      <c r="P1232" s="109"/>
      <c r="Q1232" s="504"/>
      <c r="R1232" s="107"/>
      <c r="S1232" s="503"/>
    </row>
    <row r="1233" spans="1:19" ht="9.75" customHeight="1">
      <c r="A1233" s="503"/>
      <c r="B1233" s="503"/>
      <c r="C1233" s="13"/>
      <c r="D1233" s="13" t="s">
        <v>34</v>
      </c>
      <c r="E1233" s="13">
        <v>10</v>
      </c>
      <c r="F1233" s="109">
        <v>7</v>
      </c>
      <c r="G1233" s="504">
        <v>7</v>
      </c>
      <c r="H1233" s="504">
        <v>7</v>
      </c>
      <c r="I1233" s="504">
        <v>7</v>
      </c>
      <c r="J1233" s="504">
        <v>7</v>
      </c>
      <c r="K1233" s="504">
        <v>7</v>
      </c>
      <c r="L1233" s="504">
        <v>8</v>
      </c>
      <c r="M1233" s="504">
        <v>8</v>
      </c>
      <c r="N1233" s="504">
        <v>10</v>
      </c>
      <c r="O1233" s="110">
        <v>10</v>
      </c>
      <c r="P1233" s="109">
        <f>MIN(F1233:O1233)</f>
        <v>7</v>
      </c>
      <c r="Q1233" s="504">
        <f>E1233-P1233</f>
        <v>3</v>
      </c>
      <c r="R1233" s="107">
        <f>Q1233/E1233</f>
        <v>0.3</v>
      </c>
      <c r="S1233" s="503"/>
    </row>
    <row r="1234" spans="1:19" ht="9.75" customHeight="1">
      <c r="A1234" s="503"/>
      <c r="B1234" s="503"/>
      <c r="C1234" s="13"/>
      <c r="D1234" s="13" t="s">
        <v>35</v>
      </c>
      <c r="E1234" s="13"/>
      <c r="F1234" s="109"/>
      <c r="G1234" s="504"/>
      <c r="H1234" s="504"/>
      <c r="I1234" s="504"/>
      <c r="J1234" s="504"/>
      <c r="K1234" s="504"/>
      <c r="L1234" s="504"/>
      <c r="M1234" s="504"/>
      <c r="N1234" s="504"/>
      <c r="O1234" s="110"/>
      <c r="P1234" s="109"/>
      <c r="Q1234" s="504"/>
      <c r="R1234" s="107"/>
      <c r="S1234" s="503"/>
    </row>
    <row r="1235" spans="1:19" ht="9.75" customHeight="1">
      <c r="A1235" s="503"/>
      <c r="B1235" s="503"/>
      <c r="C1235" s="13"/>
      <c r="D1235" s="13" t="s">
        <v>36</v>
      </c>
      <c r="E1235" s="13"/>
      <c r="F1235" s="109"/>
      <c r="G1235" s="504"/>
      <c r="H1235" s="504"/>
      <c r="I1235" s="504"/>
      <c r="J1235" s="504"/>
      <c r="K1235" s="504"/>
      <c r="L1235" s="504"/>
      <c r="M1235" s="504"/>
      <c r="N1235" s="504"/>
      <c r="O1235" s="110"/>
      <c r="P1235" s="109"/>
      <c r="Q1235" s="504"/>
      <c r="R1235" s="107"/>
      <c r="S1235" s="503"/>
    </row>
    <row r="1236" spans="1:19" ht="9.75" customHeight="1">
      <c r="A1236" s="503"/>
      <c r="B1236" s="503"/>
      <c r="C1236" s="13"/>
      <c r="D1236" s="13" t="s">
        <v>37</v>
      </c>
      <c r="E1236" s="13"/>
      <c r="F1236" s="109"/>
      <c r="G1236" s="504"/>
      <c r="H1236" s="504"/>
      <c r="I1236" s="504"/>
      <c r="J1236" s="504"/>
      <c r="K1236" s="504"/>
      <c r="L1236" s="504"/>
      <c r="M1236" s="504"/>
      <c r="N1236" s="504"/>
      <c r="O1236" s="110"/>
      <c r="P1236" s="109"/>
      <c r="Q1236" s="504"/>
      <c r="R1236" s="107"/>
      <c r="S1236" s="503"/>
    </row>
    <row r="1237" spans="1:19" ht="9.75" customHeight="1">
      <c r="A1237" s="503"/>
      <c r="B1237" s="503" t="s">
        <v>127</v>
      </c>
      <c r="C1237" s="2"/>
      <c r="D1237" s="3" t="s">
        <v>38</v>
      </c>
      <c r="E1237" s="3">
        <f t="shared" ref="E1237:O1237" si="228">SUM(E1221:E1236)</f>
        <v>238</v>
      </c>
      <c r="F1237" s="21">
        <f t="shared" si="228"/>
        <v>202</v>
      </c>
      <c r="G1237" s="71">
        <f t="shared" si="228"/>
        <v>200</v>
      </c>
      <c r="H1237" s="71">
        <f t="shared" si="228"/>
        <v>164</v>
      </c>
      <c r="I1237" s="71">
        <f t="shared" si="228"/>
        <v>160</v>
      </c>
      <c r="J1237" s="71">
        <f t="shared" si="228"/>
        <v>155</v>
      </c>
      <c r="K1237" s="71">
        <f t="shared" si="228"/>
        <v>150</v>
      </c>
      <c r="L1237" s="71">
        <f t="shared" si="228"/>
        <v>156</v>
      </c>
      <c r="M1237" s="71">
        <f t="shared" si="228"/>
        <v>194</v>
      </c>
      <c r="N1237" s="71">
        <f t="shared" si="228"/>
        <v>221</v>
      </c>
      <c r="O1237" s="26">
        <f t="shared" si="228"/>
        <v>220</v>
      </c>
      <c r="P1237" s="21">
        <f>MIN(F1237:O1237)</f>
        <v>150</v>
      </c>
      <c r="Q1237" s="71">
        <f>E1237-P1237</f>
        <v>88</v>
      </c>
      <c r="R1237" s="7">
        <f>Q1237/E1237</f>
        <v>0.36974789915966388</v>
      </c>
      <c r="S1237" s="503"/>
    </row>
    <row r="1238" spans="1:19" ht="9.75" customHeight="1">
      <c r="A1238" s="503"/>
      <c r="B1238" s="503"/>
      <c r="C1238" s="43" t="s">
        <v>256</v>
      </c>
      <c r="D1238" s="43" t="s">
        <v>23</v>
      </c>
      <c r="E1238" s="43"/>
      <c r="F1238" s="116"/>
      <c r="G1238" s="128"/>
      <c r="H1238" s="128"/>
      <c r="I1238" s="128"/>
      <c r="J1238" s="128"/>
      <c r="K1238" s="128"/>
      <c r="L1238" s="128"/>
      <c r="M1238" s="128"/>
      <c r="N1238" s="128"/>
      <c r="O1238" s="129"/>
      <c r="P1238" s="116"/>
      <c r="Q1238" s="128"/>
      <c r="R1238" s="141"/>
      <c r="S1238" s="503"/>
    </row>
    <row r="1239" spans="1:19" ht="9.75" customHeight="1">
      <c r="A1239" s="503"/>
      <c r="B1239" s="503"/>
      <c r="C1239" s="13"/>
      <c r="D1239" s="13" t="s">
        <v>25</v>
      </c>
      <c r="E1239" s="13"/>
      <c r="F1239" s="109"/>
      <c r="G1239" s="504"/>
      <c r="H1239" s="504"/>
      <c r="I1239" s="504"/>
      <c r="J1239" s="504"/>
      <c r="K1239" s="504"/>
      <c r="L1239" s="504"/>
      <c r="M1239" s="504"/>
      <c r="N1239" s="504"/>
      <c r="O1239" s="110"/>
      <c r="P1239" s="109"/>
      <c r="Q1239" s="504"/>
      <c r="R1239" s="107"/>
      <c r="S1239" s="503"/>
    </row>
    <row r="1240" spans="1:19" ht="9.75" customHeight="1">
      <c r="A1240" s="503"/>
      <c r="B1240" s="503"/>
      <c r="C1240" s="13"/>
      <c r="D1240" s="13" t="s">
        <v>43</v>
      </c>
      <c r="E1240" s="13">
        <v>398</v>
      </c>
      <c r="F1240" s="109">
        <v>396</v>
      </c>
      <c r="G1240" s="504">
        <v>396</v>
      </c>
      <c r="H1240" s="504">
        <v>396</v>
      </c>
      <c r="I1240" s="504">
        <v>396</v>
      </c>
      <c r="J1240" s="504">
        <v>395</v>
      </c>
      <c r="K1240" s="504">
        <v>393</v>
      </c>
      <c r="L1240" s="504">
        <v>395</v>
      </c>
      <c r="M1240" s="504">
        <v>388</v>
      </c>
      <c r="N1240" s="504">
        <v>387</v>
      </c>
      <c r="O1240" s="110">
        <v>397</v>
      </c>
      <c r="P1240" s="109">
        <f>MIN(F1240:O1240)</f>
        <v>387</v>
      </c>
      <c r="Q1240" s="504">
        <f>E1240-P1240</f>
        <v>11</v>
      </c>
      <c r="R1240" s="107">
        <f>Q1240/E1240</f>
        <v>2.7638190954773871E-2</v>
      </c>
      <c r="S1240" s="503"/>
    </row>
    <row r="1241" spans="1:19" ht="9.75" customHeight="1">
      <c r="A1241" s="503"/>
      <c r="B1241" s="503"/>
      <c r="C1241" s="13"/>
      <c r="D1241" s="13" t="s">
        <v>115</v>
      </c>
      <c r="E1241" s="13"/>
      <c r="F1241" s="109"/>
      <c r="G1241" s="504"/>
      <c r="H1241" s="504"/>
      <c r="I1241" s="504"/>
      <c r="J1241" s="504"/>
      <c r="K1241" s="504"/>
      <c r="L1241" s="504"/>
      <c r="M1241" s="504"/>
      <c r="N1241" s="504"/>
      <c r="O1241" s="110"/>
      <c r="P1241" s="109"/>
      <c r="Q1241" s="504"/>
      <c r="R1241" s="107"/>
      <c r="S1241" s="503"/>
    </row>
    <row r="1242" spans="1:19" ht="9.75" customHeight="1">
      <c r="A1242" s="503"/>
      <c r="B1242" s="503"/>
      <c r="C1242" s="13"/>
      <c r="D1242" s="13" t="s">
        <v>115</v>
      </c>
      <c r="E1242" s="13"/>
      <c r="F1242" s="109"/>
      <c r="G1242" s="504"/>
      <c r="H1242" s="504"/>
      <c r="I1242" s="504"/>
      <c r="J1242" s="504"/>
      <c r="K1242" s="504"/>
      <c r="L1242" s="504"/>
      <c r="M1242" s="504"/>
      <c r="N1242" s="504"/>
      <c r="O1242" s="110"/>
      <c r="P1242" s="109"/>
      <c r="Q1242" s="504"/>
      <c r="R1242" s="107"/>
      <c r="S1242" s="503"/>
    </row>
    <row r="1243" spans="1:19" ht="9.75" customHeight="1">
      <c r="A1243" s="503"/>
      <c r="B1243" s="503"/>
      <c r="C1243" s="13"/>
      <c r="D1243" s="13" t="s">
        <v>32</v>
      </c>
      <c r="E1243" s="13"/>
      <c r="F1243" s="109"/>
      <c r="G1243" s="504"/>
      <c r="H1243" s="504"/>
      <c r="I1243" s="504"/>
      <c r="J1243" s="504"/>
      <c r="K1243" s="504"/>
      <c r="L1243" s="504"/>
      <c r="M1243" s="504"/>
      <c r="N1243" s="504"/>
      <c r="O1243" s="110"/>
      <c r="P1243" s="109"/>
      <c r="Q1243" s="504"/>
      <c r="R1243" s="107"/>
      <c r="S1243" s="503"/>
    </row>
    <row r="1244" spans="1:19" ht="9.75" customHeight="1">
      <c r="A1244" s="503"/>
      <c r="B1244" s="503"/>
      <c r="C1244" s="13"/>
      <c r="D1244" s="13" t="s">
        <v>120</v>
      </c>
      <c r="E1244" s="13"/>
      <c r="F1244" s="109"/>
      <c r="G1244" s="504"/>
      <c r="H1244" s="504"/>
      <c r="I1244" s="504"/>
      <c r="J1244" s="504"/>
      <c r="K1244" s="504"/>
      <c r="L1244" s="504"/>
      <c r="M1244" s="504"/>
      <c r="N1244" s="504"/>
      <c r="O1244" s="110"/>
      <c r="P1244" s="109"/>
      <c r="Q1244" s="504"/>
      <c r="R1244" s="107"/>
      <c r="S1244" s="503"/>
    </row>
    <row r="1245" spans="1:19" ht="9.75" customHeight="1">
      <c r="A1245" s="503"/>
      <c r="B1245" s="503"/>
      <c r="C1245" s="13"/>
      <c r="D1245" s="13" t="s">
        <v>120</v>
      </c>
      <c r="E1245" s="13"/>
      <c r="F1245" s="109"/>
      <c r="G1245" s="504"/>
      <c r="H1245" s="504"/>
      <c r="I1245" s="504"/>
      <c r="J1245" s="504"/>
      <c r="K1245" s="504"/>
      <c r="L1245" s="504"/>
      <c r="M1245" s="504"/>
      <c r="N1245" s="504"/>
      <c r="O1245" s="110"/>
      <c r="P1245" s="109"/>
      <c r="Q1245" s="504"/>
      <c r="R1245" s="107"/>
      <c r="S1245" s="503"/>
    </row>
    <row r="1246" spans="1:19" ht="9.75" customHeight="1">
      <c r="A1246" s="503"/>
      <c r="B1246" s="503"/>
      <c r="C1246" s="13"/>
      <c r="D1246" s="13" t="s">
        <v>120</v>
      </c>
      <c r="E1246" s="13"/>
      <c r="F1246" s="109"/>
      <c r="G1246" s="504"/>
      <c r="H1246" s="504"/>
      <c r="I1246" s="504"/>
      <c r="J1246" s="504"/>
      <c r="K1246" s="504"/>
      <c r="L1246" s="504"/>
      <c r="M1246" s="504"/>
      <c r="N1246" s="504"/>
      <c r="O1246" s="110"/>
      <c r="P1246" s="109"/>
      <c r="Q1246" s="504"/>
      <c r="R1246" s="107"/>
      <c r="S1246" s="503"/>
    </row>
    <row r="1247" spans="1:19" ht="9.75" customHeight="1">
      <c r="A1247" s="503"/>
      <c r="B1247" s="503"/>
      <c r="C1247" s="13"/>
      <c r="D1247" s="13" t="s">
        <v>120</v>
      </c>
      <c r="E1247" s="13"/>
      <c r="F1247" s="109"/>
      <c r="G1247" s="504"/>
      <c r="H1247" s="504"/>
      <c r="I1247" s="504"/>
      <c r="J1247" s="504"/>
      <c r="K1247" s="504"/>
      <c r="L1247" s="504"/>
      <c r="M1247" s="504"/>
      <c r="N1247" s="504"/>
      <c r="O1247" s="110"/>
      <c r="P1247" s="109"/>
      <c r="Q1247" s="504"/>
      <c r="R1247" s="107"/>
      <c r="S1247" s="503"/>
    </row>
    <row r="1248" spans="1:19" ht="9.75" customHeight="1">
      <c r="A1248" s="503"/>
      <c r="B1248" s="503"/>
      <c r="C1248" s="13"/>
      <c r="D1248" s="13" t="s">
        <v>120</v>
      </c>
      <c r="E1248" s="13"/>
      <c r="F1248" s="109"/>
      <c r="G1248" s="504"/>
      <c r="H1248" s="504"/>
      <c r="I1248" s="504"/>
      <c r="J1248" s="504"/>
      <c r="K1248" s="504"/>
      <c r="L1248" s="504"/>
      <c r="M1248" s="504"/>
      <c r="N1248" s="504"/>
      <c r="O1248" s="110"/>
      <c r="P1248" s="109"/>
      <c r="Q1248" s="504"/>
      <c r="R1248" s="107"/>
      <c r="S1248" s="503"/>
    </row>
    <row r="1249" spans="1:19" ht="9.75" customHeight="1">
      <c r="A1249" s="503"/>
      <c r="B1249" s="503"/>
      <c r="C1249" s="13"/>
      <c r="D1249" s="13" t="s">
        <v>120</v>
      </c>
      <c r="E1249" s="13"/>
      <c r="F1249" s="109"/>
      <c r="G1249" s="504"/>
      <c r="H1249" s="504"/>
      <c r="I1249" s="504"/>
      <c r="J1249" s="504"/>
      <c r="K1249" s="504"/>
      <c r="L1249" s="504"/>
      <c r="M1249" s="504"/>
      <c r="N1249" s="504"/>
      <c r="O1249" s="110"/>
      <c r="P1249" s="109"/>
      <c r="Q1249" s="504"/>
      <c r="R1249" s="107"/>
      <c r="S1249" s="503"/>
    </row>
    <row r="1250" spans="1:19" ht="9.75" customHeight="1">
      <c r="A1250" s="503"/>
      <c r="B1250" s="503"/>
      <c r="C1250" s="13"/>
      <c r="D1250" s="13" t="s">
        <v>34</v>
      </c>
      <c r="E1250" s="13"/>
      <c r="F1250" s="109"/>
      <c r="G1250" s="504"/>
      <c r="H1250" s="504"/>
      <c r="I1250" s="504"/>
      <c r="J1250" s="504"/>
      <c r="K1250" s="504"/>
      <c r="L1250" s="504"/>
      <c r="M1250" s="504"/>
      <c r="N1250" s="504"/>
      <c r="O1250" s="110"/>
      <c r="P1250" s="109"/>
      <c r="Q1250" s="504"/>
      <c r="R1250" s="107"/>
      <c r="S1250" s="503"/>
    </row>
    <row r="1251" spans="1:19" ht="9.75" customHeight="1">
      <c r="A1251" s="503"/>
      <c r="B1251" s="503"/>
      <c r="C1251" s="13"/>
      <c r="D1251" s="13" t="s">
        <v>35</v>
      </c>
      <c r="E1251" s="13"/>
      <c r="F1251" s="109"/>
      <c r="G1251" s="504"/>
      <c r="H1251" s="504"/>
      <c r="I1251" s="504"/>
      <c r="J1251" s="504"/>
      <c r="K1251" s="504"/>
      <c r="L1251" s="504"/>
      <c r="M1251" s="504"/>
      <c r="N1251" s="504"/>
      <c r="O1251" s="110"/>
      <c r="P1251" s="109"/>
      <c r="Q1251" s="504"/>
      <c r="R1251" s="107"/>
      <c r="S1251" s="503"/>
    </row>
    <row r="1252" spans="1:19" ht="9.75" customHeight="1">
      <c r="A1252" s="503"/>
      <c r="B1252" s="503"/>
      <c r="C1252" s="13"/>
      <c r="D1252" s="13" t="s">
        <v>36</v>
      </c>
      <c r="E1252" s="13"/>
      <c r="F1252" s="109"/>
      <c r="G1252" s="504"/>
      <c r="H1252" s="504"/>
      <c r="I1252" s="504"/>
      <c r="J1252" s="504"/>
      <c r="K1252" s="504"/>
      <c r="L1252" s="504"/>
      <c r="M1252" s="504"/>
      <c r="N1252" s="504"/>
      <c r="O1252" s="110"/>
      <c r="P1252" s="109"/>
      <c r="Q1252" s="504"/>
      <c r="R1252" s="107"/>
      <c r="S1252" s="503"/>
    </row>
    <row r="1253" spans="1:19" ht="9.75" customHeight="1">
      <c r="A1253" s="503"/>
      <c r="B1253" s="503"/>
      <c r="C1253" s="13"/>
      <c r="D1253" s="13" t="s">
        <v>37</v>
      </c>
      <c r="E1253" s="13"/>
      <c r="F1253" s="109"/>
      <c r="G1253" s="504"/>
      <c r="H1253" s="504"/>
      <c r="I1253" s="504"/>
      <c r="J1253" s="504"/>
      <c r="K1253" s="504"/>
      <c r="L1253" s="504"/>
      <c r="M1253" s="504"/>
      <c r="N1253" s="504"/>
      <c r="O1253" s="110"/>
      <c r="P1253" s="109"/>
      <c r="Q1253" s="504"/>
      <c r="R1253" s="107"/>
      <c r="S1253" s="503"/>
    </row>
    <row r="1254" spans="1:19" ht="9.75" customHeight="1">
      <c r="A1254" s="503"/>
      <c r="B1254" s="503" t="s">
        <v>127</v>
      </c>
      <c r="C1254" s="2"/>
      <c r="D1254" s="3" t="s">
        <v>38</v>
      </c>
      <c r="E1254" s="3">
        <f t="shared" ref="E1254:O1254" si="229">SUM(E1238:E1253)</f>
        <v>398</v>
      </c>
      <c r="F1254" s="21">
        <f t="shared" si="229"/>
        <v>396</v>
      </c>
      <c r="G1254" s="71">
        <f t="shared" si="229"/>
        <v>396</v>
      </c>
      <c r="H1254" s="71">
        <f t="shared" si="229"/>
        <v>396</v>
      </c>
      <c r="I1254" s="71">
        <f t="shared" si="229"/>
        <v>396</v>
      </c>
      <c r="J1254" s="71">
        <f t="shared" si="229"/>
        <v>395</v>
      </c>
      <c r="K1254" s="71">
        <f t="shared" si="229"/>
        <v>393</v>
      </c>
      <c r="L1254" s="71">
        <f t="shared" si="229"/>
        <v>395</v>
      </c>
      <c r="M1254" s="71">
        <f t="shared" si="229"/>
        <v>388</v>
      </c>
      <c r="N1254" s="71">
        <f t="shared" si="229"/>
        <v>387</v>
      </c>
      <c r="O1254" s="26">
        <f t="shared" si="229"/>
        <v>397</v>
      </c>
      <c r="P1254" s="21">
        <f>MIN(F1254:O1254)</f>
        <v>387</v>
      </c>
      <c r="Q1254" s="71">
        <f>E1254-P1254</f>
        <v>11</v>
      </c>
      <c r="R1254" s="7">
        <f>Q1254/E1254</f>
        <v>2.7638190954773871E-2</v>
      </c>
      <c r="S1254" s="503"/>
    </row>
    <row r="1255" spans="1:19" ht="9.75" customHeight="1">
      <c r="A1255" s="503"/>
      <c r="B1255" s="503"/>
      <c r="C1255" s="43" t="s">
        <v>257</v>
      </c>
      <c r="D1255" s="43" t="s">
        <v>23</v>
      </c>
      <c r="E1255" s="43"/>
      <c r="F1255" s="116"/>
      <c r="G1255" s="128"/>
      <c r="H1255" s="128"/>
      <c r="I1255" s="128"/>
      <c r="J1255" s="128"/>
      <c r="K1255" s="128"/>
      <c r="L1255" s="128"/>
      <c r="M1255" s="128"/>
      <c r="N1255" s="128"/>
      <c r="O1255" s="129"/>
      <c r="P1255" s="116"/>
      <c r="Q1255" s="128"/>
      <c r="R1255" s="141"/>
      <c r="S1255" s="503"/>
    </row>
    <row r="1256" spans="1:19" ht="9.75" customHeight="1">
      <c r="A1256" s="503"/>
      <c r="B1256" s="503"/>
      <c r="C1256" s="13"/>
      <c r="D1256" s="13" t="s">
        <v>25</v>
      </c>
      <c r="E1256" s="13">
        <v>18</v>
      </c>
      <c r="F1256" s="109">
        <v>17</v>
      </c>
      <c r="G1256" s="504">
        <v>17</v>
      </c>
      <c r="H1256" s="504">
        <v>18</v>
      </c>
      <c r="I1256" s="504">
        <v>15</v>
      </c>
      <c r="J1256" s="504">
        <f>E1256-5</f>
        <v>13</v>
      </c>
      <c r="K1256" s="504">
        <f>E1256-3</f>
        <v>15</v>
      </c>
      <c r="L1256" s="504">
        <f>E1256-4</f>
        <v>14</v>
      </c>
      <c r="M1256" s="504">
        <f>E1256-3</f>
        <v>15</v>
      </c>
      <c r="N1256" s="504">
        <v>17</v>
      </c>
      <c r="O1256" s="110">
        <v>17</v>
      </c>
      <c r="P1256" s="109">
        <f>MIN(F1256:O1256)</f>
        <v>13</v>
      </c>
      <c r="Q1256" s="504">
        <f>E1256-P1256</f>
        <v>5</v>
      </c>
      <c r="R1256" s="107">
        <f>Q1256/E1256</f>
        <v>0.27777777777777779</v>
      </c>
      <c r="S1256" s="503"/>
    </row>
    <row r="1257" spans="1:19" ht="9.75" customHeight="1">
      <c r="A1257" s="503"/>
      <c r="B1257" s="503"/>
      <c r="C1257" s="13"/>
      <c r="D1257" s="13" t="s">
        <v>27</v>
      </c>
      <c r="E1257" s="13"/>
      <c r="F1257" s="109"/>
      <c r="G1257" s="504"/>
      <c r="H1257" s="504"/>
      <c r="I1257" s="504"/>
      <c r="J1257" s="504"/>
      <c r="K1257" s="504"/>
      <c r="L1257" s="504"/>
      <c r="M1257" s="504"/>
      <c r="N1257" s="504"/>
      <c r="O1257" s="110"/>
      <c r="P1257" s="109"/>
      <c r="Q1257" s="504"/>
      <c r="R1257" s="107"/>
      <c r="S1257" s="503"/>
    </row>
    <row r="1258" spans="1:19" ht="9.75" customHeight="1">
      <c r="A1258" s="503"/>
      <c r="B1258" s="503"/>
      <c r="C1258" s="13"/>
      <c r="D1258" s="13" t="s">
        <v>115</v>
      </c>
      <c r="E1258" s="13"/>
      <c r="F1258" s="109"/>
      <c r="G1258" s="504"/>
      <c r="H1258" s="504"/>
      <c r="I1258" s="504"/>
      <c r="J1258" s="504"/>
      <c r="K1258" s="504"/>
      <c r="L1258" s="504"/>
      <c r="M1258" s="504"/>
      <c r="N1258" s="504"/>
      <c r="O1258" s="110"/>
      <c r="P1258" s="109"/>
      <c r="Q1258" s="504"/>
      <c r="R1258" s="107"/>
      <c r="S1258" s="503"/>
    </row>
    <row r="1259" spans="1:19" ht="9.75" customHeight="1">
      <c r="A1259" s="503"/>
      <c r="B1259" s="503"/>
      <c r="C1259" s="13"/>
      <c r="D1259" s="13" t="s">
        <v>115</v>
      </c>
      <c r="E1259" s="13"/>
      <c r="F1259" s="109"/>
      <c r="G1259" s="504"/>
      <c r="H1259" s="504"/>
      <c r="I1259" s="504"/>
      <c r="J1259" s="504"/>
      <c r="K1259" s="504"/>
      <c r="L1259" s="504"/>
      <c r="M1259" s="504"/>
      <c r="N1259" s="504"/>
      <c r="O1259" s="110"/>
      <c r="P1259" s="109"/>
      <c r="Q1259" s="504"/>
      <c r="R1259" s="107"/>
      <c r="S1259" s="503"/>
    </row>
    <row r="1260" spans="1:19" ht="9.75" customHeight="1">
      <c r="A1260" s="503"/>
      <c r="B1260" s="503"/>
      <c r="C1260" s="13"/>
      <c r="D1260" s="13" t="s">
        <v>32</v>
      </c>
      <c r="E1260" s="13">
        <v>7</v>
      </c>
      <c r="F1260" s="109">
        <v>7</v>
      </c>
      <c r="G1260" s="504">
        <v>7</v>
      </c>
      <c r="H1260" s="504">
        <v>7</v>
      </c>
      <c r="I1260" s="504">
        <v>7</v>
      </c>
      <c r="J1260" s="504">
        <v>7</v>
      </c>
      <c r="K1260" s="504">
        <v>7</v>
      </c>
      <c r="L1260" s="504">
        <v>7</v>
      </c>
      <c r="M1260" s="504">
        <v>7</v>
      </c>
      <c r="N1260" s="504">
        <v>7</v>
      </c>
      <c r="O1260" s="110">
        <v>7</v>
      </c>
      <c r="P1260" s="109">
        <f>MIN(F1260:O1260)</f>
        <v>7</v>
      </c>
      <c r="Q1260" s="504">
        <f>E1260-P1260</f>
        <v>0</v>
      </c>
      <c r="R1260" s="107">
        <f>Q1260/E1260</f>
        <v>0</v>
      </c>
      <c r="S1260" s="503"/>
    </row>
    <row r="1261" spans="1:19" ht="9.75" customHeight="1">
      <c r="A1261" s="503"/>
      <c r="B1261" s="503"/>
      <c r="C1261" s="13"/>
      <c r="D1261" s="13" t="s">
        <v>120</v>
      </c>
      <c r="E1261" s="13"/>
      <c r="F1261" s="109"/>
      <c r="G1261" s="504"/>
      <c r="H1261" s="504"/>
      <c r="I1261" s="504"/>
      <c r="J1261" s="504"/>
      <c r="K1261" s="504"/>
      <c r="L1261" s="504"/>
      <c r="M1261" s="504"/>
      <c r="N1261" s="504"/>
      <c r="O1261" s="110"/>
      <c r="P1261" s="109"/>
      <c r="Q1261" s="504"/>
      <c r="R1261" s="107"/>
      <c r="S1261" s="503"/>
    </row>
    <row r="1262" spans="1:19" ht="9.75" customHeight="1">
      <c r="A1262" s="503"/>
      <c r="B1262" s="503"/>
      <c r="C1262" s="13"/>
      <c r="D1262" s="13" t="s">
        <v>120</v>
      </c>
      <c r="E1262" s="13"/>
      <c r="F1262" s="109"/>
      <c r="G1262" s="504"/>
      <c r="H1262" s="504"/>
      <c r="I1262" s="504"/>
      <c r="J1262" s="504"/>
      <c r="K1262" s="504"/>
      <c r="L1262" s="504"/>
      <c r="M1262" s="504"/>
      <c r="N1262" s="504"/>
      <c r="O1262" s="110"/>
      <c r="P1262" s="109"/>
      <c r="Q1262" s="504"/>
      <c r="R1262" s="107"/>
      <c r="S1262" s="503"/>
    </row>
    <row r="1263" spans="1:19" ht="9.75" customHeight="1">
      <c r="A1263" s="503"/>
      <c r="B1263" s="503"/>
      <c r="C1263" s="13"/>
      <c r="D1263" s="13" t="s">
        <v>120</v>
      </c>
      <c r="E1263" s="13"/>
      <c r="F1263" s="109"/>
      <c r="G1263" s="504"/>
      <c r="H1263" s="504"/>
      <c r="I1263" s="504"/>
      <c r="J1263" s="504"/>
      <c r="K1263" s="504"/>
      <c r="L1263" s="504"/>
      <c r="M1263" s="504"/>
      <c r="N1263" s="504"/>
      <c r="O1263" s="110"/>
      <c r="P1263" s="109"/>
      <c r="Q1263" s="504"/>
      <c r="R1263" s="107"/>
      <c r="S1263" s="503"/>
    </row>
    <row r="1264" spans="1:19" ht="9.75" customHeight="1">
      <c r="A1264" s="503"/>
      <c r="B1264" s="503"/>
      <c r="C1264" s="13"/>
      <c r="D1264" s="13" t="s">
        <v>120</v>
      </c>
      <c r="E1264" s="13"/>
      <c r="F1264" s="109"/>
      <c r="G1264" s="504"/>
      <c r="H1264" s="504"/>
      <c r="I1264" s="504"/>
      <c r="J1264" s="504"/>
      <c r="K1264" s="504"/>
      <c r="L1264" s="504"/>
      <c r="M1264" s="504"/>
      <c r="N1264" s="504"/>
      <c r="O1264" s="110"/>
      <c r="P1264" s="109"/>
      <c r="Q1264" s="504"/>
      <c r="R1264" s="107"/>
      <c r="S1264" s="503"/>
    </row>
    <row r="1265" spans="1:19" ht="9.75" customHeight="1">
      <c r="A1265" s="503"/>
      <c r="B1265" s="503"/>
      <c r="C1265" s="13"/>
      <c r="D1265" s="13" t="s">
        <v>120</v>
      </c>
      <c r="E1265" s="13"/>
      <c r="F1265" s="109"/>
      <c r="G1265" s="504"/>
      <c r="H1265" s="504"/>
      <c r="I1265" s="504"/>
      <c r="J1265" s="504"/>
      <c r="K1265" s="504"/>
      <c r="L1265" s="504"/>
      <c r="M1265" s="504"/>
      <c r="N1265" s="504"/>
      <c r="O1265" s="110"/>
      <c r="P1265" s="109"/>
      <c r="Q1265" s="504"/>
      <c r="R1265" s="107"/>
      <c r="S1265" s="503"/>
    </row>
    <row r="1266" spans="1:19" ht="9.75" customHeight="1">
      <c r="A1266" s="503"/>
      <c r="B1266" s="503"/>
      <c r="C1266" s="13"/>
      <c r="D1266" s="13" t="s">
        <v>120</v>
      </c>
      <c r="E1266" s="13"/>
      <c r="F1266" s="109"/>
      <c r="G1266" s="504"/>
      <c r="H1266" s="504"/>
      <c r="I1266" s="504"/>
      <c r="J1266" s="504"/>
      <c r="K1266" s="504"/>
      <c r="L1266" s="504"/>
      <c r="M1266" s="504"/>
      <c r="N1266" s="504"/>
      <c r="O1266" s="110"/>
      <c r="P1266" s="109"/>
      <c r="Q1266" s="504"/>
      <c r="R1266" s="107"/>
      <c r="S1266" s="503"/>
    </row>
    <row r="1267" spans="1:19" ht="9.75" customHeight="1">
      <c r="A1267" s="503"/>
      <c r="B1267" s="503"/>
      <c r="C1267" s="13"/>
      <c r="D1267" s="13" t="s">
        <v>34</v>
      </c>
      <c r="E1267" s="13">
        <v>3</v>
      </c>
      <c r="F1267" s="109">
        <v>3</v>
      </c>
      <c r="G1267" s="504">
        <v>3</v>
      </c>
      <c r="H1267" s="504">
        <v>3</v>
      </c>
      <c r="I1267" s="504">
        <v>3</v>
      </c>
      <c r="J1267" s="504">
        <v>3</v>
      </c>
      <c r="K1267" s="504">
        <v>3</v>
      </c>
      <c r="L1267" s="504">
        <v>3</v>
      </c>
      <c r="M1267" s="504">
        <v>3</v>
      </c>
      <c r="N1267" s="504">
        <v>3</v>
      </c>
      <c r="O1267" s="110">
        <v>3</v>
      </c>
      <c r="P1267" s="109">
        <f>MIN(F1267:O1267)</f>
        <v>3</v>
      </c>
      <c r="Q1267" s="504">
        <f>E1267-P1267</f>
        <v>0</v>
      </c>
      <c r="R1267" s="107">
        <f>Q1267/E1267</f>
        <v>0</v>
      </c>
      <c r="S1267" s="503"/>
    </row>
    <row r="1268" spans="1:19" ht="9.75" customHeight="1">
      <c r="A1268" s="503"/>
      <c r="B1268" s="503"/>
      <c r="C1268" s="13"/>
      <c r="D1268" s="13" t="s">
        <v>35</v>
      </c>
      <c r="E1268" s="13"/>
      <c r="F1268" s="109"/>
      <c r="G1268" s="504"/>
      <c r="H1268" s="504"/>
      <c r="I1268" s="504"/>
      <c r="J1268" s="504"/>
      <c r="K1268" s="504"/>
      <c r="L1268" s="504"/>
      <c r="M1268" s="504"/>
      <c r="N1268" s="504"/>
      <c r="O1268" s="110"/>
      <c r="P1268" s="109"/>
      <c r="Q1268" s="504"/>
      <c r="R1268" s="107"/>
      <c r="S1268" s="503"/>
    </row>
    <row r="1269" spans="1:19" ht="9.75" customHeight="1">
      <c r="A1269" s="503"/>
      <c r="B1269" s="503"/>
      <c r="C1269" s="13"/>
      <c r="D1269" s="13" t="s">
        <v>36</v>
      </c>
      <c r="E1269" s="13">
        <v>1</v>
      </c>
      <c r="F1269" s="109">
        <v>1</v>
      </c>
      <c r="G1269" s="504">
        <v>0</v>
      </c>
      <c r="H1269" s="504">
        <v>0</v>
      </c>
      <c r="I1269" s="504">
        <v>0</v>
      </c>
      <c r="J1269" s="504">
        <v>0</v>
      </c>
      <c r="K1269" s="504">
        <v>0</v>
      </c>
      <c r="L1269" s="504">
        <v>0</v>
      </c>
      <c r="M1269" s="504">
        <v>0</v>
      </c>
      <c r="N1269" s="504">
        <v>0</v>
      </c>
      <c r="O1269" s="110">
        <v>0</v>
      </c>
      <c r="P1269" s="109">
        <f t="shared" ref="P1269:P1272" si="230">MIN(F1269:O1269)</f>
        <v>0</v>
      </c>
      <c r="Q1269" s="504">
        <f t="shared" ref="Q1269:Q1272" si="231">E1269-P1269</f>
        <v>1</v>
      </c>
      <c r="R1269" s="107">
        <f t="shared" ref="R1269:R1272" si="232">Q1269/E1269</f>
        <v>1</v>
      </c>
      <c r="S1269" s="503"/>
    </row>
    <row r="1270" spans="1:19" ht="9.75" customHeight="1">
      <c r="A1270" s="503"/>
      <c r="B1270" s="503"/>
      <c r="C1270" s="13"/>
      <c r="D1270" s="13" t="s">
        <v>258</v>
      </c>
      <c r="E1270" s="13">
        <v>5</v>
      </c>
      <c r="F1270" s="109">
        <v>5</v>
      </c>
      <c r="G1270" s="504">
        <v>5</v>
      </c>
      <c r="H1270" s="504">
        <v>5</v>
      </c>
      <c r="I1270" s="504">
        <v>5</v>
      </c>
      <c r="J1270" s="504">
        <v>5</v>
      </c>
      <c r="K1270" s="504">
        <v>5</v>
      </c>
      <c r="L1270" s="504">
        <v>5</v>
      </c>
      <c r="M1270" s="504">
        <v>5</v>
      </c>
      <c r="N1270" s="504">
        <v>5</v>
      </c>
      <c r="O1270" s="110">
        <v>5</v>
      </c>
      <c r="P1270" s="109">
        <f t="shared" si="230"/>
        <v>5</v>
      </c>
      <c r="Q1270" s="504">
        <f t="shared" si="231"/>
        <v>0</v>
      </c>
      <c r="R1270" s="107">
        <f t="shared" si="232"/>
        <v>0</v>
      </c>
      <c r="S1270" s="503"/>
    </row>
    <row r="1271" spans="1:19" ht="9.75" customHeight="1">
      <c r="A1271" s="503"/>
      <c r="B1271" s="503"/>
      <c r="C1271" s="13"/>
      <c r="D1271" s="13" t="s">
        <v>37</v>
      </c>
      <c r="E1271" s="13">
        <v>1</v>
      </c>
      <c r="F1271" s="109">
        <v>1</v>
      </c>
      <c r="G1271" s="504">
        <v>1</v>
      </c>
      <c r="H1271" s="504">
        <v>1</v>
      </c>
      <c r="I1271" s="504">
        <v>1</v>
      </c>
      <c r="J1271" s="504">
        <v>1</v>
      </c>
      <c r="K1271" s="504">
        <v>1</v>
      </c>
      <c r="L1271" s="504">
        <v>1</v>
      </c>
      <c r="M1271" s="504">
        <v>1</v>
      </c>
      <c r="N1271" s="504">
        <v>1</v>
      </c>
      <c r="O1271" s="110">
        <v>1</v>
      </c>
      <c r="P1271" s="109">
        <f t="shared" si="230"/>
        <v>1</v>
      </c>
      <c r="Q1271" s="504">
        <f t="shared" si="231"/>
        <v>0</v>
      </c>
      <c r="R1271" s="107">
        <f t="shared" si="232"/>
        <v>0</v>
      </c>
      <c r="S1271" s="503"/>
    </row>
    <row r="1272" spans="1:19" ht="9.75" customHeight="1">
      <c r="A1272" s="503"/>
      <c r="B1272" s="503" t="s">
        <v>127</v>
      </c>
      <c r="C1272" s="2"/>
      <c r="D1272" s="3" t="s">
        <v>38</v>
      </c>
      <c r="E1272" s="3">
        <f>SUM(E1255:E1271)</f>
        <v>35</v>
      </c>
      <c r="F1272" s="21">
        <f t="shared" ref="F1272:O1272" si="233">SUM(F1255:F1271)</f>
        <v>34</v>
      </c>
      <c r="G1272" s="71">
        <f t="shared" si="233"/>
        <v>33</v>
      </c>
      <c r="H1272" s="71">
        <f t="shared" si="233"/>
        <v>34</v>
      </c>
      <c r="I1272" s="71">
        <f t="shared" si="233"/>
        <v>31</v>
      </c>
      <c r="J1272" s="71">
        <f t="shared" si="233"/>
        <v>29</v>
      </c>
      <c r="K1272" s="71">
        <f t="shared" si="233"/>
        <v>31</v>
      </c>
      <c r="L1272" s="71">
        <f t="shared" si="233"/>
        <v>30</v>
      </c>
      <c r="M1272" s="71">
        <f t="shared" si="233"/>
        <v>31</v>
      </c>
      <c r="N1272" s="71">
        <f t="shared" si="233"/>
        <v>33</v>
      </c>
      <c r="O1272" s="26">
        <f t="shared" si="233"/>
        <v>33</v>
      </c>
      <c r="P1272" s="21">
        <f t="shared" si="230"/>
        <v>29</v>
      </c>
      <c r="Q1272" s="71">
        <f t="shared" si="231"/>
        <v>6</v>
      </c>
      <c r="R1272" s="7">
        <f t="shared" si="232"/>
        <v>0.17142857142857143</v>
      </c>
      <c r="S1272" s="503"/>
    </row>
    <row r="1273" spans="1:19" ht="9.75" customHeight="1">
      <c r="A1273" s="503"/>
      <c r="B1273" s="503"/>
      <c r="C1273" s="43" t="s">
        <v>259</v>
      </c>
      <c r="D1273" s="29" t="s">
        <v>23</v>
      </c>
      <c r="E1273" s="43"/>
      <c r="F1273" s="116"/>
      <c r="G1273" s="128"/>
      <c r="H1273" s="128"/>
      <c r="I1273" s="128"/>
      <c r="J1273" s="128"/>
      <c r="K1273" s="128"/>
      <c r="L1273" s="128"/>
      <c r="M1273" s="128"/>
      <c r="N1273" s="128"/>
      <c r="O1273" s="129"/>
      <c r="P1273" s="116"/>
      <c r="Q1273" s="128"/>
      <c r="R1273" s="141"/>
      <c r="S1273" s="503"/>
    </row>
    <row r="1274" spans="1:19" ht="9.75" customHeight="1">
      <c r="A1274" s="503"/>
      <c r="B1274" s="503"/>
      <c r="C1274" s="13"/>
      <c r="D1274" s="13" t="s">
        <v>25</v>
      </c>
      <c r="E1274" s="13">
        <v>80</v>
      </c>
      <c r="F1274" s="109">
        <f>E1274-4</f>
        <v>76</v>
      </c>
      <c r="G1274" s="504">
        <v>76</v>
      </c>
      <c r="H1274" s="504">
        <v>76</v>
      </c>
      <c r="I1274" s="504">
        <v>75</v>
      </c>
      <c r="J1274" s="504">
        <v>70</v>
      </c>
      <c r="K1274" s="504">
        <v>68</v>
      </c>
      <c r="L1274" s="504">
        <v>70</v>
      </c>
      <c r="M1274" s="504">
        <v>70</v>
      </c>
      <c r="N1274" s="504">
        <v>75</v>
      </c>
      <c r="O1274" s="110">
        <v>77</v>
      </c>
      <c r="P1274" s="109">
        <f>MIN(F1274:O1274)</f>
        <v>68</v>
      </c>
      <c r="Q1274" s="504">
        <f>E1274-P1274</f>
        <v>12</v>
      </c>
      <c r="R1274" s="107">
        <f>Q1274/E1274</f>
        <v>0.15</v>
      </c>
      <c r="S1274" s="503"/>
    </row>
    <row r="1275" spans="1:19" ht="9.75" customHeight="1">
      <c r="A1275" s="503"/>
      <c r="B1275" s="503"/>
      <c r="C1275" s="13"/>
      <c r="D1275" s="13" t="s">
        <v>27</v>
      </c>
      <c r="E1275" s="13"/>
      <c r="F1275" s="109"/>
      <c r="G1275" s="504"/>
      <c r="H1275" s="504"/>
      <c r="I1275" s="504"/>
      <c r="J1275" s="504"/>
      <c r="K1275" s="504"/>
      <c r="L1275" s="504"/>
      <c r="M1275" s="504"/>
      <c r="N1275" s="504"/>
      <c r="O1275" s="110"/>
      <c r="P1275" s="109"/>
      <c r="Q1275" s="504"/>
      <c r="R1275" s="107"/>
      <c r="S1275" s="503"/>
    </row>
    <row r="1276" spans="1:19" ht="9.75" customHeight="1">
      <c r="A1276" s="503"/>
      <c r="B1276" s="503"/>
      <c r="C1276" s="13"/>
      <c r="D1276" s="13" t="s">
        <v>115</v>
      </c>
      <c r="E1276" s="13"/>
      <c r="F1276" s="109"/>
      <c r="G1276" s="504"/>
      <c r="H1276" s="504"/>
      <c r="I1276" s="504"/>
      <c r="J1276" s="504"/>
      <c r="K1276" s="504"/>
      <c r="L1276" s="504"/>
      <c r="M1276" s="504"/>
      <c r="N1276" s="504"/>
      <c r="O1276" s="110"/>
      <c r="P1276" s="109"/>
      <c r="Q1276" s="504"/>
      <c r="R1276" s="107"/>
      <c r="S1276" s="503"/>
    </row>
    <row r="1277" spans="1:19" ht="9.75" customHeight="1">
      <c r="A1277" s="503"/>
      <c r="B1277" s="503"/>
      <c r="C1277" s="13"/>
      <c r="D1277" s="13" t="s">
        <v>115</v>
      </c>
      <c r="E1277" s="13"/>
      <c r="F1277" s="109"/>
      <c r="G1277" s="504"/>
      <c r="H1277" s="504"/>
      <c r="I1277" s="504"/>
      <c r="J1277" s="504"/>
      <c r="K1277" s="504"/>
      <c r="L1277" s="504"/>
      <c r="M1277" s="504"/>
      <c r="N1277" s="504"/>
      <c r="O1277" s="110"/>
      <c r="P1277" s="109"/>
      <c r="Q1277" s="504"/>
      <c r="R1277" s="107"/>
      <c r="S1277" s="503"/>
    </row>
    <row r="1278" spans="1:19" ht="9.75" customHeight="1">
      <c r="A1278" s="503"/>
      <c r="B1278" s="503"/>
      <c r="C1278" s="13"/>
      <c r="D1278" s="13" t="s">
        <v>32</v>
      </c>
      <c r="E1278" s="13"/>
      <c r="F1278" s="109"/>
      <c r="G1278" s="504"/>
      <c r="H1278" s="504"/>
      <c r="I1278" s="504"/>
      <c r="J1278" s="504"/>
      <c r="K1278" s="504"/>
      <c r="L1278" s="504"/>
      <c r="M1278" s="504"/>
      <c r="N1278" s="504"/>
      <c r="O1278" s="110"/>
      <c r="P1278" s="109"/>
      <c r="Q1278" s="504"/>
      <c r="R1278" s="107"/>
      <c r="S1278" s="503"/>
    </row>
    <row r="1279" spans="1:19" ht="9.75" customHeight="1">
      <c r="A1279" s="503"/>
      <c r="B1279" s="503"/>
      <c r="C1279" s="13"/>
      <c r="D1279" s="13" t="s">
        <v>260</v>
      </c>
      <c r="E1279" s="13">
        <v>1</v>
      </c>
      <c r="F1279" s="109">
        <v>1</v>
      </c>
      <c r="G1279" s="504">
        <v>1</v>
      </c>
      <c r="H1279" s="504">
        <v>1</v>
      </c>
      <c r="I1279" s="504">
        <v>1</v>
      </c>
      <c r="J1279" s="504">
        <v>1</v>
      </c>
      <c r="K1279" s="504">
        <v>1</v>
      </c>
      <c r="L1279" s="504">
        <v>1</v>
      </c>
      <c r="M1279" s="504">
        <v>1</v>
      </c>
      <c r="N1279" s="504">
        <v>1</v>
      </c>
      <c r="O1279" s="110">
        <v>1</v>
      </c>
      <c r="P1279" s="109">
        <f>MIN(F1279:O1279)</f>
        <v>1</v>
      </c>
      <c r="Q1279" s="504">
        <f>E1279-P1279</f>
        <v>0</v>
      </c>
      <c r="R1279" s="107">
        <f>Q1279/E1279</f>
        <v>0</v>
      </c>
      <c r="S1279" s="503"/>
    </row>
    <row r="1280" spans="1:19" ht="9.75" customHeight="1">
      <c r="A1280" s="503"/>
      <c r="B1280" s="503"/>
      <c r="C1280" s="13"/>
      <c r="D1280" s="13" t="s">
        <v>120</v>
      </c>
      <c r="E1280" s="13"/>
      <c r="F1280" s="109"/>
      <c r="G1280" s="504"/>
      <c r="H1280" s="504"/>
      <c r="I1280" s="504"/>
      <c r="J1280" s="504"/>
      <c r="K1280" s="504"/>
      <c r="L1280" s="504"/>
      <c r="M1280" s="504"/>
      <c r="N1280" s="504"/>
      <c r="O1280" s="110"/>
      <c r="P1280" s="109"/>
      <c r="Q1280" s="504"/>
      <c r="R1280" s="107"/>
      <c r="S1280" s="503"/>
    </row>
    <row r="1281" spans="1:19" ht="9.75" customHeight="1">
      <c r="A1281" s="503"/>
      <c r="B1281" s="503"/>
      <c r="C1281" s="13"/>
      <c r="D1281" s="13" t="s">
        <v>120</v>
      </c>
      <c r="E1281" s="13"/>
      <c r="F1281" s="109"/>
      <c r="G1281" s="504"/>
      <c r="H1281" s="504"/>
      <c r="I1281" s="504"/>
      <c r="J1281" s="504"/>
      <c r="K1281" s="504"/>
      <c r="L1281" s="504"/>
      <c r="M1281" s="504"/>
      <c r="N1281" s="504"/>
      <c r="O1281" s="110"/>
      <c r="P1281" s="109"/>
      <c r="Q1281" s="504"/>
      <c r="R1281" s="107"/>
      <c r="S1281" s="503"/>
    </row>
    <row r="1282" spans="1:19" ht="9.75" customHeight="1">
      <c r="A1282" s="503"/>
      <c r="B1282" s="503"/>
      <c r="C1282" s="13"/>
      <c r="D1282" s="13" t="s">
        <v>120</v>
      </c>
      <c r="E1282" s="13"/>
      <c r="F1282" s="109"/>
      <c r="G1282" s="504"/>
      <c r="H1282" s="504"/>
      <c r="I1282" s="504"/>
      <c r="J1282" s="504"/>
      <c r="K1282" s="504"/>
      <c r="L1282" s="504"/>
      <c r="M1282" s="504"/>
      <c r="N1282" s="504"/>
      <c r="O1282" s="110"/>
      <c r="P1282" s="109"/>
      <c r="Q1282" s="504"/>
      <c r="R1282" s="107"/>
      <c r="S1282" s="503"/>
    </row>
    <row r="1283" spans="1:19" ht="9.75" customHeight="1">
      <c r="A1283" s="503"/>
      <c r="B1283" s="503"/>
      <c r="C1283" s="13"/>
      <c r="D1283" s="13" t="s">
        <v>120</v>
      </c>
      <c r="E1283" s="13"/>
      <c r="F1283" s="109"/>
      <c r="G1283" s="504"/>
      <c r="H1283" s="504"/>
      <c r="I1283" s="504"/>
      <c r="J1283" s="504"/>
      <c r="K1283" s="504"/>
      <c r="L1283" s="504"/>
      <c r="M1283" s="504"/>
      <c r="N1283" s="504"/>
      <c r="O1283" s="110"/>
      <c r="P1283" s="109"/>
      <c r="Q1283" s="504"/>
      <c r="R1283" s="107"/>
      <c r="S1283" s="503"/>
    </row>
    <row r="1284" spans="1:19" ht="9.75" customHeight="1">
      <c r="A1284" s="503"/>
      <c r="B1284" s="503"/>
      <c r="C1284" s="13"/>
      <c r="D1284" s="13" t="s">
        <v>120</v>
      </c>
      <c r="E1284" s="13"/>
      <c r="F1284" s="109"/>
      <c r="G1284" s="504"/>
      <c r="H1284" s="504"/>
      <c r="I1284" s="504"/>
      <c r="J1284" s="504"/>
      <c r="K1284" s="504"/>
      <c r="L1284" s="504"/>
      <c r="M1284" s="504"/>
      <c r="N1284" s="504"/>
      <c r="O1284" s="110"/>
      <c r="P1284" s="109"/>
      <c r="Q1284" s="504"/>
      <c r="R1284" s="107"/>
      <c r="S1284" s="503"/>
    </row>
    <row r="1285" spans="1:19" ht="9.75" customHeight="1">
      <c r="A1285" s="503"/>
      <c r="B1285" s="503"/>
      <c r="C1285" s="13"/>
      <c r="D1285" s="13" t="s">
        <v>34</v>
      </c>
      <c r="E1285" s="13"/>
      <c r="F1285" s="109"/>
      <c r="G1285" s="504"/>
      <c r="H1285" s="504"/>
      <c r="I1285" s="504"/>
      <c r="J1285" s="504"/>
      <c r="K1285" s="504"/>
      <c r="L1285" s="504"/>
      <c r="M1285" s="504"/>
      <c r="N1285" s="504"/>
      <c r="O1285" s="110"/>
      <c r="P1285" s="109"/>
      <c r="Q1285" s="504"/>
      <c r="R1285" s="107"/>
      <c r="S1285" s="503"/>
    </row>
    <row r="1286" spans="1:19" ht="9.75" customHeight="1">
      <c r="A1286" s="503"/>
      <c r="B1286" s="503"/>
      <c r="C1286" s="13"/>
      <c r="D1286" s="13" t="s">
        <v>35</v>
      </c>
      <c r="E1286" s="13"/>
      <c r="F1286" s="109"/>
      <c r="G1286" s="504"/>
      <c r="H1286" s="504"/>
      <c r="I1286" s="504"/>
      <c r="J1286" s="504"/>
      <c r="K1286" s="504"/>
      <c r="L1286" s="504"/>
      <c r="M1286" s="504"/>
      <c r="N1286" s="504"/>
      <c r="O1286" s="110"/>
      <c r="P1286" s="109"/>
      <c r="Q1286" s="504"/>
      <c r="R1286" s="107"/>
      <c r="S1286" s="503"/>
    </row>
    <row r="1287" spans="1:19" ht="9.75" customHeight="1">
      <c r="A1287" s="503"/>
      <c r="B1287" s="503"/>
      <c r="C1287" s="13"/>
      <c r="D1287" s="13" t="s">
        <v>36</v>
      </c>
      <c r="E1287" s="13"/>
      <c r="F1287" s="109"/>
      <c r="G1287" s="504"/>
      <c r="H1287" s="504"/>
      <c r="I1287" s="504"/>
      <c r="J1287" s="504"/>
      <c r="K1287" s="504"/>
      <c r="L1287" s="504"/>
      <c r="M1287" s="504"/>
      <c r="N1287" s="504"/>
      <c r="O1287" s="110"/>
      <c r="P1287" s="109"/>
      <c r="Q1287" s="504"/>
      <c r="R1287" s="107"/>
      <c r="S1287" s="503"/>
    </row>
    <row r="1288" spans="1:19" ht="9.75" customHeight="1">
      <c r="A1288" s="503"/>
      <c r="B1288" s="503"/>
      <c r="C1288" s="13"/>
      <c r="D1288" s="13" t="s">
        <v>37</v>
      </c>
      <c r="E1288" s="13"/>
      <c r="F1288" s="109"/>
      <c r="G1288" s="504"/>
      <c r="H1288" s="504"/>
      <c r="I1288" s="504"/>
      <c r="J1288" s="504"/>
      <c r="K1288" s="504"/>
      <c r="L1288" s="504"/>
      <c r="M1288" s="504"/>
      <c r="N1288" s="504"/>
      <c r="O1288" s="110"/>
      <c r="P1288" s="109"/>
      <c r="Q1288" s="504"/>
      <c r="R1288" s="107"/>
      <c r="S1288" s="503"/>
    </row>
    <row r="1289" spans="1:19" ht="9.75" customHeight="1">
      <c r="A1289" s="503"/>
      <c r="B1289" s="503" t="s">
        <v>127</v>
      </c>
      <c r="C1289" s="2"/>
      <c r="D1289" s="3" t="s">
        <v>38</v>
      </c>
      <c r="E1289" s="3">
        <f t="shared" ref="E1289:O1289" si="234">SUM(E1273:E1288)</f>
        <v>81</v>
      </c>
      <c r="F1289" s="21">
        <f t="shared" si="234"/>
        <v>77</v>
      </c>
      <c r="G1289" s="71">
        <f t="shared" si="234"/>
        <v>77</v>
      </c>
      <c r="H1289" s="71">
        <f t="shared" si="234"/>
        <v>77</v>
      </c>
      <c r="I1289" s="71">
        <f t="shared" si="234"/>
        <v>76</v>
      </c>
      <c r="J1289" s="71">
        <f t="shared" si="234"/>
        <v>71</v>
      </c>
      <c r="K1289" s="71">
        <f t="shared" si="234"/>
        <v>69</v>
      </c>
      <c r="L1289" s="71">
        <f t="shared" si="234"/>
        <v>71</v>
      </c>
      <c r="M1289" s="71">
        <f t="shared" si="234"/>
        <v>71</v>
      </c>
      <c r="N1289" s="71">
        <f t="shared" si="234"/>
        <v>76</v>
      </c>
      <c r="O1289" s="26">
        <f t="shared" si="234"/>
        <v>78</v>
      </c>
      <c r="P1289" s="21">
        <f>MIN(F1289:O1289)</f>
        <v>69</v>
      </c>
      <c r="Q1289" s="71">
        <f>E1289-P1289</f>
        <v>12</v>
      </c>
      <c r="R1289" s="7">
        <f>Q1289/E1289</f>
        <v>0.14814814814814814</v>
      </c>
      <c r="S1289" s="503"/>
    </row>
    <row r="1290" spans="1:19" ht="9.75" customHeight="1">
      <c r="A1290" s="503"/>
      <c r="B1290" s="503"/>
      <c r="C1290" s="43" t="s">
        <v>261</v>
      </c>
      <c r="D1290" s="29" t="s">
        <v>23</v>
      </c>
      <c r="E1290" s="43"/>
      <c r="F1290" s="116"/>
      <c r="G1290" s="128"/>
      <c r="H1290" s="128"/>
      <c r="I1290" s="128"/>
      <c r="J1290" s="128"/>
      <c r="K1290" s="128"/>
      <c r="L1290" s="128"/>
      <c r="M1290" s="128"/>
      <c r="N1290" s="128"/>
      <c r="O1290" s="129"/>
      <c r="P1290" s="116"/>
      <c r="Q1290" s="128"/>
      <c r="R1290" s="141"/>
      <c r="S1290" s="503"/>
    </row>
    <row r="1291" spans="1:19" ht="9.75" customHeight="1">
      <c r="A1291" s="503"/>
      <c r="B1291" s="503"/>
      <c r="C1291" s="13"/>
      <c r="D1291" s="13" t="s">
        <v>25</v>
      </c>
      <c r="E1291" s="13">
        <v>39</v>
      </c>
      <c r="F1291" s="109">
        <v>39</v>
      </c>
      <c r="G1291" s="203">
        <v>39</v>
      </c>
      <c r="H1291" s="203">
        <v>39</v>
      </c>
      <c r="I1291" s="203">
        <v>38</v>
      </c>
      <c r="J1291" s="203">
        <v>37</v>
      </c>
      <c r="K1291" s="203">
        <v>36</v>
      </c>
      <c r="L1291" s="203">
        <v>39</v>
      </c>
      <c r="M1291" s="203">
        <v>39</v>
      </c>
      <c r="N1291" s="203">
        <v>39</v>
      </c>
      <c r="O1291" s="203">
        <v>39</v>
      </c>
      <c r="P1291" s="109">
        <f t="shared" ref="P1291:P1292" si="235">MIN(F1291:O1291)</f>
        <v>36</v>
      </c>
      <c r="Q1291" s="504">
        <f t="shared" ref="Q1291:Q1292" si="236">E1291-P1291</f>
        <v>3</v>
      </c>
      <c r="R1291" s="107">
        <f t="shared" ref="R1291:R1292" si="237">Q1291/E1291</f>
        <v>7.6923076923076927E-2</v>
      </c>
      <c r="S1291" s="503"/>
    </row>
    <row r="1292" spans="1:19" ht="9.75" customHeight="1">
      <c r="A1292" s="503"/>
      <c r="B1292" s="503"/>
      <c r="C1292" s="13"/>
      <c r="D1292" s="13" t="s">
        <v>27</v>
      </c>
      <c r="E1292" s="109">
        <v>5</v>
      </c>
      <c r="F1292" s="109">
        <v>5</v>
      </c>
      <c r="G1292" s="203">
        <v>5</v>
      </c>
      <c r="H1292" s="203">
        <v>5</v>
      </c>
      <c r="I1292" s="203">
        <v>5</v>
      </c>
      <c r="J1292" s="203">
        <v>5</v>
      </c>
      <c r="K1292" s="203">
        <v>5</v>
      </c>
      <c r="L1292" s="203">
        <v>5</v>
      </c>
      <c r="M1292" s="203">
        <v>5</v>
      </c>
      <c r="N1292" s="203">
        <v>5</v>
      </c>
      <c r="O1292" s="110">
        <v>5</v>
      </c>
      <c r="P1292" s="203">
        <f t="shared" si="235"/>
        <v>5</v>
      </c>
      <c r="Q1292" s="504">
        <f t="shared" si="236"/>
        <v>0</v>
      </c>
      <c r="R1292" s="107">
        <f t="shared" si="237"/>
        <v>0</v>
      </c>
      <c r="S1292" s="503"/>
    </row>
    <row r="1293" spans="1:19" ht="9.75" customHeight="1">
      <c r="A1293" s="503"/>
      <c r="B1293" s="503"/>
      <c r="C1293" s="13"/>
      <c r="D1293" s="13" t="s">
        <v>115</v>
      </c>
      <c r="E1293" s="13"/>
      <c r="F1293" s="109"/>
      <c r="G1293" s="203"/>
      <c r="H1293" s="203"/>
      <c r="I1293" s="203"/>
      <c r="J1293" s="203"/>
      <c r="K1293" s="203"/>
      <c r="L1293" s="203"/>
      <c r="M1293" s="203"/>
      <c r="N1293" s="203"/>
      <c r="O1293" s="110"/>
      <c r="P1293" s="109"/>
      <c r="Q1293" s="504"/>
      <c r="R1293" s="107"/>
      <c r="S1293" s="503"/>
    </row>
    <row r="1294" spans="1:19" ht="9.75" customHeight="1">
      <c r="A1294" s="503"/>
      <c r="B1294" s="503"/>
      <c r="C1294" s="13"/>
      <c r="D1294" s="13" t="s">
        <v>115</v>
      </c>
      <c r="E1294" s="13"/>
      <c r="F1294" s="109"/>
      <c r="G1294" s="504"/>
      <c r="H1294" s="504"/>
      <c r="I1294" s="504"/>
      <c r="J1294" s="504"/>
      <c r="K1294" s="504"/>
      <c r="L1294" s="504"/>
      <c r="M1294" s="504"/>
      <c r="N1294" s="504"/>
      <c r="O1294" s="110"/>
      <c r="P1294" s="109"/>
      <c r="Q1294" s="504"/>
      <c r="R1294" s="107"/>
      <c r="S1294" s="503"/>
    </row>
    <row r="1295" spans="1:19" ht="9.75" customHeight="1">
      <c r="A1295" s="503"/>
      <c r="B1295" s="503"/>
      <c r="C1295" s="13"/>
      <c r="D1295" s="13" t="s">
        <v>32</v>
      </c>
      <c r="E1295" s="13"/>
      <c r="F1295" s="109"/>
      <c r="G1295" s="504"/>
      <c r="H1295" s="504"/>
      <c r="I1295" s="504"/>
      <c r="J1295" s="504"/>
      <c r="K1295" s="504"/>
      <c r="L1295" s="504"/>
      <c r="M1295" s="504"/>
      <c r="N1295" s="504"/>
      <c r="O1295" s="110"/>
      <c r="P1295" s="109"/>
      <c r="Q1295" s="504"/>
      <c r="R1295" s="107"/>
      <c r="S1295" s="503"/>
    </row>
    <row r="1296" spans="1:19" ht="9.75" customHeight="1">
      <c r="A1296" s="503"/>
      <c r="B1296" s="503"/>
      <c r="C1296" s="13"/>
      <c r="D1296" s="13" t="s">
        <v>120</v>
      </c>
      <c r="E1296" s="13"/>
      <c r="F1296" s="109"/>
      <c r="G1296" s="504"/>
      <c r="H1296" s="504"/>
      <c r="I1296" s="504"/>
      <c r="J1296" s="504"/>
      <c r="K1296" s="504"/>
      <c r="L1296" s="504"/>
      <c r="M1296" s="504"/>
      <c r="N1296" s="504"/>
      <c r="O1296" s="110"/>
      <c r="P1296" s="109"/>
      <c r="Q1296" s="504"/>
      <c r="R1296" s="107"/>
      <c r="S1296" s="503"/>
    </row>
    <row r="1297" spans="1:19" ht="9.75" customHeight="1">
      <c r="A1297" s="503"/>
      <c r="B1297" s="503"/>
      <c r="C1297" s="13"/>
      <c r="D1297" s="13" t="s">
        <v>120</v>
      </c>
      <c r="E1297" s="13"/>
      <c r="F1297" s="109"/>
      <c r="G1297" s="504"/>
      <c r="H1297" s="504"/>
      <c r="I1297" s="504"/>
      <c r="J1297" s="504"/>
      <c r="K1297" s="504"/>
      <c r="L1297" s="504"/>
      <c r="M1297" s="504"/>
      <c r="N1297" s="504"/>
      <c r="O1297" s="110"/>
      <c r="P1297" s="109"/>
      <c r="Q1297" s="504"/>
      <c r="R1297" s="107"/>
      <c r="S1297" s="503"/>
    </row>
    <row r="1298" spans="1:19" ht="9.75" customHeight="1">
      <c r="A1298" s="503"/>
      <c r="B1298" s="503"/>
      <c r="C1298" s="13"/>
      <c r="D1298" s="13" t="s">
        <v>120</v>
      </c>
      <c r="E1298" s="13"/>
      <c r="F1298" s="109"/>
      <c r="G1298" s="504"/>
      <c r="H1298" s="504"/>
      <c r="I1298" s="504"/>
      <c r="J1298" s="504"/>
      <c r="K1298" s="504"/>
      <c r="L1298" s="504"/>
      <c r="M1298" s="504"/>
      <c r="N1298" s="504"/>
      <c r="O1298" s="110"/>
      <c r="P1298" s="109"/>
      <c r="Q1298" s="504"/>
      <c r="R1298" s="107"/>
      <c r="S1298" s="503"/>
    </row>
    <row r="1299" spans="1:19" ht="9.75" customHeight="1">
      <c r="A1299" s="503"/>
      <c r="B1299" s="503"/>
      <c r="C1299" s="13"/>
      <c r="D1299" s="13" t="s">
        <v>120</v>
      </c>
      <c r="E1299" s="13"/>
      <c r="F1299" s="109"/>
      <c r="G1299" s="504"/>
      <c r="H1299" s="504"/>
      <c r="I1299" s="504"/>
      <c r="J1299" s="504"/>
      <c r="K1299" s="504"/>
      <c r="L1299" s="504"/>
      <c r="M1299" s="504"/>
      <c r="N1299" s="504"/>
      <c r="O1299" s="110"/>
      <c r="P1299" s="109"/>
      <c r="Q1299" s="504"/>
      <c r="R1299" s="107"/>
      <c r="S1299" s="503"/>
    </row>
    <row r="1300" spans="1:19" ht="9.75" customHeight="1">
      <c r="A1300" s="503"/>
      <c r="B1300" s="503"/>
      <c r="C1300" s="13"/>
      <c r="D1300" s="13" t="s">
        <v>120</v>
      </c>
      <c r="E1300" s="13"/>
      <c r="F1300" s="109"/>
      <c r="G1300" s="504"/>
      <c r="H1300" s="504"/>
      <c r="I1300" s="504"/>
      <c r="J1300" s="504"/>
      <c r="K1300" s="504"/>
      <c r="L1300" s="504"/>
      <c r="M1300" s="504"/>
      <c r="N1300" s="504"/>
      <c r="O1300" s="110"/>
      <c r="P1300" s="109"/>
      <c r="Q1300" s="504"/>
      <c r="R1300" s="107"/>
      <c r="S1300" s="503"/>
    </row>
    <row r="1301" spans="1:19" ht="9.75" customHeight="1">
      <c r="A1301" s="503"/>
      <c r="B1301" s="503"/>
      <c r="C1301" s="13"/>
      <c r="D1301" s="13" t="s">
        <v>120</v>
      </c>
      <c r="E1301" s="13"/>
      <c r="F1301" s="109"/>
      <c r="G1301" s="504"/>
      <c r="H1301" s="504"/>
      <c r="I1301" s="504"/>
      <c r="J1301" s="504"/>
      <c r="K1301" s="504"/>
      <c r="L1301" s="504"/>
      <c r="M1301" s="504"/>
      <c r="N1301" s="504"/>
      <c r="O1301" s="110"/>
      <c r="P1301" s="109"/>
      <c r="Q1301" s="504"/>
      <c r="R1301" s="107"/>
      <c r="S1301" s="503"/>
    </row>
    <row r="1302" spans="1:19" ht="9.75" customHeight="1">
      <c r="A1302" s="503"/>
      <c r="B1302" s="503"/>
      <c r="C1302" s="13"/>
      <c r="D1302" s="13" t="s">
        <v>34</v>
      </c>
      <c r="E1302" s="13"/>
      <c r="F1302" s="109"/>
      <c r="G1302" s="504"/>
      <c r="H1302" s="504"/>
      <c r="I1302" s="504"/>
      <c r="J1302" s="504"/>
      <c r="K1302" s="504"/>
      <c r="L1302" s="504"/>
      <c r="M1302" s="504"/>
      <c r="N1302" s="504"/>
      <c r="O1302" s="110"/>
      <c r="P1302" s="109"/>
      <c r="Q1302" s="504"/>
      <c r="R1302" s="107"/>
      <c r="S1302" s="503"/>
    </row>
    <row r="1303" spans="1:19" ht="9.75" customHeight="1">
      <c r="A1303" s="503"/>
      <c r="B1303" s="503"/>
      <c r="C1303" s="13"/>
      <c r="D1303" s="13" t="s">
        <v>35</v>
      </c>
      <c r="E1303" s="13"/>
      <c r="F1303" s="109"/>
      <c r="G1303" s="504"/>
      <c r="H1303" s="504"/>
      <c r="I1303" s="504"/>
      <c r="J1303" s="504"/>
      <c r="K1303" s="504"/>
      <c r="L1303" s="504"/>
      <c r="M1303" s="504"/>
      <c r="N1303" s="504"/>
      <c r="O1303" s="110"/>
      <c r="P1303" s="109"/>
      <c r="Q1303" s="504"/>
      <c r="R1303" s="107"/>
      <c r="S1303" s="503"/>
    </row>
    <row r="1304" spans="1:19" ht="9.75" customHeight="1">
      <c r="A1304" s="503"/>
      <c r="B1304" s="503"/>
      <c r="C1304" s="13"/>
      <c r="D1304" s="13" t="s">
        <v>36</v>
      </c>
      <c r="E1304" s="13"/>
      <c r="F1304" s="109"/>
      <c r="G1304" s="504"/>
      <c r="H1304" s="504"/>
      <c r="I1304" s="504"/>
      <c r="J1304" s="504"/>
      <c r="K1304" s="504"/>
      <c r="L1304" s="504"/>
      <c r="M1304" s="504"/>
      <c r="N1304" s="504"/>
      <c r="O1304" s="110"/>
      <c r="P1304" s="109"/>
      <c r="Q1304" s="504"/>
      <c r="R1304" s="107"/>
      <c r="S1304" s="503"/>
    </row>
    <row r="1305" spans="1:19" ht="9.75" customHeight="1">
      <c r="A1305" s="503"/>
      <c r="B1305" s="503"/>
      <c r="C1305" s="13"/>
      <c r="D1305" s="13" t="s">
        <v>37</v>
      </c>
      <c r="E1305" s="13"/>
      <c r="F1305" s="109"/>
      <c r="G1305" s="504"/>
      <c r="H1305" s="504"/>
      <c r="I1305" s="504"/>
      <c r="J1305" s="504"/>
      <c r="K1305" s="504"/>
      <c r="L1305" s="504"/>
      <c r="M1305" s="504"/>
      <c r="N1305" s="504"/>
      <c r="O1305" s="110"/>
      <c r="P1305" s="109"/>
      <c r="Q1305" s="504"/>
      <c r="R1305" s="107"/>
      <c r="S1305" s="503"/>
    </row>
    <row r="1306" spans="1:19" ht="9.75" customHeight="1">
      <c r="A1306" s="503"/>
      <c r="B1306" s="503" t="s">
        <v>127</v>
      </c>
      <c r="C1306" s="2"/>
      <c r="D1306" s="3" t="s">
        <v>38</v>
      </c>
      <c r="E1306" s="3">
        <f t="shared" ref="E1306:O1306" si="238">SUM(E1290:E1305)</f>
        <v>44</v>
      </c>
      <c r="F1306" s="21">
        <f t="shared" si="238"/>
        <v>44</v>
      </c>
      <c r="G1306" s="71">
        <f t="shared" si="238"/>
        <v>44</v>
      </c>
      <c r="H1306" s="71">
        <f t="shared" si="238"/>
        <v>44</v>
      </c>
      <c r="I1306" s="71">
        <f t="shared" si="238"/>
        <v>43</v>
      </c>
      <c r="J1306" s="71">
        <f t="shared" si="238"/>
        <v>42</v>
      </c>
      <c r="K1306" s="71">
        <f t="shared" si="238"/>
        <v>41</v>
      </c>
      <c r="L1306" s="71">
        <f t="shared" si="238"/>
        <v>44</v>
      </c>
      <c r="M1306" s="71">
        <f t="shared" si="238"/>
        <v>44</v>
      </c>
      <c r="N1306" s="71">
        <f t="shared" si="238"/>
        <v>44</v>
      </c>
      <c r="O1306" s="26">
        <f t="shared" si="238"/>
        <v>44</v>
      </c>
      <c r="P1306" s="21">
        <f>MIN(F1306:O1306)</f>
        <v>41</v>
      </c>
      <c r="Q1306" s="71">
        <f>E1306-P1306</f>
        <v>3</v>
      </c>
      <c r="R1306" s="7">
        <f>Q1306/E1306</f>
        <v>6.8181818181818177E-2</v>
      </c>
      <c r="S1306" s="503"/>
    </row>
    <row r="1307" spans="1:19" ht="9.75" customHeight="1">
      <c r="A1307" s="503"/>
      <c r="B1307" s="503"/>
      <c r="C1307" s="43" t="s">
        <v>262</v>
      </c>
      <c r="D1307" s="43" t="s">
        <v>23</v>
      </c>
      <c r="E1307" s="13"/>
      <c r="F1307" s="109"/>
      <c r="G1307" s="504"/>
      <c r="H1307" s="504"/>
      <c r="I1307" s="504"/>
      <c r="J1307" s="504"/>
      <c r="K1307" s="504"/>
      <c r="L1307" s="504"/>
      <c r="M1307" s="504"/>
      <c r="N1307" s="504"/>
      <c r="O1307" s="110"/>
      <c r="P1307" s="109"/>
      <c r="Q1307" s="504"/>
      <c r="R1307" s="107"/>
      <c r="S1307" s="503"/>
    </row>
    <row r="1308" spans="1:19" ht="9.75" customHeight="1">
      <c r="A1308" s="503"/>
      <c r="B1308" s="503"/>
      <c r="C1308" s="13"/>
      <c r="D1308" s="13" t="s">
        <v>25</v>
      </c>
      <c r="E1308" s="13">
        <v>62</v>
      </c>
      <c r="F1308" s="109">
        <v>62</v>
      </c>
      <c r="G1308" s="504">
        <v>62</v>
      </c>
      <c r="H1308" s="504">
        <v>62</v>
      </c>
      <c r="I1308" s="504">
        <v>62</v>
      </c>
      <c r="J1308" s="504">
        <v>62</v>
      </c>
      <c r="K1308" s="504">
        <v>62</v>
      </c>
      <c r="L1308" s="504">
        <v>62</v>
      </c>
      <c r="M1308" s="504">
        <v>62</v>
      </c>
      <c r="N1308" s="504">
        <v>62</v>
      </c>
      <c r="O1308" s="110">
        <v>62</v>
      </c>
      <c r="P1308" s="109">
        <f>MIN(F1308:O1308)</f>
        <v>62</v>
      </c>
      <c r="Q1308" s="504">
        <f>E1308-P1308</f>
        <v>0</v>
      </c>
      <c r="R1308" s="107">
        <f>Q1308/E1308</f>
        <v>0</v>
      </c>
      <c r="S1308" s="503"/>
    </row>
    <row r="1309" spans="1:19" ht="9.75" customHeight="1">
      <c r="A1309" s="503"/>
      <c r="B1309" s="503"/>
      <c r="C1309" s="13"/>
      <c r="D1309" s="13" t="s">
        <v>27</v>
      </c>
      <c r="E1309" s="13"/>
      <c r="F1309" s="109"/>
      <c r="G1309" s="504"/>
      <c r="H1309" s="504"/>
      <c r="I1309" s="504"/>
      <c r="J1309" s="504"/>
      <c r="K1309" s="504"/>
      <c r="L1309" s="504"/>
      <c r="M1309" s="504"/>
      <c r="N1309" s="504"/>
      <c r="O1309" s="110"/>
      <c r="P1309" s="109"/>
      <c r="Q1309" s="504"/>
      <c r="R1309" s="107"/>
      <c r="S1309" s="503"/>
    </row>
    <row r="1310" spans="1:19" ht="9.75" customHeight="1">
      <c r="A1310" s="503"/>
      <c r="B1310" s="503"/>
      <c r="C1310" s="13"/>
      <c r="D1310" s="13" t="s">
        <v>115</v>
      </c>
      <c r="E1310" s="13"/>
      <c r="F1310" s="109"/>
      <c r="G1310" s="504"/>
      <c r="H1310" s="504"/>
      <c r="I1310" s="504"/>
      <c r="J1310" s="504"/>
      <c r="K1310" s="504"/>
      <c r="L1310" s="504"/>
      <c r="M1310" s="504"/>
      <c r="N1310" s="504"/>
      <c r="O1310" s="110"/>
      <c r="P1310" s="109"/>
      <c r="Q1310" s="504"/>
      <c r="R1310" s="107"/>
      <c r="S1310" s="503"/>
    </row>
    <row r="1311" spans="1:19" ht="9.75" customHeight="1">
      <c r="A1311" s="503"/>
      <c r="B1311" s="503"/>
      <c r="C1311" s="13"/>
      <c r="D1311" s="13" t="s">
        <v>115</v>
      </c>
      <c r="E1311" s="13"/>
      <c r="F1311" s="109"/>
      <c r="G1311" s="504"/>
      <c r="H1311" s="504"/>
      <c r="I1311" s="504"/>
      <c r="J1311" s="504"/>
      <c r="K1311" s="504"/>
      <c r="L1311" s="504"/>
      <c r="M1311" s="504"/>
      <c r="N1311" s="504"/>
      <c r="O1311" s="110"/>
      <c r="P1311" s="109"/>
      <c r="Q1311" s="504"/>
      <c r="R1311" s="107"/>
      <c r="S1311" s="503"/>
    </row>
    <row r="1312" spans="1:19" ht="9.75" customHeight="1">
      <c r="A1312" s="503"/>
      <c r="B1312" s="503"/>
      <c r="C1312" s="13"/>
      <c r="D1312" s="13" t="s">
        <v>32</v>
      </c>
      <c r="E1312" s="13"/>
      <c r="F1312" s="109"/>
      <c r="G1312" s="504"/>
      <c r="H1312" s="504"/>
      <c r="I1312" s="504"/>
      <c r="J1312" s="504"/>
      <c r="K1312" s="504"/>
      <c r="L1312" s="504"/>
      <c r="M1312" s="504"/>
      <c r="N1312" s="504"/>
      <c r="O1312" s="110"/>
      <c r="P1312" s="109"/>
      <c r="Q1312" s="504"/>
      <c r="R1312" s="107"/>
      <c r="S1312" s="503"/>
    </row>
    <row r="1313" spans="1:19" ht="9.75" customHeight="1">
      <c r="A1313" s="503"/>
      <c r="B1313" s="503"/>
      <c r="C1313" s="13"/>
      <c r="D1313" s="13" t="s">
        <v>120</v>
      </c>
      <c r="E1313" s="13"/>
      <c r="F1313" s="109"/>
      <c r="G1313" s="504"/>
      <c r="H1313" s="504"/>
      <c r="I1313" s="504"/>
      <c r="J1313" s="504"/>
      <c r="K1313" s="504"/>
      <c r="L1313" s="504"/>
      <c r="M1313" s="504"/>
      <c r="N1313" s="504"/>
      <c r="O1313" s="110"/>
      <c r="P1313" s="109"/>
      <c r="Q1313" s="504"/>
      <c r="R1313" s="107"/>
      <c r="S1313" s="503"/>
    </row>
    <row r="1314" spans="1:19" ht="9.75" customHeight="1">
      <c r="A1314" s="503"/>
      <c r="B1314" s="503"/>
      <c r="C1314" s="13"/>
      <c r="D1314" s="13" t="s">
        <v>120</v>
      </c>
      <c r="E1314" s="13"/>
      <c r="F1314" s="109"/>
      <c r="G1314" s="504"/>
      <c r="H1314" s="504"/>
      <c r="I1314" s="504"/>
      <c r="J1314" s="504"/>
      <c r="K1314" s="504"/>
      <c r="L1314" s="504"/>
      <c r="M1314" s="504"/>
      <c r="N1314" s="504"/>
      <c r="O1314" s="110"/>
      <c r="P1314" s="109"/>
      <c r="Q1314" s="504"/>
      <c r="R1314" s="107"/>
      <c r="S1314" s="503"/>
    </row>
    <row r="1315" spans="1:19" ht="9.75" customHeight="1">
      <c r="A1315" s="503"/>
      <c r="B1315" s="503"/>
      <c r="C1315" s="13"/>
      <c r="D1315" s="13" t="s">
        <v>120</v>
      </c>
      <c r="E1315" s="13"/>
      <c r="F1315" s="109"/>
      <c r="G1315" s="504"/>
      <c r="H1315" s="504"/>
      <c r="I1315" s="504"/>
      <c r="J1315" s="504"/>
      <c r="K1315" s="504"/>
      <c r="L1315" s="504"/>
      <c r="M1315" s="504"/>
      <c r="N1315" s="504"/>
      <c r="O1315" s="110"/>
      <c r="P1315" s="109"/>
      <c r="Q1315" s="504"/>
      <c r="R1315" s="107"/>
      <c r="S1315" s="503"/>
    </row>
    <row r="1316" spans="1:19" ht="9.75" customHeight="1">
      <c r="A1316" s="503"/>
      <c r="B1316" s="503"/>
      <c r="C1316" s="13"/>
      <c r="D1316" s="13" t="s">
        <v>120</v>
      </c>
      <c r="E1316" s="13"/>
      <c r="F1316" s="109"/>
      <c r="G1316" s="504"/>
      <c r="H1316" s="504"/>
      <c r="I1316" s="504"/>
      <c r="J1316" s="504"/>
      <c r="K1316" s="504"/>
      <c r="L1316" s="504"/>
      <c r="M1316" s="504"/>
      <c r="N1316" s="504"/>
      <c r="O1316" s="110"/>
      <c r="P1316" s="109"/>
      <c r="Q1316" s="504"/>
      <c r="R1316" s="107"/>
      <c r="S1316" s="503"/>
    </row>
    <row r="1317" spans="1:19" ht="9.75" customHeight="1">
      <c r="A1317" s="503"/>
      <c r="B1317" s="503"/>
      <c r="C1317" s="13"/>
      <c r="D1317" s="13" t="s">
        <v>120</v>
      </c>
      <c r="E1317" s="13"/>
      <c r="F1317" s="109"/>
      <c r="G1317" s="504"/>
      <c r="H1317" s="504"/>
      <c r="I1317" s="504"/>
      <c r="J1317" s="504"/>
      <c r="K1317" s="504"/>
      <c r="L1317" s="504"/>
      <c r="M1317" s="504"/>
      <c r="N1317" s="504"/>
      <c r="O1317" s="110"/>
      <c r="P1317" s="109"/>
      <c r="Q1317" s="504"/>
      <c r="R1317" s="107"/>
      <c r="S1317" s="503"/>
    </row>
    <row r="1318" spans="1:19" ht="9.75" customHeight="1">
      <c r="A1318" s="503"/>
      <c r="B1318" s="503"/>
      <c r="C1318" s="13"/>
      <c r="D1318" s="13" t="s">
        <v>120</v>
      </c>
      <c r="E1318" s="13"/>
      <c r="F1318" s="109"/>
      <c r="G1318" s="504"/>
      <c r="H1318" s="504"/>
      <c r="I1318" s="504"/>
      <c r="J1318" s="504"/>
      <c r="K1318" s="504"/>
      <c r="L1318" s="504"/>
      <c r="M1318" s="504"/>
      <c r="N1318" s="504"/>
      <c r="O1318" s="110"/>
      <c r="P1318" s="109"/>
      <c r="Q1318" s="504"/>
      <c r="R1318" s="107"/>
      <c r="S1318" s="503"/>
    </row>
    <row r="1319" spans="1:19" ht="9.75" customHeight="1">
      <c r="A1319" s="503"/>
      <c r="B1319" s="503"/>
      <c r="C1319" s="13"/>
      <c r="D1319" s="13" t="s">
        <v>34</v>
      </c>
      <c r="E1319" s="13"/>
      <c r="F1319" s="109"/>
      <c r="G1319" s="504"/>
      <c r="H1319" s="504"/>
      <c r="I1319" s="504"/>
      <c r="J1319" s="504"/>
      <c r="K1319" s="504"/>
      <c r="L1319" s="504"/>
      <c r="M1319" s="504"/>
      <c r="N1319" s="504"/>
      <c r="O1319" s="110"/>
      <c r="P1319" s="109"/>
      <c r="Q1319" s="504"/>
      <c r="R1319" s="107"/>
      <c r="S1319" s="503"/>
    </row>
    <row r="1320" spans="1:19" ht="9.75" customHeight="1">
      <c r="A1320" s="503"/>
      <c r="B1320" s="503"/>
      <c r="C1320" s="13"/>
      <c r="D1320" s="13" t="s">
        <v>35</v>
      </c>
      <c r="E1320" s="13"/>
      <c r="F1320" s="109"/>
      <c r="G1320" s="504"/>
      <c r="H1320" s="504"/>
      <c r="I1320" s="504"/>
      <c r="J1320" s="504"/>
      <c r="K1320" s="504"/>
      <c r="L1320" s="504"/>
      <c r="M1320" s="504"/>
      <c r="N1320" s="504"/>
      <c r="O1320" s="110"/>
      <c r="P1320" s="109"/>
      <c r="Q1320" s="504"/>
      <c r="R1320" s="107"/>
      <c r="S1320" s="503"/>
    </row>
    <row r="1321" spans="1:19" ht="9.75" customHeight="1">
      <c r="A1321" s="503"/>
      <c r="B1321" s="503"/>
      <c r="C1321" s="13"/>
      <c r="D1321" s="13" t="s">
        <v>36</v>
      </c>
      <c r="E1321" s="13"/>
      <c r="F1321" s="109"/>
      <c r="G1321" s="504"/>
      <c r="H1321" s="504"/>
      <c r="I1321" s="504"/>
      <c r="J1321" s="504"/>
      <c r="K1321" s="504"/>
      <c r="L1321" s="504"/>
      <c r="M1321" s="504"/>
      <c r="N1321" s="504"/>
      <c r="O1321" s="110"/>
      <c r="P1321" s="109"/>
      <c r="Q1321" s="504"/>
      <c r="R1321" s="107"/>
      <c r="S1321" s="503"/>
    </row>
    <row r="1322" spans="1:19" ht="9.75" customHeight="1">
      <c r="A1322" s="503"/>
      <c r="B1322" s="503"/>
      <c r="C1322" s="13"/>
      <c r="D1322" s="13" t="s">
        <v>37</v>
      </c>
      <c r="E1322" s="13"/>
      <c r="F1322" s="109"/>
      <c r="G1322" s="504"/>
      <c r="H1322" s="504"/>
      <c r="I1322" s="504"/>
      <c r="J1322" s="504"/>
      <c r="K1322" s="504"/>
      <c r="L1322" s="504"/>
      <c r="M1322" s="504"/>
      <c r="N1322" s="504"/>
      <c r="O1322" s="110"/>
      <c r="P1322" s="109"/>
      <c r="Q1322" s="504"/>
      <c r="R1322" s="107"/>
      <c r="S1322" s="503"/>
    </row>
    <row r="1323" spans="1:19" ht="9.75" customHeight="1">
      <c r="A1323" s="503"/>
      <c r="B1323" s="503" t="s">
        <v>127</v>
      </c>
      <c r="C1323" s="2"/>
      <c r="D1323" s="3" t="s">
        <v>38</v>
      </c>
      <c r="E1323" s="3">
        <f t="shared" ref="E1323" si="239">SUM(E1307:E1322)</f>
        <v>62</v>
      </c>
      <c r="F1323" s="21">
        <f t="shared" ref="F1323:O1323" si="240">SUM(F1307:F1322)</f>
        <v>62</v>
      </c>
      <c r="G1323" s="71">
        <f t="shared" si="240"/>
        <v>62</v>
      </c>
      <c r="H1323" s="71">
        <f t="shared" si="240"/>
        <v>62</v>
      </c>
      <c r="I1323" s="71">
        <f t="shared" si="240"/>
        <v>62</v>
      </c>
      <c r="J1323" s="71">
        <f t="shared" si="240"/>
        <v>62</v>
      </c>
      <c r="K1323" s="71">
        <f t="shared" si="240"/>
        <v>62</v>
      </c>
      <c r="L1323" s="71">
        <f t="shared" si="240"/>
        <v>62</v>
      </c>
      <c r="M1323" s="71">
        <f t="shared" si="240"/>
        <v>62</v>
      </c>
      <c r="N1323" s="71">
        <f t="shared" si="240"/>
        <v>62</v>
      </c>
      <c r="O1323" s="26">
        <f t="shared" si="240"/>
        <v>62</v>
      </c>
      <c r="P1323" s="21">
        <f>MIN(F1323:O1323)</f>
        <v>62</v>
      </c>
      <c r="Q1323" s="71">
        <f>E1323-P1323</f>
        <v>0</v>
      </c>
      <c r="R1323" s="7">
        <f>Q1323/E1323</f>
        <v>0</v>
      </c>
      <c r="S1323" s="503"/>
    </row>
    <row r="1324" spans="1:19" ht="9.75" customHeight="1">
      <c r="A1324" s="503"/>
      <c r="B1324" s="503"/>
      <c r="C1324" s="43" t="s">
        <v>263</v>
      </c>
      <c r="D1324" s="43" t="s">
        <v>23</v>
      </c>
      <c r="E1324" s="13"/>
      <c r="F1324" s="109"/>
      <c r="G1324" s="504"/>
      <c r="H1324" s="504"/>
      <c r="I1324" s="504"/>
      <c r="J1324" s="504"/>
      <c r="K1324" s="504"/>
      <c r="L1324" s="504"/>
      <c r="M1324" s="504"/>
      <c r="N1324" s="504"/>
      <c r="O1324" s="110"/>
      <c r="P1324" s="109"/>
      <c r="Q1324" s="504"/>
      <c r="R1324" s="107"/>
      <c r="S1324" s="503"/>
    </row>
    <row r="1325" spans="1:19" ht="9.75" customHeight="1">
      <c r="A1325" s="503"/>
      <c r="B1325" s="503"/>
      <c r="C1325" s="13"/>
      <c r="D1325" s="13" t="s">
        <v>25</v>
      </c>
      <c r="E1325" s="13">
        <v>1</v>
      </c>
      <c r="F1325" s="109">
        <v>0</v>
      </c>
      <c r="G1325" s="504">
        <v>0</v>
      </c>
      <c r="H1325" s="504">
        <v>0</v>
      </c>
      <c r="I1325" s="504">
        <v>0</v>
      </c>
      <c r="J1325" s="504">
        <v>0</v>
      </c>
      <c r="K1325" s="504">
        <v>0</v>
      </c>
      <c r="L1325" s="504">
        <v>0</v>
      </c>
      <c r="M1325" s="504">
        <v>0</v>
      </c>
      <c r="N1325" s="504">
        <v>0</v>
      </c>
      <c r="O1325" s="110">
        <v>0</v>
      </c>
      <c r="P1325" s="109">
        <f>MIN(F1325:O1325)</f>
        <v>0</v>
      </c>
      <c r="Q1325" s="504">
        <f>E1325-P1325</f>
        <v>1</v>
      </c>
      <c r="R1325" s="107">
        <f>Q1325/E1325</f>
        <v>1</v>
      </c>
      <c r="S1325" s="503"/>
    </row>
    <row r="1326" spans="1:19" ht="9.75" customHeight="1">
      <c r="A1326" s="503"/>
      <c r="B1326" s="503"/>
      <c r="C1326" s="13"/>
      <c r="D1326" s="13" t="s">
        <v>27</v>
      </c>
      <c r="E1326" s="13"/>
      <c r="F1326" s="109"/>
      <c r="G1326" s="504"/>
      <c r="H1326" s="504"/>
      <c r="I1326" s="504"/>
      <c r="J1326" s="504"/>
      <c r="K1326" s="504"/>
      <c r="L1326" s="504"/>
      <c r="M1326" s="504"/>
      <c r="N1326" s="504"/>
      <c r="O1326" s="110"/>
      <c r="P1326" s="109"/>
      <c r="Q1326" s="504"/>
      <c r="R1326" s="107"/>
      <c r="S1326" s="503"/>
    </row>
    <row r="1327" spans="1:19" ht="9.75" customHeight="1">
      <c r="A1327" s="503"/>
      <c r="B1327" s="503"/>
      <c r="C1327" s="13"/>
      <c r="D1327" s="13" t="s">
        <v>251</v>
      </c>
      <c r="E1327" s="13">
        <v>10</v>
      </c>
      <c r="F1327" s="109">
        <v>10</v>
      </c>
      <c r="G1327" s="504">
        <v>10</v>
      </c>
      <c r="H1327" s="504">
        <v>10</v>
      </c>
      <c r="I1327" s="504">
        <v>9</v>
      </c>
      <c r="J1327" s="504">
        <v>9</v>
      </c>
      <c r="K1327" s="504">
        <v>9</v>
      </c>
      <c r="L1327" s="504">
        <v>9</v>
      </c>
      <c r="M1327" s="504">
        <v>10</v>
      </c>
      <c r="N1327" s="504">
        <v>10</v>
      </c>
      <c r="O1327" s="110">
        <v>10</v>
      </c>
      <c r="P1327" s="109">
        <f>MIN(F1327:O1327)</f>
        <v>9</v>
      </c>
      <c r="Q1327" s="504">
        <f>E1327-P1327</f>
        <v>1</v>
      </c>
      <c r="R1327" s="107">
        <f>Q1327/E1327</f>
        <v>0.1</v>
      </c>
      <c r="S1327" s="503"/>
    </row>
    <row r="1328" spans="1:19" ht="9.75" customHeight="1">
      <c r="A1328" s="503"/>
      <c r="B1328" s="503"/>
      <c r="C1328" s="13"/>
      <c r="D1328" s="13" t="s">
        <v>115</v>
      </c>
      <c r="E1328" s="13"/>
      <c r="F1328" s="109"/>
      <c r="G1328" s="504"/>
      <c r="H1328" s="504"/>
      <c r="I1328" s="504"/>
      <c r="J1328" s="504"/>
      <c r="K1328" s="504"/>
      <c r="L1328" s="504"/>
      <c r="M1328" s="504"/>
      <c r="N1328" s="504"/>
      <c r="O1328" s="110"/>
      <c r="P1328" s="109"/>
      <c r="Q1328" s="504"/>
      <c r="R1328" s="107"/>
      <c r="S1328" s="503"/>
    </row>
    <row r="1329" spans="1:19" ht="9.75" customHeight="1">
      <c r="A1329" s="503"/>
      <c r="B1329" s="503"/>
      <c r="C1329" s="13"/>
      <c r="D1329" s="13" t="s">
        <v>32</v>
      </c>
      <c r="E1329" s="13">
        <v>3</v>
      </c>
      <c r="F1329" s="109">
        <v>3</v>
      </c>
      <c r="G1329" s="504">
        <v>3</v>
      </c>
      <c r="H1329" s="504">
        <v>3</v>
      </c>
      <c r="I1329" s="504">
        <v>3</v>
      </c>
      <c r="J1329" s="504">
        <v>3</v>
      </c>
      <c r="K1329" s="504">
        <v>3</v>
      </c>
      <c r="L1329" s="504">
        <v>3</v>
      </c>
      <c r="M1329" s="504">
        <v>3</v>
      </c>
      <c r="N1329" s="504">
        <v>3</v>
      </c>
      <c r="O1329" s="110">
        <v>3</v>
      </c>
      <c r="P1329" s="109">
        <f t="shared" ref="P1329:P1330" si="241">MIN(F1329:O1329)</f>
        <v>3</v>
      </c>
      <c r="Q1329" s="504">
        <f t="shared" ref="Q1329:Q1330" si="242">E1329-P1329</f>
        <v>0</v>
      </c>
      <c r="R1329" s="107">
        <f t="shared" ref="R1329:R1330" si="243">Q1329/E1329</f>
        <v>0</v>
      </c>
      <c r="S1329" s="503"/>
    </row>
    <row r="1330" spans="1:19" ht="9.75" customHeight="1">
      <c r="A1330" s="503"/>
      <c r="B1330" s="503"/>
      <c r="C1330" s="13"/>
      <c r="D1330" s="13" t="s">
        <v>264</v>
      </c>
      <c r="E1330" s="13">
        <v>1</v>
      </c>
      <c r="F1330" s="109">
        <v>1</v>
      </c>
      <c r="G1330" s="504">
        <v>1</v>
      </c>
      <c r="H1330" s="504">
        <v>1</v>
      </c>
      <c r="I1330" s="504">
        <v>1</v>
      </c>
      <c r="J1330" s="504">
        <v>1</v>
      </c>
      <c r="K1330" s="504">
        <v>1</v>
      </c>
      <c r="L1330" s="504">
        <v>1</v>
      </c>
      <c r="M1330" s="504">
        <v>1</v>
      </c>
      <c r="N1330" s="504">
        <v>1</v>
      </c>
      <c r="O1330" s="110">
        <v>1</v>
      </c>
      <c r="P1330" s="109">
        <f t="shared" si="241"/>
        <v>1</v>
      </c>
      <c r="Q1330" s="504">
        <f t="shared" si="242"/>
        <v>0</v>
      </c>
      <c r="R1330" s="107">
        <f t="shared" si="243"/>
        <v>0</v>
      </c>
      <c r="S1330" s="503"/>
    </row>
    <row r="1331" spans="1:19" ht="9.75" customHeight="1">
      <c r="A1331" s="503"/>
      <c r="B1331" s="503"/>
      <c r="C1331" s="13"/>
      <c r="D1331" s="13" t="s">
        <v>120</v>
      </c>
      <c r="E1331" s="13"/>
      <c r="F1331" s="109"/>
      <c r="G1331" s="504"/>
      <c r="H1331" s="504"/>
      <c r="I1331" s="504"/>
      <c r="J1331" s="504"/>
      <c r="K1331" s="504"/>
      <c r="L1331" s="504"/>
      <c r="M1331" s="504"/>
      <c r="N1331" s="504"/>
      <c r="O1331" s="110"/>
      <c r="P1331" s="109"/>
      <c r="Q1331" s="504"/>
      <c r="R1331" s="107"/>
      <c r="S1331" s="503"/>
    </row>
    <row r="1332" spans="1:19" ht="9.75" customHeight="1">
      <c r="A1332" s="503"/>
      <c r="B1332" s="503"/>
      <c r="C1332" s="13"/>
      <c r="D1332" s="13" t="s">
        <v>120</v>
      </c>
      <c r="E1332" s="13"/>
      <c r="F1332" s="109"/>
      <c r="G1332" s="504"/>
      <c r="H1332" s="504"/>
      <c r="I1332" s="504"/>
      <c r="J1332" s="504"/>
      <c r="K1332" s="504"/>
      <c r="L1332" s="504"/>
      <c r="M1332" s="504"/>
      <c r="N1332" s="504"/>
      <c r="O1332" s="110"/>
      <c r="P1332" s="109"/>
      <c r="Q1332" s="504"/>
      <c r="R1332" s="107"/>
      <c r="S1332" s="503"/>
    </row>
    <row r="1333" spans="1:19" ht="9.75" customHeight="1">
      <c r="A1333" s="503"/>
      <c r="B1333" s="503"/>
      <c r="C1333" s="13"/>
      <c r="D1333" s="13" t="s">
        <v>120</v>
      </c>
      <c r="E1333" s="13"/>
      <c r="F1333" s="109"/>
      <c r="G1333" s="504"/>
      <c r="H1333" s="504"/>
      <c r="I1333" s="504"/>
      <c r="J1333" s="504"/>
      <c r="K1333" s="504"/>
      <c r="L1333" s="504"/>
      <c r="M1333" s="504"/>
      <c r="N1333" s="504"/>
      <c r="O1333" s="110"/>
      <c r="P1333" s="109"/>
      <c r="Q1333" s="504"/>
      <c r="R1333" s="107"/>
      <c r="S1333" s="503"/>
    </row>
    <row r="1334" spans="1:19" ht="9.75" customHeight="1">
      <c r="A1334" s="503"/>
      <c r="B1334" s="503"/>
      <c r="C1334" s="13"/>
      <c r="D1334" s="13" t="s">
        <v>120</v>
      </c>
      <c r="E1334" s="13"/>
      <c r="F1334" s="109"/>
      <c r="G1334" s="504"/>
      <c r="H1334" s="504"/>
      <c r="I1334" s="504"/>
      <c r="J1334" s="504"/>
      <c r="K1334" s="504"/>
      <c r="L1334" s="504"/>
      <c r="M1334" s="504"/>
      <c r="N1334" s="504"/>
      <c r="O1334" s="110"/>
      <c r="P1334" s="109"/>
      <c r="Q1334" s="504"/>
      <c r="R1334" s="107"/>
      <c r="S1334" s="503"/>
    </row>
    <row r="1335" spans="1:19" ht="9.75" customHeight="1">
      <c r="A1335" s="503"/>
      <c r="B1335" s="503"/>
      <c r="C1335" s="13"/>
      <c r="D1335" s="13" t="s">
        <v>120</v>
      </c>
      <c r="E1335" s="13"/>
      <c r="F1335" s="109"/>
      <c r="G1335" s="504"/>
      <c r="H1335" s="504"/>
      <c r="I1335" s="504"/>
      <c r="J1335" s="504"/>
      <c r="K1335" s="504"/>
      <c r="L1335" s="504"/>
      <c r="M1335" s="504"/>
      <c r="N1335" s="504"/>
      <c r="O1335" s="110"/>
      <c r="P1335" s="109"/>
      <c r="Q1335" s="504"/>
      <c r="R1335" s="107"/>
      <c r="S1335" s="503"/>
    </row>
    <row r="1336" spans="1:19" ht="9.75" customHeight="1">
      <c r="A1336" s="503"/>
      <c r="B1336" s="503"/>
      <c r="C1336" s="13"/>
      <c r="D1336" s="13" t="s">
        <v>34</v>
      </c>
      <c r="E1336" s="13"/>
      <c r="F1336" s="109"/>
      <c r="G1336" s="504"/>
      <c r="H1336" s="504"/>
      <c r="I1336" s="504"/>
      <c r="J1336" s="504"/>
      <c r="K1336" s="504"/>
      <c r="L1336" s="504"/>
      <c r="M1336" s="504"/>
      <c r="N1336" s="504"/>
      <c r="O1336" s="110"/>
      <c r="P1336" s="109"/>
      <c r="Q1336" s="504"/>
      <c r="R1336" s="107"/>
      <c r="S1336" s="503"/>
    </row>
    <row r="1337" spans="1:19" ht="9.75" customHeight="1">
      <c r="A1337" s="503"/>
      <c r="B1337" s="503"/>
      <c r="C1337" s="13"/>
      <c r="D1337" s="13" t="s">
        <v>35</v>
      </c>
      <c r="E1337" s="13"/>
      <c r="F1337" s="109"/>
      <c r="G1337" s="504"/>
      <c r="H1337" s="504"/>
      <c r="I1337" s="504"/>
      <c r="J1337" s="504"/>
      <c r="K1337" s="504"/>
      <c r="L1337" s="504"/>
      <c r="M1337" s="504"/>
      <c r="N1337" s="504"/>
      <c r="O1337" s="110"/>
      <c r="P1337" s="109"/>
      <c r="Q1337" s="504"/>
      <c r="R1337" s="107"/>
      <c r="S1337" s="503"/>
    </row>
    <row r="1338" spans="1:19" ht="9.75" customHeight="1">
      <c r="A1338" s="503"/>
      <c r="B1338" s="503"/>
      <c r="C1338" s="13"/>
      <c r="D1338" s="13" t="s">
        <v>36</v>
      </c>
      <c r="E1338" s="13"/>
      <c r="F1338" s="109"/>
      <c r="G1338" s="504"/>
      <c r="H1338" s="504"/>
      <c r="I1338" s="504"/>
      <c r="J1338" s="504"/>
      <c r="K1338" s="504"/>
      <c r="L1338" s="504"/>
      <c r="M1338" s="504"/>
      <c r="N1338" s="504"/>
      <c r="O1338" s="110"/>
      <c r="P1338" s="109"/>
      <c r="Q1338" s="504"/>
      <c r="R1338" s="107"/>
      <c r="S1338" s="503"/>
    </row>
    <row r="1339" spans="1:19" ht="9.75" customHeight="1">
      <c r="A1339" s="503"/>
      <c r="B1339" s="503"/>
      <c r="C1339" s="13"/>
      <c r="D1339" s="13" t="s">
        <v>37</v>
      </c>
      <c r="E1339" s="13"/>
      <c r="F1339" s="109"/>
      <c r="G1339" s="504"/>
      <c r="H1339" s="504"/>
      <c r="I1339" s="504"/>
      <c r="J1339" s="504"/>
      <c r="K1339" s="504"/>
      <c r="L1339" s="504"/>
      <c r="M1339" s="504"/>
      <c r="N1339" s="504"/>
      <c r="O1339" s="110"/>
      <c r="P1339" s="109"/>
      <c r="Q1339" s="504"/>
      <c r="R1339" s="107"/>
      <c r="S1339" s="503"/>
    </row>
    <row r="1340" spans="1:19" ht="9.75" customHeight="1">
      <c r="A1340" s="503"/>
      <c r="B1340" s="503" t="s">
        <v>127</v>
      </c>
      <c r="C1340" s="2"/>
      <c r="D1340" s="3" t="s">
        <v>38</v>
      </c>
      <c r="E1340" s="3">
        <f t="shared" ref="E1340" si="244">SUM(E1324:E1339)</f>
        <v>15</v>
      </c>
      <c r="F1340" s="21">
        <f t="shared" ref="F1340:O1340" si="245">SUM(F1324:F1339)</f>
        <v>14</v>
      </c>
      <c r="G1340" s="71">
        <f t="shared" si="245"/>
        <v>14</v>
      </c>
      <c r="H1340" s="71">
        <f t="shared" si="245"/>
        <v>14</v>
      </c>
      <c r="I1340" s="71">
        <f t="shared" si="245"/>
        <v>13</v>
      </c>
      <c r="J1340" s="71">
        <f t="shared" si="245"/>
        <v>13</v>
      </c>
      <c r="K1340" s="71">
        <f t="shared" si="245"/>
        <v>13</v>
      </c>
      <c r="L1340" s="71">
        <f t="shared" si="245"/>
        <v>13</v>
      </c>
      <c r="M1340" s="71">
        <f t="shared" si="245"/>
        <v>14</v>
      </c>
      <c r="N1340" s="71">
        <f t="shared" si="245"/>
        <v>14</v>
      </c>
      <c r="O1340" s="26">
        <f t="shared" si="245"/>
        <v>14</v>
      </c>
      <c r="P1340" s="21">
        <f>MIN(F1340:O1340)</f>
        <v>13</v>
      </c>
      <c r="Q1340" s="71">
        <f>E1340-P1340</f>
        <v>2</v>
      </c>
      <c r="R1340" s="7">
        <f>Q1340/E1340</f>
        <v>0.13333333333333333</v>
      </c>
      <c r="S1340" s="503"/>
    </row>
    <row r="1341" spans="1:19" ht="9.75" customHeight="1">
      <c r="A1341" s="503"/>
      <c r="B1341" s="503"/>
      <c r="C1341" s="43" t="s">
        <v>265</v>
      </c>
      <c r="D1341" s="43" t="s">
        <v>23</v>
      </c>
      <c r="E1341" s="43"/>
      <c r="F1341" s="116"/>
      <c r="G1341" s="128"/>
      <c r="H1341" s="128"/>
      <c r="I1341" s="128"/>
      <c r="J1341" s="128"/>
      <c r="K1341" s="128"/>
      <c r="L1341" s="128"/>
      <c r="M1341" s="128"/>
      <c r="N1341" s="128"/>
      <c r="O1341" s="129"/>
      <c r="P1341" s="116"/>
      <c r="Q1341" s="128"/>
      <c r="R1341" s="141"/>
      <c r="S1341" s="503"/>
    </row>
    <row r="1342" spans="1:19" ht="9.75" customHeight="1">
      <c r="A1342" s="503"/>
      <c r="B1342" s="503"/>
      <c r="C1342" s="13"/>
      <c r="D1342" s="13" t="s">
        <v>25</v>
      </c>
      <c r="E1342" s="13"/>
      <c r="F1342" s="109"/>
      <c r="G1342" s="504"/>
      <c r="H1342" s="504"/>
      <c r="I1342" s="504"/>
      <c r="J1342" s="504"/>
      <c r="K1342" s="504"/>
      <c r="L1342" s="504"/>
      <c r="M1342" s="504"/>
      <c r="N1342" s="504"/>
      <c r="O1342" s="110"/>
      <c r="P1342" s="109"/>
      <c r="Q1342" s="504"/>
      <c r="R1342" s="107"/>
      <c r="S1342" s="503"/>
    </row>
    <row r="1343" spans="1:19" ht="9.75" customHeight="1">
      <c r="A1343" s="503"/>
      <c r="B1343" s="503"/>
      <c r="C1343" s="13"/>
      <c r="D1343" s="13" t="s">
        <v>27</v>
      </c>
      <c r="E1343" s="13">
        <v>88</v>
      </c>
      <c r="F1343" s="109">
        <v>0</v>
      </c>
      <c r="G1343" s="504">
        <v>1</v>
      </c>
      <c r="H1343" s="504">
        <v>0</v>
      </c>
      <c r="I1343" s="504">
        <v>1</v>
      </c>
      <c r="J1343" s="504">
        <v>4</v>
      </c>
      <c r="K1343" s="504">
        <v>0</v>
      </c>
      <c r="L1343" s="504">
        <v>2</v>
      </c>
      <c r="M1343" s="504">
        <v>4</v>
      </c>
      <c r="N1343" s="504">
        <v>2</v>
      </c>
      <c r="O1343" s="110">
        <v>1</v>
      </c>
      <c r="P1343" s="109">
        <f t="shared" ref="P1343:P1344" si="246">MIN(F1343:O1343)</f>
        <v>0</v>
      </c>
      <c r="Q1343" s="504">
        <f t="shared" ref="Q1343:Q1344" si="247">E1343-P1343</f>
        <v>88</v>
      </c>
      <c r="R1343" s="107">
        <f t="shared" ref="R1343:R1344" si="248">Q1343/E1343</f>
        <v>1</v>
      </c>
      <c r="S1343" s="503"/>
    </row>
    <row r="1344" spans="1:19" ht="9.75" customHeight="1">
      <c r="A1344" s="503"/>
      <c r="B1344" s="503"/>
      <c r="C1344" s="13"/>
      <c r="D1344" s="13" t="s">
        <v>251</v>
      </c>
      <c r="E1344" s="13">
        <v>2</v>
      </c>
      <c r="F1344" s="109">
        <v>0</v>
      </c>
      <c r="G1344" s="504">
        <v>0</v>
      </c>
      <c r="H1344" s="504">
        <v>1</v>
      </c>
      <c r="I1344" s="504">
        <v>1</v>
      </c>
      <c r="J1344" s="504">
        <v>1</v>
      </c>
      <c r="K1344" s="504">
        <v>1</v>
      </c>
      <c r="L1344" s="504">
        <v>0</v>
      </c>
      <c r="M1344" s="504">
        <v>0</v>
      </c>
      <c r="N1344" s="504">
        <v>0</v>
      </c>
      <c r="O1344" s="110">
        <v>0</v>
      </c>
      <c r="P1344" s="109">
        <f t="shared" si="246"/>
        <v>0</v>
      </c>
      <c r="Q1344" s="504">
        <f t="shared" si="247"/>
        <v>2</v>
      </c>
      <c r="R1344" s="107">
        <f t="shared" si="248"/>
        <v>1</v>
      </c>
      <c r="S1344" s="503"/>
    </row>
    <row r="1345" spans="1:19" ht="9.75" customHeight="1">
      <c r="A1345" s="503"/>
      <c r="B1345" s="503"/>
      <c r="C1345" s="13"/>
      <c r="D1345" s="13" t="s">
        <v>115</v>
      </c>
      <c r="E1345" s="13"/>
      <c r="F1345" s="109"/>
      <c r="G1345" s="504"/>
      <c r="H1345" s="504"/>
      <c r="I1345" s="504"/>
      <c r="J1345" s="504"/>
      <c r="K1345" s="504"/>
      <c r="L1345" s="504"/>
      <c r="M1345" s="504"/>
      <c r="N1345" s="504"/>
      <c r="O1345" s="110"/>
      <c r="P1345" s="109"/>
      <c r="Q1345" s="504"/>
      <c r="R1345" s="107"/>
      <c r="S1345" s="503"/>
    </row>
    <row r="1346" spans="1:19" ht="9.75" customHeight="1">
      <c r="A1346" s="503"/>
      <c r="B1346" s="503"/>
      <c r="C1346" s="13"/>
      <c r="D1346" s="13" t="s">
        <v>32</v>
      </c>
      <c r="E1346" s="13"/>
      <c r="F1346" s="109"/>
      <c r="G1346" s="504"/>
      <c r="H1346" s="504"/>
      <c r="I1346" s="504"/>
      <c r="J1346" s="504"/>
      <c r="K1346" s="504"/>
      <c r="L1346" s="504"/>
      <c r="M1346" s="504"/>
      <c r="N1346" s="504"/>
      <c r="O1346" s="110"/>
      <c r="P1346" s="109"/>
      <c r="Q1346" s="504"/>
      <c r="R1346" s="107"/>
      <c r="S1346" s="503"/>
    </row>
    <row r="1347" spans="1:19" ht="9.75" customHeight="1">
      <c r="A1347" s="503"/>
      <c r="B1347" s="503"/>
      <c r="C1347" s="13"/>
      <c r="D1347" s="13" t="s">
        <v>155</v>
      </c>
      <c r="E1347" s="13">
        <v>9</v>
      </c>
      <c r="F1347" s="109">
        <v>0</v>
      </c>
      <c r="G1347" s="504">
        <v>2</v>
      </c>
      <c r="H1347" s="504">
        <v>0</v>
      </c>
      <c r="I1347" s="504">
        <v>0</v>
      </c>
      <c r="J1347" s="504">
        <v>0</v>
      </c>
      <c r="K1347" s="504">
        <v>1</v>
      </c>
      <c r="L1347" s="504">
        <v>2</v>
      </c>
      <c r="M1347" s="504">
        <v>2</v>
      </c>
      <c r="N1347" s="504">
        <v>1</v>
      </c>
      <c r="O1347" s="110">
        <v>2</v>
      </c>
      <c r="P1347" s="109">
        <f>MIN(F1347:O1347)</f>
        <v>0</v>
      </c>
      <c r="Q1347" s="504">
        <f>E1347-P1347</f>
        <v>9</v>
      </c>
      <c r="R1347" s="107">
        <f>Q1347/E1347</f>
        <v>1</v>
      </c>
      <c r="S1347" s="503"/>
    </row>
    <row r="1348" spans="1:19" ht="9.75" customHeight="1">
      <c r="A1348" s="503"/>
      <c r="B1348" s="503"/>
      <c r="C1348" s="13"/>
      <c r="D1348" s="13" t="s">
        <v>120</v>
      </c>
      <c r="E1348" s="13"/>
      <c r="F1348" s="109"/>
      <c r="G1348" s="504"/>
      <c r="H1348" s="504"/>
      <c r="I1348" s="504"/>
      <c r="J1348" s="504"/>
      <c r="K1348" s="504"/>
      <c r="L1348" s="504"/>
      <c r="M1348" s="504"/>
      <c r="N1348" s="504"/>
      <c r="O1348" s="110"/>
      <c r="P1348" s="109"/>
      <c r="Q1348" s="504"/>
      <c r="R1348" s="107"/>
      <c r="S1348" s="503"/>
    </row>
    <row r="1349" spans="1:19" ht="9.75" customHeight="1">
      <c r="A1349" s="503"/>
      <c r="B1349" s="503"/>
      <c r="C1349" s="13"/>
      <c r="D1349" s="13" t="s">
        <v>120</v>
      </c>
      <c r="E1349" s="13"/>
      <c r="F1349" s="109"/>
      <c r="G1349" s="504"/>
      <c r="H1349" s="504"/>
      <c r="I1349" s="504"/>
      <c r="J1349" s="504"/>
      <c r="K1349" s="504"/>
      <c r="L1349" s="504"/>
      <c r="M1349" s="504"/>
      <c r="N1349" s="504"/>
      <c r="O1349" s="110"/>
      <c r="P1349" s="109"/>
      <c r="Q1349" s="504"/>
      <c r="R1349" s="107"/>
      <c r="S1349" s="503"/>
    </row>
    <row r="1350" spans="1:19" ht="9.75" customHeight="1">
      <c r="A1350" s="503"/>
      <c r="B1350" s="503"/>
      <c r="C1350" s="13"/>
      <c r="D1350" s="13" t="s">
        <v>120</v>
      </c>
      <c r="E1350" s="13"/>
      <c r="F1350" s="109"/>
      <c r="G1350" s="504"/>
      <c r="H1350" s="504"/>
      <c r="I1350" s="504"/>
      <c r="J1350" s="504"/>
      <c r="K1350" s="504"/>
      <c r="L1350" s="504"/>
      <c r="M1350" s="504"/>
      <c r="N1350" s="504"/>
      <c r="O1350" s="110"/>
      <c r="P1350" s="109"/>
      <c r="Q1350" s="504"/>
      <c r="R1350" s="107"/>
      <c r="S1350" s="503"/>
    </row>
    <row r="1351" spans="1:19" ht="9.75" customHeight="1">
      <c r="A1351" s="503"/>
      <c r="B1351" s="503"/>
      <c r="C1351" s="13"/>
      <c r="D1351" s="13" t="s">
        <v>120</v>
      </c>
      <c r="E1351" s="13"/>
      <c r="F1351" s="109"/>
      <c r="G1351" s="504"/>
      <c r="H1351" s="504"/>
      <c r="I1351" s="504"/>
      <c r="J1351" s="504"/>
      <c r="K1351" s="504"/>
      <c r="L1351" s="504"/>
      <c r="M1351" s="504"/>
      <c r="N1351" s="504"/>
      <c r="O1351" s="110"/>
      <c r="P1351" s="109"/>
      <c r="Q1351" s="504"/>
      <c r="R1351" s="107"/>
      <c r="S1351" s="503"/>
    </row>
    <row r="1352" spans="1:19" ht="9.75" customHeight="1">
      <c r="A1352" s="503"/>
      <c r="B1352" s="503"/>
      <c r="C1352" s="13"/>
      <c r="D1352" s="13" t="s">
        <v>120</v>
      </c>
      <c r="E1352" s="13"/>
      <c r="F1352" s="109"/>
      <c r="G1352" s="504"/>
      <c r="H1352" s="504"/>
      <c r="I1352" s="504"/>
      <c r="J1352" s="504"/>
      <c r="K1352" s="504"/>
      <c r="L1352" s="504"/>
      <c r="M1352" s="504"/>
      <c r="N1352" s="504"/>
      <c r="O1352" s="110"/>
      <c r="P1352" s="109"/>
      <c r="Q1352" s="504"/>
      <c r="R1352" s="107"/>
      <c r="S1352" s="503"/>
    </row>
    <row r="1353" spans="1:19" ht="9.75" customHeight="1">
      <c r="A1353" s="503"/>
      <c r="B1353" s="503"/>
      <c r="C1353" s="13"/>
      <c r="D1353" s="13" t="s">
        <v>34</v>
      </c>
      <c r="E1353" s="13">
        <v>1</v>
      </c>
      <c r="F1353" s="109">
        <v>0</v>
      </c>
      <c r="G1353" s="504">
        <v>0</v>
      </c>
      <c r="H1353" s="504">
        <v>1</v>
      </c>
      <c r="I1353" s="504">
        <v>1</v>
      </c>
      <c r="J1353" s="504">
        <v>1</v>
      </c>
      <c r="K1353" s="504">
        <v>1</v>
      </c>
      <c r="L1353" s="504">
        <v>0</v>
      </c>
      <c r="M1353" s="504">
        <v>0</v>
      </c>
      <c r="N1353" s="504">
        <v>0</v>
      </c>
      <c r="O1353" s="110">
        <v>0</v>
      </c>
      <c r="P1353" s="109">
        <f>MIN(F1353:O1353)</f>
        <v>0</v>
      </c>
      <c r="Q1353" s="504">
        <f>E1353-P1353</f>
        <v>1</v>
      </c>
      <c r="R1353" s="107">
        <f>Q1353/E1353</f>
        <v>1</v>
      </c>
      <c r="S1353" s="503"/>
    </row>
    <row r="1354" spans="1:19" ht="9.75" customHeight="1">
      <c r="A1354" s="503"/>
      <c r="B1354" s="503"/>
      <c r="C1354" s="13"/>
      <c r="D1354" s="13" t="s">
        <v>35</v>
      </c>
      <c r="E1354" s="13"/>
      <c r="F1354" s="109"/>
      <c r="G1354" s="504"/>
      <c r="H1354" s="504"/>
      <c r="I1354" s="504"/>
      <c r="J1354" s="504"/>
      <c r="K1354" s="504"/>
      <c r="L1354" s="504"/>
      <c r="M1354" s="504"/>
      <c r="N1354" s="504"/>
      <c r="O1354" s="110"/>
      <c r="P1354" s="109"/>
      <c r="Q1354" s="504"/>
      <c r="R1354" s="107"/>
      <c r="S1354" s="503"/>
    </row>
    <row r="1355" spans="1:19" ht="9.75" customHeight="1">
      <c r="A1355" s="503"/>
      <c r="B1355" s="503"/>
      <c r="C1355" s="13"/>
      <c r="D1355" s="13" t="s">
        <v>36</v>
      </c>
      <c r="E1355" s="13"/>
      <c r="F1355" s="109"/>
      <c r="G1355" s="504"/>
      <c r="H1355" s="504"/>
      <c r="I1355" s="504"/>
      <c r="J1355" s="504"/>
      <c r="K1355" s="504"/>
      <c r="L1355" s="504"/>
      <c r="M1355" s="504"/>
      <c r="N1355" s="504"/>
      <c r="O1355" s="110"/>
      <c r="P1355" s="109"/>
      <c r="Q1355" s="504"/>
      <c r="R1355" s="107"/>
      <c r="S1355" s="503"/>
    </row>
    <row r="1356" spans="1:19" ht="9.75" customHeight="1">
      <c r="A1356" s="503"/>
      <c r="B1356" s="503"/>
      <c r="C1356" s="13"/>
      <c r="D1356" s="13" t="s">
        <v>37</v>
      </c>
      <c r="E1356" s="13"/>
      <c r="F1356" s="109"/>
      <c r="G1356" s="504"/>
      <c r="H1356" s="504"/>
      <c r="I1356" s="504"/>
      <c r="J1356" s="504"/>
      <c r="K1356" s="504"/>
      <c r="L1356" s="504"/>
      <c r="M1356" s="504"/>
      <c r="N1356" s="504"/>
      <c r="O1356" s="110"/>
      <c r="P1356" s="109"/>
      <c r="Q1356" s="504"/>
      <c r="R1356" s="107"/>
      <c r="S1356" s="503"/>
    </row>
    <row r="1357" spans="1:19" ht="9.75" customHeight="1">
      <c r="A1357" s="503"/>
      <c r="B1357" s="503" t="s">
        <v>127</v>
      </c>
      <c r="C1357" s="2"/>
      <c r="D1357" s="3" t="s">
        <v>38</v>
      </c>
      <c r="E1357" s="3">
        <f t="shared" ref="E1357:O1357" si="249">SUM(E1341:E1356)</f>
        <v>100</v>
      </c>
      <c r="F1357" s="21">
        <f t="shared" si="249"/>
        <v>0</v>
      </c>
      <c r="G1357" s="71">
        <f t="shared" si="249"/>
        <v>3</v>
      </c>
      <c r="H1357" s="71">
        <f t="shared" si="249"/>
        <v>2</v>
      </c>
      <c r="I1357" s="71">
        <f t="shared" si="249"/>
        <v>3</v>
      </c>
      <c r="J1357" s="71">
        <f t="shared" si="249"/>
        <v>6</v>
      </c>
      <c r="K1357" s="71">
        <f t="shared" si="249"/>
        <v>3</v>
      </c>
      <c r="L1357" s="71">
        <f t="shared" si="249"/>
        <v>4</v>
      </c>
      <c r="M1357" s="71">
        <f t="shared" si="249"/>
        <v>6</v>
      </c>
      <c r="N1357" s="71">
        <f t="shared" si="249"/>
        <v>3</v>
      </c>
      <c r="O1357" s="26">
        <f t="shared" si="249"/>
        <v>3</v>
      </c>
      <c r="P1357" s="21">
        <f t="shared" ref="P1357:P1358" si="250">MIN(F1357:O1357)</f>
        <v>0</v>
      </c>
      <c r="Q1357" s="71">
        <f t="shared" ref="Q1357:Q1358" si="251">E1357-P1357</f>
        <v>100</v>
      </c>
      <c r="R1357" s="7">
        <f t="shared" ref="R1357:R1358" si="252">Q1357/E1357</f>
        <v>1</v>
      </c>
      <c r="S1357" s="503"/>
    </row>
    <row r="1358" spans="1:19" ht="9.75" customHeight="1">
      <c r="A1358" s="503"/>
      <c r="B1358" s="503"/>
      <c r="C1358" s="43" t="s">
        <v>266</v>
      </c>
      <c r="D1358" s="43" t="s">
        <v>267</v>
      </c>
      <c r="E1358" s="43">
        <v>4</v>
      </c>
      <c r="F1358" s="116">
        <v>2</v>
      </c>
      <c r="G1358" s="128">
        <v>2</v>
      </c>
      <c r="H1358" s="128">
        <v>2</v>
      </c>
      <c r="I1358" s="128">
        <v>2</v>
      </c>
      <c r="J1358" s="128">
        <v>2</v>
      </c>
      <c r="K1358" s="128">
        <v>2</v>
      </c>
      <c r="L1358" s="128">
        <v>2</v>
      </c>
      <c r="M1358" s="128">
        <v>2</v>
      </c>
      <c r="N1358" s="128">
        <v>1</v>
      </c>
      <c r="O1358" s="129">
        <v>1</v>
      </c>
      <c r="P1358" s="116">
        <f t="shared" si="250"/>
        <v>1</v>
      </c>
      <c r="Q1358" s="128">
        <f t="shared" si="251"/>
        <v>3</v>
      </c>
      <c r="R1358" s="141">
        <f t="shared" si="252"/>
        <v>0.75</v>
      </c>
      <c r="S1358" s="503"/>
    </row>
    <row r="1359" spans="1:19" ht="9.75" customHeight="1">
      <c r="A1359" s="503"/>
      <c r="B1359" s="503"/>
      <c r="C1359" s="13"/>
      <c r="D1359" s="13" t="s">
        <v>25</v>
      </c>
      <c r="E1359" s="13"/>
      <c r="F1359" s="109"/>
      <c r="G1359" s="504"/>
      <c r="H1359" s="504"/>
      <c r="I1359" s="504"/>
      <c r="J1359" s="504"/>
      <c r="K1359" s="504"/>
      <c r="L1359" s="504"/>
      <c r="M1359" s="504"/>
      <c r="N1359" s="504"/>
      <c r="O1359" s="110"/>
      <c r="P1359" s="109"/>
      <c r="Q1359" s="504"/>
      <c r="R1359" s="107"/>
      <c r="S1359" s="503"/>
    </row>
    <row r="1360" spans="1:19" ht="9.75" customHeight="1">
      <c r="A1360" s="503"/>
      <c r="B1360" s="503"/>
      <c r="C1360" s="13"/>
      <c r="D1360" s="13" t="s">
        <v>27</v>
      </c>
      <c r="E1360" s="13"/>
      <c r="F1360" s="109"/>
      <c r="G1360" s="504"/>
      <c r="H1360" s="504"/>
      <c r="I1360" s="504"/>
      <c r="J1360" s="504"/>
      <c r="K1360" s="504"/>
      <c r="L1360" s="504"/>
      <c r="M1360" s="504"/>
      <c r="N1360" s="504"/>
      <c r="O1360" s="110"/>
      <c r="P1360" s="109"/>
      <c r="Q1360" s="504"/>
      <c r="R1360" s="107"/>
      <c r="S1360" s="503"/>
    </row>
    <row r="1361" spans="1:19" ht="9.75" customHeight="1">
      <c r="A1361" s="503"/>
      <c r="B1361" s="503"/>
      <c r="C1361" s="13"/>
      <c r="D1361" s="13" t="s">
        <v>115</v>
      </c>
      <c r="E1361" s="13">
        <v>3</v>
      </c>
      <c r="F1361" s="109">
        <v>0</v>
      </c>
      <c r="G1361" s="504">
        <v>0</v>
      </c>
      <c r="H1361" s="504">
        <v>1</v>
      </c>
      <c r="I1361" s="504">
        <v>1</v>
      </c>
      <c r="J1361" s="504">
        <v>1</v>
      </c>
      <c r="K1361" s="504">
        <v>1</v>
      </c>
      <c r="L1361" s="504">
        <v>1</v>
      </c>
      <c r="M1361" s="504">
        <v>1</v>
      </c>
      <c r="N1361" s="504">
        <v>1</v>
      </c>
      <c r="O1361" s="110">
        <v>0</v>
      </c>
      <c r="P1361" s="109">
        <f>MIN(F1361:O1361)</f>
        <v>0</v>
      </c>
      <c r="Q1361" s="504">
        <f>E1361-P1361</f>
        <v>3</v>
      </c>
      <c r="R1361" s="107">
        <f>Q1361/E1361</f>
        <v>1</v>
      </c>
      <c r="S1361" s="503"/>
    </row>
    <row r="1362" spans="1:19" ht="9.75" customHeight="1">
      <c r="A1362" s="503"/>
      <c r="B1362" s="503"/>
      <c r="C1362" s="13"/>
      <c r="D1362" s="13" t="s">
        <v>115</v>
      </c>
      <c r="E1362" s="13"/>
      <c r="F1362" s="109"/>
      <c r="G1362" s="504"/>
      <c r="H1362" s="504"/>
      <c r="I1362" s="504"/>
      <c r="J1362" s="504"/>
      <c r="K1362" s="504"/>
      <c r="L1362" s="504"/>
      <c r="M1362" s="504"/>
      <c r="N1362" s="504"/>
      <c r="O1362" s="110"/>
      <c r="P1362" s="109"/>
      <c r="Q1362" s="504"/>
      <c r="R1362" s="107"/>
      <c r="S1362" s="503"/>
    </row>
    <row r="1363" spans="1:19" ht="9.75" customHeight="1">
      <c r="A1363" s="503"/>
      <c r="B1363" s="503"/>
      <c r="C1363" s="13"/>
      <c r="D1363" s="13" t="s">
        <v>32</v>
      </c>
      <c r="E1363" s="13">
        <v>4</v>
      </c>
      <c r="F1363" s="109">
        <v>0</v>
      </c>
      <c r="G1363" s="504">
        <v>0</v>
      </c>
      <c r="H1363" s="504">
        <v>0</v>
      </c>
      <c r="I1363" s="504">
        <v>0</v>
      </c>
      <c r="J1363" s="504">
        <v>0</v>
      </c>
      <c r="K1363" s="504">
        <v>0</v>
      </c>
      <c r="L1363" s="504">
        <v>0</v>
      </c>
      <c r="M1363" s="504">
        <v>0</v>
      </c>
      <c r="N1363" s="504">
        <v>0</v>
      </c>
      <c r="O1363" s="110">
        <v>1</v>
      </c>
      <c r="P1363" s="109">
        <f>MIN(F1363:O1363)</f>
        <v>0</v>
      </c>
      <c r="Q1363" s="504">
        <f>E1363-P1363</f>
        <v>4</v>
      </c>
      <c r="R1363" s="107">
        <f>Q1363/E1363</f>
        <v>1</v>
      </c>
      <c r="S1363" s="503"/>
    </row>
    <row r="1364" spans="1:19" ht="9.75" customHeight="1">
      <c r="A1364" s="503"/>
      <c r="B1364" s="503"/>
      <c r="C1364" s="13"/>
      <c r="D1364" s="13" t="s">
        <v>120</v>
      </c>
      <c r="E1364" s="13"/>
      <c r="F1364" s="109"/>
      <c r="G1364" s="504"/>
      <c r="H1364" s="504"/>
      <c r="I1364" s="504"/>
      <c r="J1364" s="504"/>
      <c r="K1364" s="504"/>
      <c r="L1364" s="504"/>
      <c r="M1364" s="504"/>
      <c r="N1364" s="504"/>
      <c r="O1364" s="110"/>
      <c r="P1364" s="109"/>
      <c r="Q1364" s="504"/>
      <c r="R1364" s="107"/>
      <c r="S1364" s="503"/>
    </row>
    <row r="1365" spans="1:19" ht="9.75" customHeight="1">
      <c r="A1365" s="503"/>
      <c r="B1365" s="503"/>
      <c r="C1365" s="13"/>
      <c r="D1365" s="13" t="s">
        <v>120</v>
      </c>
      <c r="E1365" s="13"/>
      <c r="F1365" s="109"/>
      <c r="G1365" s="504"/>
      <c r="H1365" s="504"/>
      <c r="I1365" s="504"/>
      <c r="J1365" s="504"/>
      <c r="K1365" s="504"/>
      <c r="L1365" s="504"/>
      <c r="M1365" s="504"/>
      <c r="N1365" s="504"/>
      <c r="O1365" s="110"/>
      <c r="P1365" s="109"/>
      <c r="Q1365" s="504"/>
      <c r="R1365" s="107"/>
      <c r="S1365" s="503"/>
    </row>
    <row r="1366" spans="1:19" ht="9.75" customHeight="1">
      <c r="A1366" s="503"/>
      <c r="B1366" s="503"/>
      <c r="C1366" s="13"/>
      <c r="D1366" s="13" t="s">
        <v>120</v>
      </c>
      <c r="E1366" s="13"/>
      <c r="F1366" s="109"/>
      <c r="G1366" s="504"/>
      <c r="H1366" s="504"/>
      <c r="I1366" s="504"/>
      <c r="J1366" s="504"/>
      <c r="K1366" s="504"/>
      <c r="L1366" s="504"/>
      <c r="M1366" s="504"/>
      <c r="N1366" s="504"/>
      <c r="O1366" s="110"/>
      <c r="P1366" s="109"/>
      <c r="Q1366" s="504"/>
      <c r="R1366" s="107"/>
      <c r="S1366" s="503"/>
    </row>
    <row r="1367" spans="1:19" ht="9.75" customHeight="1">
      <c r="A1367" s="503"/>
      <c r="B1367" s="503"/>
      <c r="C1367" s="13"/>
      <c r="D1367" s="13" t="s">
        <v>120</v>
      </c>
      <c r="E1367" s="13"/>
      <c r="F1367" s="109"/>
      <c r="G1367" s="504"/>
      <c r="H1367" s="504"/>
      <c r="I1367" s="504"/>
      <c r="J1367" s="504"/>
      <c r="K1367" s="504"/>
      <c r="L1367" s="504"/>
      <c r="M1367" s="504"/>
      <c r="N1367" s="504"/>
      <c r="O1367" s="110"/>
      <c r="P1367" s="109"/>
      <c r="Q1367" s="504"/>
      <c r="R1367" s="107"/>
      <c r="S1367" s="503"/>
    </row>
    <row r="1368" spans="1:19" ht="9.75" customHeight="1">
      <c r="A1368" s="503"/>
      <c r="B1368" s="503"/>
      <c r="C1368" s="13"/>
      <c r="D1368" s="13" t="s">
        <v>120</v>
      </c>
      <c r="E1368" s="13"/>
      <c r="F1368" s="109"/>
      <c r="G1368" s="504"/>
      <c r="H1368" s="504"/>
      <c r="I1368" s="504"/>
      <c r="J1368" s="504"/>
      <c r="K1368" s="504"/>
      <c r="L1368" s="504"/>
      <c r="M1368" s="504"/>
      <c r="N1368" s="504"/>
      <c r="O1368" s="110"/>
      <c r="P1368" s="109"/>
      <c r="Q1368" s="504"/>
      <c r="R1368" s="107"/>
      <c r="S1368" s="503"/>
    </row>
    <row r="1369" spans="1:19" ht="9.75" customHeight="1">
      <c r="A1369" s="503"/>
      <c r="B1369" s="503"/>
      <c r="C1369" s="13"/>
      <c r="D1369" s="13" t="s">
        <v>120</v>
      </c>
      <c r="E1369" s="13"/>
      <c r="F1369" s="109"/>
      <c r="G1369" s="504"/>
      <c r="H1369" s="504"/>
      <c r="I1369" s="504"/>
      <c r="J1369" s="504"/>
      <c r="K1369" s="504"/>
      <c r="L1369" s="504"/>
      <c r="M1369" s="504"/>
      <c r="N1369" s="504"/>
      <c r="O1369" s="110"/>
      <c r="P1369" s="109"/>
      <c r="Q1369" s="504"/>
      <c r="R1369" s="107"/>
      <c r="S1369" s="503"/>
    </row>
    <row r="1370" spans="1:19" ht="9.75" customHeight="1">
      <c r="A1370" s="503"/>
      <c r="B1370" s="503"/>
      <c r="C1370" s="13"/>
      <c r="D1370" s="13" t="s">
        <v>34</v>
      </c>
      <c r="E1370" s="13">
        <v>3</v>
      </c>
      <c r="F1370" s="109">
        <v>1</v>
      </c>
      <c r="G1370" s="504">
        <v>1</v>
      </c>
      <c r="H1370" s="504">
        <v>1</v>
      </c>
      <c r="I1370" s="504">
        <v>1</v>
      </c>
      <c r="J1370" s="504">
        <v>2</v>
      </c>
      <c r="K1370" s="504">
        <v>2</v>
      </c>
      <c r="L1370" s="504">
        <v>2</v>
      </c>
      <c r="M1370" s="504">
        <v>2</v>
      </c>
      <c r="N1370" s="504">
        <v>2</v>
      </c>
      <c r="O1370" s="110">
        <v>2</v>
      </c>
      <c r="P1370" s="109">
        <f>MIN(F1370:O1370)</f>
        <v>1</v>
      </c>
      <c r="Q1370" s="504">
        <f>E1370-P1370</f>
        <v>2</v>
      </c>
      <c r="R1370" s="107">
        <f>Q1370/E1370</f>
        <v>0.66666666666666663</v>
      </c>
      <c r="S1370" s="503"/>
    </row>
    <row r="1371" spans="1:19" ht="9.75" customHeight="1">
      <c r="A1371" s="503"/>
      <c r="B1371" s="503"/>
      <c r="C1371" s="13"/>
      <c r="D1371" s="13" t="s">
        <v>35</v>
      </c>
      <c r="E1371" s="13">
        <v>2</v>
      </c>
      <c r="F1371" s="109">
        <v>2</v>
      </c>
      <c r="G1371" s="504">
        <v>2</v>
      </c>
      <c r="H1371" s="504">
        <v>2</v>
      </c>
      <c r="I1371" s="504">
        <v>2</v>
      </c>
      <c r="J1371" s="504">
        <v>2</v>
      </c>
      <c r="K1371" s="504">
        <v>0</v>
      </c>
      <c r="L1371" s="504">
        <v>2</v>
      </c>
      <c r="M1371" s="504">
        <v>1</v>
      </c>
      <c r="N1371" s="504">
        <v>1</v>
      </c>
      <c r="O1371" s="110">
        <v>1</v>
      </c>
      <c r="P1371" s="109"/>
      <c r="Q1371" s="504"/>
      <c r="R1371" s="107"/>
      <c r="S1371" s="503"/>
    </row>
    <row r="1372" spans="1:19" ht="9.75" customHeight="1">
      <c r="A1372" s="503"/>
      <c r="B1372" s="503"/>
      <c r="C1372" s="13"/>
      <c r="D1372" s="13" t="s">
        <v>36</v>
      </c>
      <c r="E1372" s="13">
        <v>2</v>
      </c>
      <c r="F1372" s="109">
        <v>2</v>
      </c>
      <c r="G1372" s="504">
        <v>2</v>
      </c>
      <c r="H1372" s="504">
        <v>2</v>
      </c>
      <c r="I1372" s="504">
        <v>2</v>
      </c>
      <c r="J1372" s="504">
        <v>2</v>
      </c>
      <c r="K1372" s="504">
        <v>2</v>
      </c>
      <c r="L1372" s="504">
        <v>2</v>
      </c>
      <c r="M1372" s="504">
        <v>1</v>
      </c>
      <c r="N1372" s="504">
        <v>1</v>
      </c>
      <c r="O1372" s="110">
        <v>1</v>
      </c>
      <c r="P1372" s="109">
        <f t="shared" ref="P1372:P1374" si="253">MIN(F1372:O1372)</f>
        <v>1</v>
      </c>
      <c r="Q1372" s="504">
        <f t="shared" ref="Q1372:Q1374" si="254">E1372-P1372</f>
        <v>1</v>
      </c>
      <c r="R1372" s="107">
        <f t="shared" ref="R1372:R1374" si="255">Q1372/E1372</f>
        <v>0.5</v>
      </c>
      <c r="S1372" s="503"/>
    </row>
    <row r="1373" spans="1:19" ht="9.75" customHeight="1">
      <c r="A1373" s="503"/>
      <c r="B1373" s="503"/>
      <c r="C1373" s="13"/>
      <c r="D1373" s="13" t="s">
        <v>37</v>
      </c>
      <c r="E1373" s="13">
        <v>8</v>
      </c>
      <c r="F1373" s="109">
        <v>5</v>
      </c>
      <c r="G1373" s="504">
        <v>4</v>
      </c>
      <c r="H1373" s="504">
        <v>1</v>
      </c>
      <c r="I1373" s="504">
        <v>3</v>
      </c>
      <c r="J1373" s="504">
        <v>2</v>
      </c>
      <c r="K1373" s="504">
        <v>2</v>
      </c>
      <c r="L1373" s="504">
        <v>3</v>
      </c>
      <c r="M1373" s="504">
        <v>5</v>
      </c>
      <c r="N1373" s="504">
        <v>4</v>
      </c>
      <c r="O1373" s="110">
        <v>7</v>
      </c>
      <c r="P1373" s="109">
        <f t="shared" si="253"/>
        <v>1</v>
      </c>
      <c r="Q1373" s="504">
        <f t="shared" si="254"/>
        <v>7</v>
      </c>
      <c r="R1373" s="107">
        <f t="shared" si="255"/>
        <v>0.875</v>
      </c>
      <c r="S1373" s="503"/>
    </row>
    <row r="1374" spans="1:19" ht="9.75" customHeight="1">
      <c r="A1374" s="503"/>
      <c r="B1374" s="503" t="s">
        <v>127</v>
      </c>
      <c r="C1374" s="2"/>
      <c r="D1374" s="3" t="s">
        <v>38</v>
      </c>
      <c r="E1374" s="3">
        <f t="shared" ref="E1374:O1374" si="256">SUM(E1358:E1373)</f>
        <v>26</v>
      </c>
      <c r="F1374" s="21">
        <f t="shared" si="256"/>
        <v>12</v>
      </c>
      <c r="G1374" s="71">
        <f t="shared" si="256"/>
        <v>11</v>
      </c>
      <c r="H1374" s="71">
        <f t="shared" si="256"/>
        <v>9</v>
      </c>
      <c r="I1374" s="71">
        <f t="shared" si="256"/>
        <v>11</v>
      </c>
      <c r="J1374" s="71">
        <f t="shared" si="256"/>
        <v>11</v>
      </c>
      <c r="K1374" s="71">
        <f t="shared" si="256"/>
        <v>9</v>
      </c>
      <c r="L1374" s="71">
        <f t="shared" si="256"/>
        <v>12</v>
      </c>
      <c r="M1374" s="71">
        <f t="shared" si="256"/>
        <v>12</v>
      </c>
      <c r="N1374" s="71">
        <f t="shared" si="256"/>
        <v>10</v>
      </c>
      <c r="O1374" s="26">
        <f t="shared" si="256"/>
        <v>13</v>
      </c>
      <c r="P1374" s="21">
        <f t="shared" si="253"/>
        <v>9</v>
      </c>
      <c r="Q1374" s="71">
        <f t="shared" si="254"/>
        <v>17</v>
      </c>
      <c r="R1374" s="7">
        <f t="shared" si="255"/>
        <v>0.65384615384615385</v>
      </c>
      <c r="S1374" s="503"/>
    </row>
    <row r="1375" spans="1:19" ht="9.75" customHeight="1">
      <c r="A1375" s="503"/>
      <c r="B1375" s="503"/>
      <c r="C1375" s="33" t="s">
        <v>268</v>
      </c>
      <c r="D1375" s="33" t="s">
        <v>23</v>
      </c>
      <c r="E1375" s="33"/>
      <c r="F1375" s="36"/>
      <c r="G1375" s="37"/>
      <c r="H1375" s="37"/>
      <c r="I1375" s="37"/>
      <c r="J1375" s="37"/>
      <c r="K1375" s="37"/>
      <c r="L1375" s="37"/>
      <c r="M1375" s="37"/>
      <c r="N1375" s="37"/>
      <c r="O1375" s="38"/>
      <c r="P1375" s="36"/>
      <c r="Q1375" s="37"/>
      <c r="R1375" s="39"/>
      <c r="S1375" s="503"/>
    </row>
    <row r="1376" spans="1:19" ht="9.75" customHeight="1">
      <c r="A1376" s="503"/>
      <c r="B1376" s="503"/>
      <c r="C1376" s="58" t="s">
        <v>66</v>
      </c>
      <c r="D1376" s="58" t="s">
        <v>25</v>
      </c>
      <c r="E1376" s="58"/>
      <c r="F1376" s="145"/>
      <c r="G1376" s="146"/>
      <c r="H1376" s="146"/>
      <c r="I1376" s="146"/>
      <c r="J1376" s="146"/>
      <c r="K1376" s="146"/>
      <c r="L1376" s="146"/>
      <c r="M1376" s="146"/>
      <c r="N1376" s="146"/>
      <c r="O1376" s="147"/>
      <c r="P1376" s="145"/>
      <c r="Q1376" s="146"/>
      <c r="R1376" s="148"/>
      <c r="S1376" s="503"/>
    </row>
    <row r="1377" spans="1:19" ht="9.75" customHeight="1">
      <c r="A1377" s="503"/>
      <c r="B1377" s="503"/>
      <c r="C1377" s="58" t="s">
        <v>269</v>
      </c>
      <c r="D1377" s="58" t="s">
        <v>27</v>
      </c>
      <c r="E1377" s="58"/>
      <c r="F1377" s="145"/>
      <c r="G1377" s="146"/>
      <c r="H1377" s="146"/>
      <c r="I1377" s="146"/>
      <c r="J1377" s="146"/>
      <c r="K1377" s="146"/>
      <c r="L1377" s="146"/>
      <c r="M1377" s="146"/>
      <c r="N1377" s="146"/>
      <c r="O1377" s="147"/>
      <c r="P1377" s="145"/>
      <c r="Q1377" s="146"/>
      <c r="R1377" s="148"/>
      <c r="S1377" s="503"/>
    </row>
    <row r="1378" spans="1:19" ht="9.75" customHeight="1">
      <c r="A1378" s="503"/>
      <c r="B1378" s="503"/>
      <c r="C1378" s="58" t="s">
        <v>74</v>
      </c>
      <c r="D1378" s="58" t="s">
        <v>115</v>
      </c>
      <c r="E1378" s="58"/>
      <c r="F1378" s="145"/>
      <c r="G1378" s="146"/>
      <c r="H1378" s="146"/>
      <c r="I1378" s="146"/>
      <c r="J1378" s="146"/>
      <c r="K1378" s="146"/>
      <c r="L1378" s="146"/>
      <c r="M1378" s="146"/>
      <c r="N1378" s="146"/>
      <c r="O1378" s="147"/>
      <c r="P1378" s="145"/>
      <c r="Q1378" s="146"/>
      <c r="R1378" s="148"/>
      <c r="S1378" s="503"/>
    </row>
    <row r="1379" spans="1:19" ht="9.75" customHeight="1">
      <c r="A1379" s="503"/>
      <c r="B1379" s="503"/>
      <c r="C1379" s="58"/>
      <c r="D1379" s="58" t="s">
        <v>115</v>
      </c>
      <c r="E1379" s="58"/>
      <c r="F1379" s="145"/>
      <c r="G1379" s="146"/>
      <c r="H1379" s="146"/>
      <c r="I1379" s="146"/>
      <c r="J1379" s="146"/>
      <c r="K1379" s="146"/>
      <c r="L1379" s="146"/>
      <c r="M1379" s="146"/>
      <c r="N1379" s="146"/>
      <c r="O1379" s="147"/>
      <c r="P1379" s="145"/>
      <c r="Q1379" s="146"/>
      <c r="R1379" s="148"/>
      <c r="S1379" s="503"/>
    </row>
    <row r="1380" spans="1:19" ht="9.75" customHeight="1">
      <c r="A1380" s="503"/>
      <c r="B1380" s="503"/>
      <c r="C1380" s="58"/>
      <c r="D1380" s="58" t="s">
        <v>32</v>
      </c>
      <c r="E1380" s="58"/>
      <c r="F1380" s="145"/>
      <c r="G1380" s="146"/>
      <c r="H1380" s="146"/>
      <c r="I1380" s="146"/>
      <c r="J1380" s="146"/>
      <c r="K1380" s="146"/>
      <c r="L1380" s="146"/>
      <c r="M1380" s="146"/>
      <c r="N1380" s="146"/>
      <c r="O1380" s="147"/>
      <c r="P1380" s="145"/>
      <c r="Q1380" s="146"/>
      <c r="R1380" s="148"/>
      <c r="S1380" s="503"/>
    </row>
    <row r="1381" spans="1:19" ht="9.75" customHeight="1">
      <c r="A1381" s="503"/>
      <c r="B1381" s="503"/>
      <c r="C1381" s="58"/>
      <c r="D1381" s="58" t="s">
        <v>118</v>
      </c>
      <c r="E1381" s="58"/>
      <c r="F1381" s="145"/>
      <c r="G1381" s="146"/>
      <c r="H1381" s="146"/>
      <c r="I1381" s="146"/>
      <c r="J1381" s="146"/>
      <c r="K1381" s="146"/>
      <c r="L1381" s="146"/>
      <c r="M1381" s="146"/>
      <c r="N1381" s="146"/>
      <c r="O1381" s="147"/>
      <c r="P1381" s="145"/>
      <c r="Q1381" s="146"/>
      <c r="R1381" s="148"/>
      <c r="S1381" s="503"/>
    </row>
    <row r="1382" spans="1:19" ht="9.75" customHeight="1">
      <c r="A1382" s="503"/>
      <c r="B1382" s="503"/>
      <c r="C1382" s="58"/>
      <c r="D1382" s="58" t="s">
        <v>120</v>
      </c>
      <c r="E1382" s="58"/>
      <c r="F1382" s="145"/>
      <c r="G1382" s="146"/>
      <c r="H1382" s="146"/>
      <c r="I1382" s="146"/>
      <c r="J1382" s="146"/>
      <c r="K1382" s="146"/>
      <c r="L1382" s="146"/>
      <c r="M1382" s="146"/>
      <c r="N1382" s="146"/>
      <c r="O1382" s="147"/>
      <c r="P1382" s="145"/>
      <c r="Q1382" s="146"/>
      <c r="R1382" s="148"/>
      <c r="S1382" s="503"/>
    </row>
    <row r="1383" spans="1:19" ht="9.75" customHeight="1">
      <c r="A1383" s="503"/>
      <c r="B1383" s="503"/>
      <c r="C1383" s="58"/>
      <c r="D1383" s="58" t="s">
        <v>120</v>
      </c>
      <c r="E1383" s="58"/>
      <c r="F1383" s="145"/>
      <c r="G1383" s="146"/>
      <c r="H1383" s="146"/>
      <c r="I1383" s="146"/>
      <c r="J1383" s="146"/>
      <c r="K1383" s="146"/>
      <c r="L1383" s="146"/>
      <c r="M1383" s="146"/>
      <c r="N1383" s="146"/>
      <c r="O1383" s="147"/>
      <c r="P1383" s="145"/>
      <c r="Q1383" s="146"/>
      <c r="R1383" s="148"/>
      <c r="S1383" s="503"/>
    </row>
    <row r="1384" spans="1:19" ht="9.75" customHeight="1">
      <c r="A1384" s="503"/>
      <c r="B1384" s="503"/>
      <c r="C1384" s="58"/>
      <c r="D1384" s="58" t="s">
        <v>120</v>
      </c>
      <c r="E1384" s="58"/>
      <c r="F1384" s="145"/>
      <c r="G1384" s="146"/>
      <c r="H1384" s="146"/>
      <c r="I1384" s="146"/>
      <c r="J1384" s="146"/>
      <c r="K1384" s="146"/>
      <c r="L1384" s="146"/>
      <c r="M1384" s="146"/>
      <c r="N1384" s="146"/>
      <c r="O1384" s="147"/>
      <c r="P1384" s="145"/>
      <c r="Q1384" s="146"/>
      <c r="R1384" s="148"/>
      <c r="S1384" s="503"/>
    </row>
    <row r="1385" spans="1:19" ht="9.75" customHeight="1">
      <c r="A1385" s="503"/>
      <c r="B1385" s="503"/>
      <c r="C1385" s="58"/>
      <c r="D1385" s="58" t="s">
        <v>120</v>
      </c>
      <c r="E1385" s="58"/>
      <c r="F1385" s="145"/>
      <c r="G1385" s="146"/>
      <c r="H1385" s="146"/>
      <c r="I1385" s="146"/>
      <c r="J1385" s="146"/>
      <c r="K1385" s="146"/>
      <c r="L1385" s="146"/>
      <c r="M1385" s="146"/>
      <c r="N1385" s="146"/>
      <c r="O1385" s="147"/>
      <c r="P1385" s="145"/>
      <c r="Q1385" s="146"/>
      <c r="R1385" s="148"/>
      <c r="S1385" s="503"/>
    </row>
    <row r="1386" spans="1:19" ht="9.75" customHeight="1">
      <c r="A1386" s="503"/>
      <c r="B1386" s="503"/>
      <c r="C1386" s="58"/>
      <c r="D1386" s="58" t="s">
        <v>120</v>
      </c>
      <c r="E1386" s="58"/>
      <c r="F1386" s="145"/>
      <c r="G1386" s="146"/>
      <c r="H1386" s="146"/>
      <c r="I1386" s="146"/>
      <c r="J1386" s="146"/>
      <c r="K1386" s="146"/>
      <c r="L1386" s="146"/>
      <c r="M1386" s="146"/>
      <c r="N1386" s="146"/>
      <c r="O1386" s="147"/>
      <c r="P1386" s="145"/>
      <c r="Q1386" s="146"/>
      <c r="R1386" s="148"/>
      <c r="S1386" s="503"/>
    </row>
    <row r="1387" spans="1:19" ht="9.75" customHeight="1">
      <c r="A1387" s="503"/>
      <c r="B1387" s="503"/>
      <c r="C1387" s="58"/>
      <c r="D1387" s="58" t="s">
        <v>34</v>
      </c>
      <c r="E1387" s="58"/>
      <c r="F1387" s="145"/>
      <c r="G1387" s="146"/>
      <c r="H1387" s="146"/>
      <c r="I1387" s="146"/>
      <c r="J1387" s="146"/>
      <c r="K1387" s="146"/>
      <c r="L1387" s="146"/>
      <c r="M1387" s="146"/>
      <c r="N1387" s="146"/>
      <c r="O1387" s="147"/>
      <c r="P1387" s="145"/>
      <c r="Q1387" s="146"/>
      <c r="R1387" s="148"/>
      <c r="S1387" s="503"/>
    </row>
    <row r="1388" spans="1:19" ht="9.75" customHeight="1">
      <c r="A1388" s="503"/>
      <c r="B1388" s="503"/>
      <c r="C1388" s="58"/>
      <c r="D1388" s="58" t="s">
        <v>35</v>
      </c>
      <c r="E1388" s="58"/>
      <c r="F1388" s="145"/>
      <c r="G1388" s="146"/>
      <c r="H1388" s="146"/>
      <c r="I1388" s="146"/>
      <c r="J1388" s="146"/>
      <c r="K1388" s="146"/>
      <c r="L1388" s="146"/>
      <c r="M1388" s="146"/>
      <c r="N1388" s="146"/>
      <c r="O1388" s="147"/>
      <c r="P1388" s="145"/>
      <c r="Q1388" s="146"/>
      <c r="R1388" s="148"/>
      <c r="S1388" s="503"/>
    </row>
    <row r="1389" spans="1:19" ht="9.75" customHeight="1">
      <c r="A1389" s="503"/>
      <c r="B1389" s="503"/>
      <c r="C1389" s="58"/>
      <c r="D1389" s="58" t="s">
        <v>36</v>
      </c>
      <c r="E1389" s="58"/>
      <c r="F1389" s="145"/>
      <c r="G1389" s="146"/>
      <c r="H1389" s="146"/>
      <c r="I1389" s="146"/>
      <c r="J1389" s="146"/>
      <c r="K1389" s="146"/>
      <c r="L1389" s="146"/>
      <c r="M1389" s="146"/>
      <c r="N1389" s="146"/>
      <c r="O1389" s="147"/>
      <c r="P1389" s="145"/>
      <c r="Q1389" s="146"/>
      <c r="R1389" s="148"/>
      <c r="S1389" s="503"/>
    </row>
    <row r="1390" spans="1:19" ht="9.75" customHeight="1">
      <c r="A1390" s="503"/>
      <c r="B1390" s="503"/>
      <c r="C1390" s="58"/>
      <c r="D1390" s="58" t="s">
        <v>37</v>
      </c>
      <c r="E1390" s="58"/>
      <c r="F1390" s="145"/>
      <c r="G1390" s="146"/>
      <c r="H1390" s="146"/>
      <c r="I1390" s="146"/>
      <c r="J1390" s="146"/>
      <c r="K1390" s="146"/>
      <c r="L1390" s="146"/>
      <c r="M1390" s="146"/>
      <c r="N1390" s="146"/>
      <c r="O1390" s="147"/>
      <c r="P1390" s="145"/>
      <c r="Q1390" s="146"/>
      <c r="R1390" s="148"/>
      <c r="S1390" s="503"/>
    </row>
    <row r="1391" spans="1:19" ht="9.75" customHeight="1">
      <c r="A1391" s="503"/>
      <c r="B1391" s="503"/>
      <c r="C1391" s="449"/>
      <c r="D1391" s="450" t="s">
        <v>38</v>
      </c>
      <c r="E1391" s="450"/>
      <c r="F1391" s="451"/>
      <c r="G1391" s="452"/>
      <c r="H1391" s="452"/>
      <c r="I1391" s="452"/>
      <c r="J1391" s="452"/>
      <c r="K1391" s="452"/>
      <c r="L1391" s="452"/>
      <c r="M1391" s="452"/>
      <c r="N1391" s="452"/>
      <c r="O1391" s="453"/>
      <c r="P1391" s="451"/>
      <c r="Q1391" s="452"/>
      <c r="R1391" s="454"/>
      <c r="S1391" s="503"/>
    </row>
    <row r="1392" spans="1:19" ht="9.75" customHeight="1">
      <c r="A1392" s="503"/>
      <c r="B1392" s="503"/>
      <c r="C1392" s="33" t="s">
        <v>270</v>
      </c>
      <c r="D1392" s="33" t="s">
        <v>23</v>
      </c>
      <c r="E1392" s="33"/>
      <c r="F1392" s="36"/>
      <c r="G1392" s="37"/>
      <c r="H1392" s="37"/>
      <c r="I1392" s="37"/>
      <c r="J1392" s="37"/>
      <c r="K1392" s="37"/>
      <c r="L1392" s="37"/>
      <c r="M1392" s="37"/>
      <c r="N1392" s="37"/>
      <c r="O1392" s="38"/>
      <c r="P1392" s="36"/>
      <c r="Q1392" s="37"/>
      <c r="R1392" s="39"/>
      <c r="S1392" s="503"/>
    </row>
    <row r="1393" spans="1:19" ht="9.75" customHeight="1">
      <c r="A1393" s="503"/>
      <c r="B1393" s="503"/>
      <c r="C1393" s="58" t="s">
        <v>66</v>
      </c>
      <c r="D1393" s="58" t="s">
        <v>25</v>
      </c>
      <c r="E1393" s="58"/>
      <c r="F1393" s="145"/>
      <c r="G1393" s="146"/>
      <c r="H1393" s="146"/>
      <c r="I1393" s="146"/>
      <c r="J1393" s="146"/>
      <c r="K1393" s="146"/>
      <c r="L1393" s="146"/>
      <c r="M1393" s="146"/>
      <c r="N1393" s="146"/>
      <c r="O1393" s="147"/>
      <c r="P1393" s="145"/>
      <c r="Q1393" s="146"/>
      <c r="R1393" s="148"/>
      <c r="S1393" s="503"/>
    </row>
    <row r="1394" spans="1:19" ht="9.75" customHeight="1">
      <c r="A1394" s="503"/>
      <c r="B1394" s="503"/>
      <c r="C1394" s="58" t="s">
        <v>269</v>
      </c>
      <c r="D1394" s="58" t="s">
        <v>27</v>
      </c>
      <c r="E1394" s="58"/>
      <c r="F1394" s="145"/>
      <c r="G1394" s="146"/>
      <c r="H1394" s="146"/>
      <c r="I1394" s="146"/>
      <c r="J1394" s="146"/>
      <c r="K1394" s="146"/>
      <c r="L1394" s="146"/>
      <c r="M1394" s="146"/>
      <c r="N1394" s="146"/>
      <c r="O1394" s="147"/>
      <c r="P1394" s="145"/>
      <c r="Q1394" s="146"/>
      <c r="R1394" s="148"/>
      <c r="S1394" s="503"/>
    </row>
    <row r="1395" spans="1:19" ht="9.75" customHeight="1">
      <c r="A1395" s="503"/>
      <c r="B1395" s="503"/>
      <c r="C1395" s="58" t="s">
        <v>74</v>
      </c>
      <c r="D1395" s="58" t="s">
        <v>115</v>
      </c>
      <c r="E1395" s="58"/>
      <c r="F1395" s="145"/>
      <c r="G1395" s="146"/>
      <c r="H1395" s="146"/>
      <c r="I1395" s="146"/>
      <c r="J1395" s="146"/>
      <c r="K1395" s="146"/>
      <c r="L1395" s="146"/>
      <c r="M1395" s="146"/>
      <c r="N1395" s="146"/>
      <c r="O1395" s="147"/>
      <c r="P1395" s="145"/>
      <c r="Q1395" s="146"/>
      <c r="R1395" s="148"/>
      <c r="S1395" s="503"/>
    </row>
    <row r="1396" spans="1:19" ht="9.75" customHeight="1">
      <c r="A1396" s="503"/>
      <c r="B1396" s="503"/>
      <c r="C1396" s="58"/>
      <c r="D1396" s="58" t="s">
        <v>115</v>
      </c>
      <c r="E1396" s="58"/>
      <c r="F1396" s="145"/>
      <c r="G1396" s="146"/>
      <c r="H1396" s="146"/>
      <c r="I1396" s="146"/>
      <c r="J1396" s="146"/>
      <c r="K1396" s="146"/>
      <c r="L1396" s="146"/>
      <c r="M1396" s="146"/>
      <c r="N1396" s="146"/>
      <c r="O1396" s="147"/>
      <c r="P1396" s="145"/>
      <c r="Q1396" s="146"/>
      <c r="R1396" s="148"/>
      <c r="S1396" s="503"/>
    </row>
    <row r="1397" spans="1:19" ht="9.75" customHeight="1">
      <c r="A1397" s="503"/>
      <c r="B1397" s="503"/>
      <c r="C1397" s="58"/>
      <c r="D1397" s="58" t="s">
        <v>32</v>
      </c>
      <c r="E1397" s="58"/>
      <c r="F1397" s="145"/>
      <c r="G1397" s="146"/>
      <c r="H1397" s="146"/>
      <c r="I1397" s="146"/>
      <c r="J1397" s="146"/>
      <c r="K1397" s="146"/>
      <c r="L1397" s="146"/>
      <c r="M1397" s="146"/>
      <c r="N1397" s="146"/>
      <c r="O1397" s="147"/>
      <c r="P1397" s="145"/>
      <c r="Q1397" s="146"/>
      <c r="R1397" s="148"/>
      <c r="S1397" s="503"/>
    </row>
    <row r="1398" spans="1:19" ht="9.75" customHeight="1">
      <c r="A1398" s="503"/>
      <c r="B1398" s="503"/>
      <c r="C1398" s="58"/>
      <c r="D1398" s="58" t="s">
        <v>120</v>
      </c>
      <c r="E1398" s="58"/>
      <c r="F1398" s="145"/>
      <c r="G1398" s="146"/>
      <c r="H1398" s="146"/>
      <c r="I1398" s="146"/>
      <c r="J1398" s="146"/>
      <c r="K1398" s="146"/>
      <c r="L1398" s="146"/>
      <c r="M1398" s="146"/>
      <c r="N1398" s="146"/>
      <c r="O1398" s="147"/>
      <c r="P1398" s="145"/>
      <c r="Q1398" s="146"/>
      <c r="R1398" s="148"/>
      <c r="S1398" s="503"/>
    </row>
    <row r="1399" spans="1:19" ht="9.75" customHeight="1">
      <c r="A1399" s="503"/>
      <c r="B1399" s="503"/>
      <c r="C1399" s="58"/>
      <c r="D1399" s="58" t="s">
        <v>120</v>
      </c>
      <c r="E1399" s="58"/>
      <c r="F1399" s="145"/>
      <c r="G1399" s="146"/>
      <c r="H1399" s="146"/>
      <c r="I1399" s="146"/>
      <c r="J1399" s="146"/>
      <c r="K1399" s="146"/>
      <c r="L1399" s="146"/>
      <c r="M1399" s="146"/>
      <c r="N1399" s="146"/>
      <c r="O1399" s="147"/>
      <c r="P1399" s="145"/>
      <c r="Q1399" s="146"/>
      <c r="R1399" s="148"/>
      <c r="S1399" s="503"/>
    </row>
    <row r="1400" spans="1:19" ht="9.75" customHeight="1">
      <c r="A1400" s="503"/>
      <c r="B1400" s="503"/>
      <c r="C1400" s="58"/>
      <c r="D1400" s="58" t="s">
        <v>120</v>
      </c>
      <c r="E1400" s="58"/>
      <c r="F1400" s="145"/>
      <c r="G1400" s="146"/>
      <c r="H1400" s="146"/>
      <c r="I1400" s="146"/>
      <c r="J1400" s="146"/>
      <c r="K1400" s="146"/>
      <c r="L1400" s="146"/>
      <c r="M1400" s="146"/>
      <c r="N1400" s="146"/>
      <c r="O1400" s="147"/>
      <c r="P1400" s="145"/>
      <c r="Q1400" s="146"/>
      <c r="R1400" s="148"/>
      <c r="S1400" s="503"/>
    </row>
    <row r="1401" spans="1:19" ht="9.75" customHeight="1">
      <c r="A1401" s="503"/>
      <c r="B1401" s="503"/>
      <c r="C1401" s="58"/>
      <c r="D1401" s="58" t="s">
        <v>120</v>
      </c>
      <c r="E1401" s="58"/>
      <c r="F1401" s="145"/>
      <c r="G1401" s="146"/>
      <c r="H1401" s="146"/>
      <c r="I1401" s="146"/>
      <c r="J1401" s="146"/>
      <c r="K1401" s="146"/>
      <c r="L1401" s="146"/>
      <c r="M1401" s="146"/>
      <c r="N1401" s="146"/>
      <c r="O1401" s="147"/>
      <c r="P1401" s="145"/>
      <c r="Q1401" s="146"/>
      <c r="R1401" s="148"/>
      <c r="S1401" s="503"/>
    </row>
    <row r="1402" spans="1:19" ht="9.75" customHeight="1">
      <c r="A1402" s="503"/>
      <c r="B1402" s="503"/>
      <c r="C1402" s="58"/>
      <c r="D1402" s="58" t="s">
        <v>120</v>
      </c>
      <c r="E1402" s="58"/>
      <c r="F1402" s="145"/>
      <c r="G1402" s="146"/>
      <c r="H1402" s="146"/>
      <c r="I1402" s="146"/>
      <c r="J1402" s="146"/>
      <c r="K1402" s="146"/>
      <c r="L1402" s="146"/>
      <c r="M1402" s="146"/>
      <c r="N1402" s="146"/>
      <c r="O1402" s="147"/>
      <c r="P1402" s="145"/>
      <c r="Q1402" s="146"/>
      <c r="R1402" s="148"/>
      <c r="S1402" s="503"/>
    </row>
    <row r="1403" spans="1:19" ht="9.75" customHeight="1">
      <c r="A1403" s="503"/>
      <c r="B1403" s="503"/>
      <c r="C1403" s="58"/>
      <c r="D1403" s="58" t="s">
        <v>120</v>
      </c>
      <c r="E1403" s="58"/>
      <c r="F1403" s="145"/>
      <c r="G1403" s="146"/>
      <c r="H1403" s="146"/>
      <c r="I1403" s="146"/>
      <c r="J1403" s="146"/>
      <c r="K1403" s="146"/>
      <c r="L1403" s="146"/>
      <c r="M1403" s="146"/>
      <c r="N1403" s="146"/>
      <c r="O1403" s="147"/>
      <c r="P1403" s="145"/>
      <c r="Q1403" s="146"/>
      <c r="R1403" s="148"/>
      <c r="S1403" s="503"/>
    </row>
    <row r="1404" spans="1:19" ht="9.75" customHeight="1">
      <c r="A1404" s="503"/>
      <c r="B1404" s="503"/>
      <c r="C1404" s="58"/>
      <c r="D1404" s="58" t="s">
        <v>34</v>
      </c>
      <c r="E1404" s="58"/>
      <c r="F1404" s="145"/>
      <c r="G1404" s="146"/>
      <c r="H1404" s="146"/>
      <c r="I1404" s="146"/>
      <c r="J1404" s="146"/>
      <c r="K1404" s="146"/>
      <c r="L1404" s="146"/>
      <c r="M1404" s="146"/>
      <c r="N1404" s="146"/>
      <c r="O1404" s="147"/>
      <c r="P1404" s="145"/>
      <c r="Q1404" s="146"/>
      <c r="R1404" s="148"/>
      <c r="S1404" s="503"/>
    </row>
    <row r="1405" spans="1:19" ht="9.75" customHeight="1">
      <c r="A1405" s="503"/>
      <c r="B1405" s="503"/>
      <c r="C1405" s="58"/>
      <c r="D1405" s="58" t="s">
        <v>35</v>
      </c>
      <c r="E1405" s="58"/>
      <c r="F1405" s="145"/>
      <c r="G1405" s="146"/>
      <c r="H1405" s="146"/>
      <c r="I1405" s="146"/>
      <c r="J1405" s="146"/>
      <c r="K1405" s="146"/>
      <c r="L1405" s="146"/>
      <c r="M1405" s="146"/>
      <c r="N1405" s="146"/>
      <c r="O1405" s="147"/>
      <c r="P1405" s="145"/>
      <c r="Q1405" s="146"/>
      <c r="R1405" s="148"/>
      <c r="S1405" s="503"/>
    </row>
    <row r="1406" spans="1:19" ht="9.75" customHeight="1">
      <c r="A1406" s="503"/>
      <c r="B1406" s="503"/>
      <c r="C1406" s="58"/>
      <c r="D1406" s="58" t="s">
        <v>36</v>
      </c>
      <c r="E1406" s="58"/>
      <c r="F1406" s="145"/>
      <c r="G1406" s="146"/>
      <c r="H1406" s="146"/>
      <c r="I1406" s="146"/>
      <c r="J1406" s="146"/>
      <c r="K1406" s="146"/>
      <c r="L1406" s="146"/>
      <c r="M1406" s="146"/>
      <c r="N1406" s="146"/>
      <c r="O1406" s="147"/>
      <c r="P1406" s="145"/>
      <c r="Q1406" s="146"/>
      <c r="R1406" s="148"/>
      <c r="S1406" s="503"/>
    </row>
    <row r="1407" spans="1:19" ht="9.75" customHeight="1">
      <c r="A1407" s="503"/>
      <c r="B1407" s="503"/>
      <c r="C1407" s="58"/>
      <c r="D1407" s="58" t="s">
        <v>37</v>
      </c>
      <c r="E1407" s="58"/>
      <c r="F1407" s="145"/>
      <c r="G1407" s="146"/>
      <c r="H1407" s="146"/>
      <c r="I1407" s="146"/>
      <c r="J1407" s="146"/>
      <c r="K1407" s="146"/>
      <c r="L1407" s="146"/>
      <c r="M1407" s="146"/>
      <c r="N1407" s="146"/>
      <c r="O1407" s="147"/>
      <c r="P1407" s="145"/>
      <c r="Q1407" s="146"/>
      <c r="R1407" s="148"/>
      <c r="S1407" s="503"/>
    </row>
    <row r="1408" spans="1:19" ht="9.75" customHeight="1">
      <c r="A1408" s="503"/>
      <c r="B1408" s="503"/>
      <c r="C1408" s="449"/>
      <c r="D1408" s="450" t="s">
        <v>38</v>
      </c>
      <c r="E1408" s="450"/>
      <c r="F1408" s="451"/>
      <c r="G1408" s="452"/>
      <c r="H1408" s="452"/>
      <c r="I1408" s="452"/>
      <c r="J1408" s="452"/>
      <c r="K1408" s="452"/>
      <c r="L1408" s="452"/>
      <c r="M1408" s="452"/>
      <c r="N1408" s="452"/>
      <c r="O1408" s="453"/>
      <c r="P1408" s="451"/>
      <c r="Q1408" s="452"/>
      <c r="R1408" s="454"/>
      <c r="S1408" s="503"/>
    </row>
    <row r="1409" spans="1:19" ht="9.75" customHeight="1">
      <c r="A1409" s="503"/>
      <c r="B1409" s="503"/>
      <c r="C1409" s="33" t="s">
        <v>271</v>
      </c>
      <c r="D1409" s="43" t="s">
        <v>23</v>
      </c>
      <c r="E1409" s="43">
        <v>5</v>
      </c>
      <c r="F1409" s="116">
        <v>4</v>
      </c>
      <c r="G1409" s="128">
        <v>3</v>
      </c>
      <c r="H1409" s="128">
        <v>3</v>
      </c>
      <c r="I1409" s="128">
        <v>0</v>
      </c>
      <c r="J1409" s="128">
        <v>0</v>
      </c>
      <c r="K1409" s="128">
        <v>0</v>
      </c>
      <c r="L1409" s="128">
        <v>1</v>
      </c>
      <c r="M1409" s="128">
        <v>1</v>
      </c>
      <c r="N1409" s="128">
        <v>1</v>
      </c>
      <c r="O1409" s="129">
        <v>1</v>
      </c>
      <c r="P1409" s="116">
        <f>MIN(F1409:O1409)</f>
        <v>0</v>
      </c>
      <c r="Q1409" s="128">
        <f>E1409-P1409</f>
        <v>5</v>
      </c>
      <c r="R1409" s="141">
        <f>Q1409/E1409</f>
        <v>1</v>
      </c>
      <c r="S1409" s="503"/>
    </row>
    <row r="1410" spans="1:19" ht="9.75" customHeight="1">
      <c r="A1410" s="503"/>
      <c r="B1410" s="503"/>
      <c r="C1410" s="58" t="s">
        <v>272</v>
      </c>
      <c r="D1410" s="13" t="s">
        <v>25</v>
      </c>
      <c r="E1410" s="13"/>
      <c r="F1410" s="109"/>
      <c r="G1410" s="504"/>
      <c r="H1410" s="504"/>
      <c r="I1410" s="504"/>
      <c r="J1410" s="504"/>
      <c r="K1410" s="504"/>
      <c r="L1410" s="504"/>
      <c r="M1410" s="504"/>
      <c r="N1410" s="504"/>
      <c r="O1410" s="110"/>
      <c r="P1410" s="109"/>
      <c r="Q1410" s="504"/>
      <c r="R1410" s="107"/>
      <c r="S1410" s="503"/>
    </row>
    <row r="1411" spans="1:19" ht="9.75" customHeight="1">
      <c r="A1411" s="503"/>
      <c r="B1411" s="503"/>
      <c r="C1411" s="58" t="s">
        <v>273</v>
      </c>
      <c r="D1411" s="13" t="s">
        <v>27</v>
      </c>
      <c r="E1411" s="13"/>
      <c r="F1411" s="109"/>
      <c r="G1411" s="504"/>
      <c r="H1411" s="504"/>
      <c r="I1411" s="504"/>
      <c r="J1411" s="504"/>
      <c r="K1411" s="504"/>
      <c r="L1411" s="504"/>
      <c r="M1411" s="504"/>
      <c r="N1411" s="504"/>
      <c r="O1411" s="110"/>
      <c r="P1411" s="109"/>
      <c r="Q1411" s="504"/>
      <c r="R1411" s="107"/>
      <c r="S1411" s="503"/>
    </row>
    <row r="1412" spans="1:19" ht="9.75" customHeight="1">
      <c r="A1412" s="503"/>
      <c r="B1412" s="503"/>
      <c r="C1412" s="58" t="s">
        <v>139</v>
      </c>
      <c r="D1412" s="13" t="s">
        <v>115</v>
      </c>
      <c r="E1412" s="13"/>
      <c r="F1412" s="109"/>
      <c r="G1412" s="504"/>
      <c r="H1412" s="504"/>
      <c r="I1412" s="504"/>
      <c r="J1412" s="504"/>
      <c r="K1412" s="504"/>
      <c r="L1412" s="504"/>
      <c r="M1412" s="504"/>
      <c r="N1412" s="504"/>
      <c r="O1412" s="110"/>
      <c r="P1412" s="109"/>
      <c r="Q1412" s="504"/>
      <c r="R1412" s="107"/>
      <c r="S1412" s="503"/>
    </row>
    <row r="1413" spans="1:19" ht="9.75" customHeight="1">
      <c r="A1413" s="503"/>
      <c r="B1413" s="503"/>
      <c r="C1413" s="13"/>
      <c r="D1413" s="13" t="s">
        <v>115</v>
      </c>
      <c r="E1413" s="13"/>
      <c r="F1413" s="109"/>
      <c r="G1413" s="504"/>
      <c r="H1413" s="504"/>
      <c r="I1413" s="504"/>
      <c r="J1413" s="504"/>
      <c r="K1413" s="504"/>
      <c r="L1413" s="504"/>
      <c r="M1413" s="504"/>
      <c r="N1413" s="504"/>
      <c r="O1413" s="110"/>
      <c r="P1413" s="109"/>
      <c r="Q1413" s="504"/>
      <c r="R1413" s="107"/>
      <c r="S1413" s="503"/>
    </row>
    <row r="1414" spans="1:19" ht="9.75" customHeight="1">
      <c r="A1414" s="503"/>
      <c r="B1414" s="503"/>
      <c r="C1414" s="13"/>
      <c r="D1414" s="13" t="s">
        <v>32</v>
      </c>
      <c r="E1414" s="13">
        <v>10</v>
      </c>
      <c r="F1414" s="109">
        <v>7</v>
      </c>
      <c r="G1414" s="504">
        <v>7</v>
      </c>
      <c r="H1414" s="504">
        <v>6</v>
      </c>
      <c r="I1414" s="504">
        <v>4</v>
      </c>
      <c r="J1414" s="504">
        <v>4</v>
      </c>
      <c r="K1414" s="504">
        <v>5</v>
      </c>
      <c r="L1414" s="504">
        <v>5</v>
      </c>
      <c r="M1414" s="504">
        <v>5</v>
      </c>
      <c r="N1414" s="504">
        <v>5</v>
      </c>
      <c r="O1414" s="110">
        <v>5</v>
      </c>
      <c r="P1414" s="109">
        <f>MIN(F1414:O1414)</f>
        <v>4</v>
      </c>
      <c r="Q1414" s="504">
        <f>E1414-P1414</f>
        <v>6</v>
      </c>
      <c r="R1414" s="107">
        <f>Q1414/E1414</f>
        <v>0.6</v>
      </c>
      <c r="S1414" s="503"/>
    </row>
    <row r="1415" spans="1:19" ht="9.75" customHeight="1">
      <c r="A1415" s="503"/>
      <c r="B1415" s="503"/>
      <c r="C1415" s="13"/>
      <c r="D1415" s="13" t="s">
        <v>120</v>
      </c>
      <c r="E1415" s="13"/>
      <c r="F1415" s="109"/>
      <c r="G1415" s="504"/>
      <c r="H1415" s="504"/>
      <c r="I1415" s="504"/>
      <c r="J1415" s="504"/>
      <c r="K1415" s="504"/>
      <c r="L1415" s="504"/>
      <c r="M1415" s="504"/>
      <c r="N1415" s="504"/>
      <c r="O1415" s="110"/>
      <c r="P1415" s="109"/>
      <c r="Q1415" s="504"/>
      <c r="R1415" s="107"/>
      <c r="S1415" s="503"/>
    </row>
    <row r="1416" spans="1:19" ht="9.75" customHeight="1">
      <c r="A1416" s="503"/>
      <c r="B1416" s="503"/>
      <c r="C1416" s="13"/>
      <c r="D1416" s="13" t="s">
        <v>120</v>
      </c>
      <c r="E1416" s="13"/>
      <c r="F1416" s="109"/>
      <c r="G1416" s="504"/>
      <c r="H1416" s="504"/>
      <c r="I1416" s="504"/>
      <c r="J1416" s="504"/>
      <c r="K1416" s="504"/>
      <c r="L1416" s="504"/>
      <c r="M1416" s="504"/>
      <c r="N1416" s="504"/>
      <c r="O1416" s="110"/>
      <c r="P1416" s="109"/>
      <c r="Q1416" s="504"/>
      <c r="R1416" s="107"/>
      <c r="S1416" s="503"/>
    </row>
    <row r="1417" spans="1:19" ht="9.75" customHeight="1">
      <c r="A1417" s="503"/>
      <c r="B1417" s="503"/>
      <c r="C1417" s="13"/>
      <c r="D1417" s="13" t="s">
        <v>120</v>
      </c>
      <c r="E1417" s="13"/>
      <c r="F1417" s="109"/>
      <c r="G1417" s="504"/>
      <c r="H1417" s="504"/>
      <c r="I1417" s="504"/>
      <c r="J1417" s="504"/>
      <c r="K1417" s="504"/>
      <c r="L1417" s="504"/>
      <c r="M1417" s="504"/>
      <c r="N1417" s="504"/>
      <c r="O1417" s="110"/>
      <c r="P1417" s="109"/>
      <c r="Q1417" s="504"/>
      <c r="R1417" s="107"/>
      <c r="S1417" s="503"/>
    </row>
    <row r="1418" spans="1:19" ht="9.75" customHeight="1">
      <c r="A1418" s="503"/>
      <c r="B1418" s="503"/>
      <c r="C1418" s="13"/>
      <c r="D1418" s="13" t="s">
        <v>120</v>
      </c>
      <c r="E1418" s="13"/>
      <c r="F1418" s="109"/>
      <c r="G1418" s="504"/>
      <c r="H1418" s="504"/>
      <c r="I1418" s="504"/>
      <c r="J1418" s="504"/>
      <c r="K1418" s="504"/>
      <c r="L1418" s="504"/>
      <c r="M1418" s="504"/>
      <c r="N1418" s="504"/>
      <c r="O1418" s="110"/>
      <c r="P1418" s="109"/>
      <c r="Q1418" s="504"/>
      <c r="R1418" s="107"/>
      <c r="S1418" s="503"/>
    </row>
    <row r="1419" spans="1:19" ht="9.75" customHeight="1">
      <c r="A1419" s="503"/>
      <c r="B1419" s="503"/>
      <c r="C1419" s="13"/>
      <c r="D1419" s="13" t="s">
        <v>120</v>
      </c>
      <c r="E1419" s="13"/>
      <c r="F1419" s="109"/>
      <c r="G1419" s="504"/>
      <c r="H1419" s="504"/>
      <c r="I1419" s="504"/>
      <c r="J1419" s="504"/>
      <c r="K1419" s="504"/>
      <c r="L1419" s="504"/>
      <c r="M1419" s="504"/>
      <c r="N1419" s="504"/>
      <c r="O1419" s="110"/>
      <c r="P1419" s="109"/>
      <c r="Q1419" s="504"/>
      <c r="R1419" s="107"/>
      <c r="S1419" s="503"/>
    </row>
    <row r="1420" spans="1:19" ht="9.75" customHeight="1">
      <c r="A1420" s="503"/>
      <c r="B1420" s="503"/>
      <c r="C1420" s="13"/>
      <c r="D1420" s="13" t="s">
        <v>120</v>
      </c>
      <c r="E1420" s="13"/>
      <c r="F1420" s="109"/>
      <c r="G1420" s="504"/>
      <c r="H1420" s="504"/>
      <c r="I1420" s="504"/>
      <c r="J1420" s="504"/>
      <c r="K1420" s="504"/>
      <c r="L1420" s="504"/>
      <c r="M1420" s="504"/>
      <c r="N1420" s="504"/>
      <c r="O1420" s="110"/>
      <c r="P1420" s="109"/>
      <c r="Q1420" s="504"/>
      <c r="R1420" s="107"/>
      <c r="S1420" s="503"/>
    </row>
    <row r="1421" spans="1:19" ht="9.75" customHeight="1">
      <c r="A1421" s="503"/>
      <c r="B1421" s="503"/>
      <c r="C1421" s="13"/>
      <c r="D1421" s="13" t="s">
        <v>34</v>
      </c>
      <c r="E1421" s="13">
        <v>7</v>
      </c>
      <c r="F1421" s="109">
        <v>5</v>
      </c>
      <c r="G1421" s="504">
        <v>4</v>
      </c>
      <c r="H1421" s="504">
        <v>4</v>
      </c>
      <c r="I1421" s="504">
        <v>4</v>
      </c>
      <c r="J1421" s="504">
        <v>5</v>
      </c>
      <c r="K1421" s="504">
        <v>5</v>
      </c>
      <c r="L1421" s="504">
        <v>5</v>
      </c>
      <c r="M1421" s="504">
        <v>5</v>
      </c>
      <c r="N1421" s="504">
        <v>4</v>
      </c>
      <c r="O1421" s="110">
        <v>4</v>
      </c>
      <c r="P1421" s="109">
        <f>MIN(F1421:O1421)</f>
        <v>4</v>
      </c>
      <c r="Q1421" s="504">
        <f>E1421-P1421</f>
        <v>3</v>
      </c>
      <c r="R1421" s="107">
        <f>Q1421/E1421</f>
        <v>0.42857142857142855</v>
      </c>
      <c r="S1421" s="503"/>
    </row>
    <row r="1422" spans="1:19" ht="9.75" customHeight="1">
      <c r="A1422" s="503"/>
      <c r="B1422" s="503"/>
      <c r="C1422" s="13"/>
      <c r="D1422" s="13" t="s">
        <v>35</v>
      </c>
      <c r="E1422" s="13"/>
      <c r="F1422" s="109"/>
      <c r="G1422" s="504"/>
      <c r="H1422" s="504"/>
      <c r="I1422" s="504"/>
      <c r="J1422" s="504"/>
      <c r="K1422" s="504"/>
      <c r="L1422" s="504"/>
      <c r="M1422" s="504"/>
      <c r="N1422" s="504"/>
      <c r="O1422" s="110"/>
      <c r="P1422" s="109"/>
      <c r="Q1422" s="504"/>
      <c r="R1422" s="107"/>
      <c r="S1422" s="503"/>
    </row>
    <row r="1423" spans="1:19" ht="9.75" customHeight="1">
      <c r="A1423" s="503"/>
      <c r="B1423" s="503"/>
      <c r="C1423" s="13"/>
      <c r="D1423" s="13" t="s">
        <v>36</v>
      </c>
      <c r="E1423" s="13"/>
      <c r="F1423" s="109"/>
      <c r="G1423" s="504"/>
      <c r="H1423" s="504"/>
      <c r="I1423" s="504"/>
      <c r="J1423" s="504"/>
      <c r="K1423" s="504"/>
      <c r="L1423" s="504"/>
      <c r="M1423" s="504"/>
      <c r="N1423" s="504"/>
      <c r="O1423" s="110"/>
      <c r="P1423" s="109"/>
      <c r="Q1423" s="504"/>
      <c r="R1423" s="107"/>
      <c r="S1423" s="503"/>
    </row>
    <row r="1424" spans="1:19" ht="9.75" customHeight="1">
      <c r="A1424" s="503"/>
      <c r="B1424" s="503"/>
      <c r="C1424" s="13"/>
      <c r="D1424" s="13" t="s">
        <v>37</v>
      </c>
      <c r="E1424" s="13"/>
      <c r="F1424" s="109"/>
      <c r="G1424" s="504"/>
      <c r="H1424" s="504"/>
      <c r="I1424" s="504"/>
      <c r="J1424" s="504"/>
      <c r="K1424" s="504"/>
      <c r="L1424" s="504"/>
      <c r="M1424" s="504"/>
      <c r="N1424" s="504"/>
      <c r="O1424" s="110"/>
      <c r="P1424" s="109"/>
      <c r="Q1424" s="504"/>
      <c r="R1424" s="107"/>
      <c r="S1424" s="503"/>
    </row>
    <row r="1425" spans="1:19" ht="9.75" customHeight="1">
      <c r="A1425" s="503"/>
      <c r="B1425" s="503" t="s">
        <v>127</v>
      </c>
      <c r="C1425" s="2"/>
      <c r="D1425" s="3" t="s">
        <v>38</v>
      </c>
      <c r="E1425" s="3">
        <f t="shared" ref="E1425:O1425" si="257">SUM(E1409:E1424)</f>
        <v>22</v>
      </c>
      <c r="F1425" s="21">
        <f t="shared" si="257"/>
        <v>16</v>
      </c>
      <c r="G1425" s="71">
        <f t="shared" si="257"/>
        <v>14</v>
      </c>
      <c r="H1425" s="71">
        <f t="shared" si="257"/>
        <v>13</v>
      </c>
      <c r="I1425" s="71">
        <f t="shared" si="257"/>
        <v>8</v>
      </c>
      <c r="J1425" s="71">
        <f t="shared" si="257"/>
        <v>9</v>
      </c>
      <c r="K1425" s="71">
        <f t="shared" si="257"/>
        <v>10</v>
      </c>
      <c r="L1425" s="71">
        <f t="shared" si="257"/>
        <v>11</v>
      </c>
      <c r="M1425" s="71">
        <f t="shared" si="257"/>
        <v>11</v>
      </c>
      <c r="N1425" s="71">
        <f t="shared" si="257"/>
        <v>10</v>
      </c>
      <c r="O1425" s="26">
        <f t="shared" si="257"/>
        <v>10</v>
      </c>
      <c r="P1425" s="21">
        <f>MIN(F1425:O1425)</f>
        <v>8</v>
      </c>
      <c r="Q1425" s="71">
        <f>E1425-P1425</f>
        <v>14</v>
      </c>
      <c r="R1425" s="7">
        <f>Q1425/E1425</f>
        <v>0.63636363636363635</v>
      </c>
      <c r="S1425" s="503"/>
    </row>
    <row r="1426" spans="1:19" ht="9.75" customHeight="1">
      <c r="A1426" s="503"/>
      <c r="B1426" s="503"/>
      <c r="C1426" s="43" t="s">
        <v>274</v>
      </c>
      <c r="D1426" s="43" t="s">
        <v>23</v>
      </c>
      <c r="E1426" s="43"/>
      <c r="F1426" s="116"/>
      <c r="G1426" s="128"/>
      <c r="H1426" s="128"/>
      <c r="I1426" s="128"/>
      <c r="J1426" s="128"/>
      <c r="K1426" s="128"/>
      <c r="L1426" s="128"/>
      <c r="M1426" s="128"/>
      <c r="N1426" s="128"/>
      <c r="O1426" s="129"/>
      <c r="P1426" s="116"/>
      <c r="Q1426" s="128"/>
      <c r="R1426" s="141"/>
      <c r="S1426" s="503"/>
    </row>
    <row r="1427" spans="1:19" ht="9.75" customHeight="1">
      <c r="A1427" s="503"/>
      <c r="B1427" s="503"/>
      <c r="C1427" s="13"/>
      <c r="D1427" s="13" t="s">
        <v>25</v>
      </c>
      <c r="E1427" s="13">
        <v>91</v>
      </c>
      <c r="F1427" s="109">
        <v>0</v>
      </c>
      <c r="G1427" s="504">
        <v>1</v>
      </c>
      <c r="H1427" s="504">
        <v>0</v>
      </c>
      <c r="I1427" s="504">
        <v>0</v>
      </c>
      <c r="J1427" s="504">
        <v>2</v>
      </c>
      <c r="K1427" s="504">
        <v>0</v>
      </c>
      <c r="L1427" s="504">
        <v>3</v>
      </c>
      <c r="M1427" s="504">
        <v>16</v>
      </c>
      <c r="N1427" s="504">
        <v>28</v>
      </c>
      <c r="O1427" s="110">
        <v>33</v>
      </c>
      <c r="P1427" s="109">
        <f>MIN(F1427:O1427)</f>
        <v>0</v>
      </c>
      <c r="Q1427" s="504">
        <f>E1427-P1427</f>
        <v>91</v>
      </c>
      <c r="R1427" s="107">
        <f>Q1427/E1427</f>
        <v>1</v>
      </c>
      <c r="S1427" s="503"/>
    </row>
    <row r="1428" spans="1:19" ht="9.75" customHeight="1">
      <c r="A1428" s="503"/>
      <c r="B1428" s="503"/>
      <c r="C1428" s="13"/>
      <c r="D1428" s="13" t="s">
        <v>27</v>
      </c>
      <c r="E1428" s="13"/>
      <c r="F1428" s="109"/>
      <c r="G1428" s="504"/>
      <c r="H1428" s="504"/>
      <c r="I1428" s="504"/>
      <c r="J1428" s="504"/>
      <c r="K1428" s="504"/>
      <c r="L1428" s="504"/>
      <c r="M1428" s="504"/>
      <c r="N1428" s="504"/>
      <c r="O1428" s="110"/>
      <c r="P1428" s="109"/>
      <c r="Q1428" s="504"/>
      <c r="R1428" s="107"/>
      <c r="S1428" s="503"/>
    </row>
    <row r="1429" spans="1:19" ht="9.75" customHeight="1">
      <c r="A1429" s="503"/>
      <c r="B1429" s="503"/>
      <c r="C1429" s="13"/>
      <c r="D1429" s="13" t="s">
        <v>115</v>
      </c>
      <c r="E1429" s="13"/>
      <c r="F1429" s="109"/>
      <c r="G1429" s="504"/>
      <c r="H1429" s="504"/>
      <c r="I1429" s="504"/>
      <c r="J1429" s="504"/>
      <c r="K1429" s="504"/>
      <c r="L1429" s="504"/>
      <c r="M1429" s="504"/>
      <c r="N1429" s="504"/>
      <c r="O1429" s="110"/>
      <c r="P1429" s="109"/>
      <c r="Q1429" s="504"/>
      <c r="R1429" s="107"/>
      <c r="S1429" s="503"/>
    </row>
    <row r="1430" spans="1:19" ht="9.75" customHeight="1">
      <c r="A1430" s="503"/>
      <c r="B1430" s="503"/>
      <c r="C1430" s="13"/>
      <c r="D1430" s="13" t="s">
        <v>115</v>
      </c>
      <c r="E1430" s="150"/>
      <c r="F1430" s="109"/>
      <c r="G1430" s="504"/>
      <c r="H1430" s="504"/>
      <c r="I1430" s="504"/>
      <c r="J1430" s="504"/>
      <c r="K1430" s="504"/>
      <c r="L1430" s="504"/>
      <c r="M1430" s="504"/>
      <c r="N1430" s="504"/>
      <c r="O1430" s="110"/>
      <c r="P1430" s="109"/>
      <c r="Q1430" s="504"/>
      <c r="R1430" s="107"/>
      <c r="S1430" s="503"/>
    </row>
    <row r="1431" spans="1:19" ht="9.75" customHeight="1">
      <c r="A1431" s="503"/>
      <c r="B1431" s="503"/>
      <c r="C1431" s="13"/>
      <c r="D1431" s="13" t="s">
        <v>32</v>
      </c>
      <c r="E1431" s="13">
        <v>3</v>
      </c>
      <c r="F1431" s="109">
        <v>2</v>
      </c>
      <c r="G1431" s="504">
        <v>1</v>
      </c>
      <c r="H1431" s="504">
        <v>1</v>
      </c>
      <c r="I1431" s="504">
        <v>1</v>
      </c>
      <c r="J1431" s="504">
        <v>1</v>
      </c>
      <c r="K1431" s="504">
        <v>1</v>
      </c>
      <c r="L1431" s="504">
        <v>1</v>
      </c>
      <c r="M1431" s="504">
        <v>2</v>
      </c>
      <c r="N1431" s="504">
        <v>2</v>
      </c>
      <c r="O1431" s="110">
        <v>2</v>
      </c>
      <c r="P1431" s="109">
        <f>MIN(F1431:O1431)</f>
        <v>1</v>
      </c>
      <c r="Q1431" s="504">
        <f>E1431-P1431</f>
        <v>2</v>
      </c>
      <c r="R1431" s="107">
        <f>Q1431/E1431</f>
        <v>0.66666666666666663</v>
      </c>
      <c r="S1431" s="503"/>
    </row>
    <row r="1432" spans="1:19" ht="9.75" customHeight="1">
      <c r="A1432" s="503"/>
      <c r="B1432" s="503"/>
      <c r="C1432" s="13"/>
      <c r="D1432" s="13" t="s">
        <v>191</v>
      </c>
      <c r="E1432" s="13"/>
      <c r="F1432" s="109"/>
      <c r="G1432" s="504"/>
      <c r="H1432" s="504"/>
      <c r="I1432" s="504"/>
      <c r="J1432" s="504"/>
      <c r="K1432" s="504"/>
      <c r="L1432" s="504"/>
      <c r="M1432" s="504"/>
      <c r="N1432" s="504"/>
      <c r="O1432" s="110"/>
      <c r="P1432" s="109"/>
      <c r="Q1432" s="504"/>
      <c r="R1432" s="107"/>
      <c r="S1432" s="503"/>
    </row>
    <row r="1433" spans="1:19" ht="9.75" customHeight="1">
      <c r="A1433" s="503"/>
      <c r="B1433" s="503"/>
      <c r="C1433" s="13"/>
      <c r="D1433" s="13" t="s">
        <v>120</v>
      </c>
      <c r="E1433" s="13"/>
      <c r="F1433" s="109"/>
      <c r="G1433" s="504"/>
      <c r="H1433" s="504"/>
      <c r="I1433" s="504"/>
      <c r="J1433" s="504"/>
      <c r="K1433" s="504"/>
      <c r="L1433" s="504"/>
      <c r="M1433" s="504"/>
      <c r="N1433" s="504"/>
      <c r="O1433" s="110"/>
      <c r="P1433" s="109"/>
      <c r="Q1433" s="504"/>
      <c r="R1433" s="107"/>
      <c r="S1433" s="503"/>
    </row>
    <row r="1434" spans="1:19" ht="9.75" customHeight="1">
      <c r="A1434" s="503"/>
      <c r="B1434" s="503"/>
      <c r="C1434" s="13"/>
      <c r="D1434" s="13" t="s">
        <v>120</v>
      </c>
      <c r="E1434" s="13"/>
      <c r="F1434" s="109"/>
      <c r="G1434" s="504"/>
      <c r="H1434" s="504"/>
      <c r="I1434" s="504"/>
      <c r="J1434" s="504"/>
      <c r="K1434" s="504"/>
      <c r="L1434" s="504"/>
      <c r="M1434" s="504"/>
      <c r="N1434" s="504"/>
      <c r="O1434" s="110"/>
      <c r="P1434" s="109"/>
      <c r="Q1434" s="504"/>
      <c r="R1434" s="107"/>
      <c r="S1434" s="503"/>
    </row>
    <row r="1435" spans="1:19" ht="9.75" customHeight="1">
      <c r="A1435" s="503"/>
      <c r="B1435" s="503"/>
      <c r="C1435" s="13"/>
      <c r="D1435" s="13" t="s">
        <v>120</v>
      </c>
      <c r="E1435" s="13"/>
      <c r="F1435" s="109"/>
      <c r="G1435" s="504"/>
      <c r="H1435" s="504"/>
      <c r="I1435" s="504"/>
      <c r="J1435" s="504"/>
      <c r="K1435" s="504"/>
      <c r="L1435" s="504"/>
      <c r="M1435" s="504"/>
      <c r="N1435" s="504"/>
      <c r="O1435" s="110"/>
      <c r="P1435" s="109"/>
      <c r="Q1435" s="504"/>
      <c r="R1435" s="107"/>
      <c r="S1435" s="503"/>
    </row>
    <row r="1436" spans="1:19" ht="9.75" customHeight="1">
      <c r="A1436" s="503"/>
      <c r="B1436" s="503"/>
      <c r="C1436" s="13"/>
      <c r="D1436" s="13" t="s">
        <v>120</v>
      </c>
      <c r="E1436" s="13"/>
      <c r="F1436" s="109"/>
      <c r="G1436" s="504"/>
      <c r="H1436" s="504"/>
      <c r="I1436" s="504"/>
      <c r="J1436" s="504"/>
      <c r="K1436" s="504"/>
      <c r="L1436" s="504"/>
      <c r="M1436" s="504"/>
      <c r="N1436" s="504"/>
      <c r="O1436" s="110"/>
      <c r="P1436" s="109"/>
      <c r="Q1436" s="504"/>
      <c r="R1436" s="107"/>
      <c r="S1436" s="503"/>
    </row>
    <row r="1437" spans="1:19" ht="9.75" customHeight="1">
      <c r="A1437" s="503"/>
      <c r="B1437" s="503"/>
      <c r="C1437" s="13"/>
      <c r="D1437" s="13" t="s">
        <v>120</v>
      </c>
      <c r="E1437" s="13"/>
      <c r="F1437" s="109"/>
      <c r="G1437" s="504"/>
      <c r="H1437" s="504"/>
      <c r="I1437" s="504"/>
      <c r="J1437" s="504"/>
      <c r="K1437" s="504"/>
      <c r="L1437" s="504"/>
      <c r="M1437" s="504"/>
      <c r="N1437" s="504"/>
      <c r="O1437" s="110"/>
      <c r="P1437" s="109"/>
      <c r="Q1437" s="504"/>
      <c r="R1437" s="107"/>
      <c r="S1437" s="503"/>
    </row>
    <row r="1438" spans="1:19" ht="9.75" customHeight="1">
      <c r="A1438" s="503"/>
      <c r="B1438" s="503"/>
      <c r="C1438" s="13"/>
      <c r="D1438" s="13" t="s">
        <v>34</v>
      </c>
      <c r="E1438" s="13">
        <v>2</v>
      </c>
      <c r="F1438" s="109">
        <v>0</v>
      </c>
      <c r="G1438" s="504">
        <v>0</v>
      </c>
      <c r="H1438" s="504">
        <v>0</v>
      </c>
      <c r="I1438" s="504">
        <v>0</v>
      </c>
      <c r="J1438" s="504">
        <v>0</v>
      </c>
      <c r="K1438" s="504">
        <v>0</v>
      </c>
      <c r="L1438" s="504">
        <v>1</v>
      </c>
      <c r="M1438" s="504">
        <v>0</v>
      </c>
      <c r="N1438" s="504">
        <v>1</v>
      </c>
      <c r="O1438" s="504">
        <v>2</v>
      </c>
      <c r="P1438" s="109">
        <f>MIN(F1438:O1438)</f>
        <v>0</v>
      </c>
      <c r="Q1438" s="504">
        <f>E1438-P1438</f>
        <v>2</v>
      </c>
      <c r="R1438" s="107">
        <f>Q1438/E1438</f>
        <v>1</v>
      </c>
      <c r="S1438" s="503"/>
    </row>
    <row r="1439" spans="1:19" ht="9.75" customHeight="1">
      <c r="A1439" s="503"/>
      <c r="B1439" s="503"/>
      <c r="C1439" s="13"/>
      <c r="D1439" s="13" t="s">
        <v>35</v>
      </c>
      <c r="E1439" s="13"/>
      <c r="F1439" s="109"/>
      <c r="G1439" s="504"/>
      <c r="H1439" s="504"/>
      <c r="I1439" s="504"/>
      <c r="J1439" s="504"/>
      <c r="K1439" s="504"/>
      <c r="L1439" s="504"/>
      <c r="M1439" s="504"/>
      <c r="N1439" s="504"/>
      <c r="O1439" s="110"/>
      <c r="P1439" s="109"/>
      <c r="Q1439" s="504"/>
      <c r="R1439" s="107"/>
      <c r="S1439" s="503"/>
    </row>
    <row r="1440" spans="1:19" ht="9.75" customHeight="1">
      <c r="A1440" s="503"/>
      <c r="B1440" s="503"/>
      <c r="C1440" s="13"/>
      <c r="D1440" s="13" t="s">
        <v>36</v>
      </c>
      <c r="E1440" s="13"/>
      <c r="F1440" s="109"/>
      <c r="G1440" s="504"/>
      <c r="H1440" s="504"/>
      <c r="I1440" s="504"/>
      <c r="J1440" s="504"/>
      <c r="K1440" s="504"/>
      <c r="L1440" s="504"/>
      <c r="M1440" s="504"/>
      <c r="N1440" s="504"/>
      <c r="O1440" s="110"/>
      <c r="P1440" s="109"/>
      <c r="Q1440" s="504"/>
      <c r="R1440" s="107"/>
      <c r="S1440" s="503"/>
    </row>
    <row r="1441" spans="1:19" ht="9.75" customHeight="1">
      <c r="A1441" s="503"/>
      <c r="B1441" s="503"/>
      <c r="C1441" s="13"/>
      <c r="D1441" s="13" t="s">
        <v>37</v>
      </c>
      <c r="E1441" s="13">
        <v>2</v>
      </c>
      <c r="F1441" s="109">
        <v>2</v>
      </c>
      <c r="G1441" s="504">
        <v>1</v>
      </c>
      <c r="H1441" s="504">
        <v>2</v>
      </c>
      <c r="I1441" s="504">
        <v>1</v>
      </c>
      <c r="J1441" s="504">
        <v>0</v>
      </c>
      <c r="K1441" s="504">
        <v>1</v>
      </c>
      <c r="L1441" s="504">
        <v>1</v>
      </c>
      <c r="M1441" s="504">
        <v>1</v>
      </c>
      <c r="N1441" s="504">
        <v>2</v>
      </c>
      <c r="O1441" s="110">
        <v>2</v>
      </c>
      <c r="P1441" s="109">
        <f t="shared" ref="P1441:P1442" si="258">MIN(F1441:O1441)</f>
        <v>0</v>
      </c>
      <c r="Q1441" s="504">
        <f t="shared" ref="Q1441:Q1442" si="259">E1441-P1441</f>
        <v>2</v>
      </c>
      <c r="R1441" s="107">
        <f t="shared" ref="R1441:R1442" si="260">Q1441/E1441</f>
        <v>1</v>
      </c>
      <c r="S1441" s="503"/>
    </row>
    <row r="1442" spans="1:19" ht="9.75" customHeight="1">
      <c r="A1442" s="503"/>
      <c r="B1442" s="503" t="s">
        <v>127</v>
      </c>
      <c r="C1442" s="2"/>
      <c r="D1442" s="3" t="s">
        <v>38</v>
      </c>
      <c r="E1442" s="3">
        <f t="shared" ref="E1442:O1442" si="261">SUM(E1426:E1441)</f>
        <v>98</v>
      </c>
      <c r="F1442" s="21">
        <f t="shared" si="261"/>
        <v>4</v>
      </c>
      <c r="G1442" s="71">
        <f t="shared" si="261"/>
        <v>3</v>
      </c>
      <c r="H1442" s="71">
        <f t="shared" si="261"/>
        <v>3</v>
      </c>
      <c r="I1442" s="71">
        <f t="shared" si="261"/>
        <v>2</v>
      </c>
      <c r="J1442" s="71">
        <f t="shared" si="261"/>
        <v>3</v>
      </c>
      <c r="K1442" s="71">
        <f t="shared" si="261"/>
        <v>2</v>
      </c>
      <c r="L1442" s="71">
        <f t="shared" si="261"/>
        <v>6</v>
      </c>
      <c r="M1442" s="71">
        <f t="shared" si="261"/>
        <v>19</v>
      </c>
      <c r="N1442" s="71">
        <f t="shared" si="261"/>
        <v>33</v>
      </c>
      <c r="O1442" s="26">
        <f t="shared" si="261"/>
        <v>39</v>
      </c>
      <c r="P1442" s="21">
        <f t="shared" si="258"/>
        <v>2</v>
      </c>
      <c r="Q1442" s="71">
        <f t="shared" si="259"/>
        <v>96</v>
      </c>
      <c r="R1442" s="7">
        <f t="shared" si="260"/>
        <v>0.97959183673469385</v>
      </c>
      <c r="S1442" s="503"/>
    </row>
    <row r="1443" spans="1:19" ht="9.75" customHeight="1">
      <c r="A1443" s="503"/>
      <c r="B1443" s="503"/>
      <c r="C1443" s="13" t="s">
        <v>275</v>
      </c>
      <c r="D1443" s="13" t="s">
        <v>23</v>
      </c>
      <c r="E1443" s="13"/>
      <c r="F1443" s="109"/>
      <c r="G1443" s="504"/>
      <c r="H1443" s="504"/>
      <c r="I1443" s="504"/>
      <c r="J1443" s="504"/>
      <c r="K1443" s="504"/>
      <c r="L1443" s="504"/>
      <c r="M1443" s="504"/>
      <c r="N1443" s="504"/>
      <c r="O1443" s="110"/>
      <c r="P1443" s="109"/>
      <c r="Q1443" s="504"/>
      <c r="R1443" s="107"/>
      <c r="S1443" s="503"/>
    </row>
    <row r="1444" spans="1:19" ht="9.75" customHeight="1">
      <c r="A1444" s="503"/>
      <c r="B1444" s="503"/>
      <c r="C1444" s="13"/>
      <c r="D1444" s="13" t="s">
        <v>25</v>
      </c>
      <c r="E1444" s="13">
        <v>18</v>
      </c>
      <c r="F1444" s="109">
        <v>0</v>
      </c>
      <c r="G1444" s="504">
        <v>1</v>
      </c>
      <c r="H1444" s="504">
        <v>1</v>
      </c>
      <c r="I1444" s="504">
        <v>0</v>
      </c>
      <c r="J1444" s="504">
        <v>1</v>
      </c>
      <c r="K1444" s="504">
        <v>0</v>
      </c>
      <c r="L1444" s="504">
        <v>0</v>
      </c>
      <c r="M1444" s="504">
        <v>0</v>
      </c>
      <c r="N1444" s="504">
        <v>0</v>
      </c>
      <c r="O1444" s="110">
        <v>0</v>
      </c>
      <c r="P1444" s="109">
        <f>MIN(F1444:O1444)</f>
        <v>0</v>
      </c>
      <c r="Q1444" s="504">
        <f>E1444-P1444</f>
        <v>18</v>
      </c>
      <c r="R1444" s="107">
        <f>Q1444/E1444</f>
        <v>1</v>
      </c>
      <c r="S1444" s="503"/>
    </row>
    <row r="1445" spans="1:19" ht="9.75" customHeight="1">
      <c r="A1445" s="503"/>
      <c r="B1445" s="503"/>
      <c r="C1445" s="13"/>
      <c r="D1445" s="13" t="s">
        <v>27</v>
      </c>
      <c r="E1445" s="13"/>
      <c r="F1445" s="109"/>
      <c r="G1445" s="504"/>
      <c r="H1445" s="504"/>
      <c r="I1445" s="504"/>
      <c r="J1445" s="504"/>
      <c r="K1445" s="504"/>
      <c r="L1445" s="504"/>
      <c r="M1445" s="504"/>
      <c r="N1445" s="504"/>
      <c r="O1445" s="110"/>
      <c r="P1445" s="109"/>
      <c r="Q1445" s="504"/>
      <c r="R1445" s="107"/>
      <c r="S1445" s="503"/>
    </row>
    <row r="1446" spans="1:19" ht="9.75" customHeight="1">
      <c r="A1446" s="503"/>
      <c r="B1446" s="503"/>
      <c r="C1446" s="13"/>
      <c r="D1446" s="13" t="s">
        <v>115</v>
      </c>
      <c r="E1446" s="13"/>
      <c r="F1446" s="109"/>
      <c r="G1446" s="504"/>
      <c r="H1446" s="504"/>
      <c r="I1446" s="504"/>
      <c r="J1446" s="504"/>
      <c r="K1446" s="504"/>
      <c r="L1446" s="504"/>
      <c r="M1446" s="504"/>
      <c r="N1446" s="504"/>
      <c r="O1446" s="110"/>
      <c r="P1446" s="109"/>
      <c r="Q1446" s="504"/>
      <c r="R1446" s="107"/>
      <c r="S1446" s="503"/>
    </row>
    <row r="1447" spans="1:19" ht="9.75" customHeight="1">
      <c r="A1447" s="503"/>
      <c r="B1447" s="503"/>
      <c r="C1447" s="13"/>
      <c r="D1447" s="13" t="s">
        <v>115</v>
      </c>
      <c r="E1447" s="13"/>
      <c r="F1447" s="109"/>
      <c r="G1447" s="504"/>
      <c r="H1447" s="504"/>
      <c r="I1447" s="504"/>
      <c r="J1447" s="504"/>
      <c r="K1447" s="504"/>
      <c r="L1447" s="504"/>
      <c r="M1447" s="504"/>
      <c r="N1447" s="504"/>
      <c r="O1447" s="110"/>
      <c r="P1447" s="109"/>
      <c r="Q1447" s="504"/>
      <c r="R1447" s="107"/>
      <c r="S1447" s="503"/>
    </row>
    <row r="1448" spans="1:19" ht="9.75" customHeight="1">
      <c r="A1448" s="503"/>
      <c r="B1448" s="503"/>
      <c r="C1448" s="13"/>
      <c r="D1448" s="13" t="s">
        <v>32</v>
      </c>
      <c r="E1448" s="13"/>
      <c r="F1448" s="109"/>
      <c r="G1448" s="504"/>
      <c r="H1448" s="504"/>
      <c r="I1448" s="504"/>
      <c r="J1448" s="504"/>
      <c r="K1448" s="504"/>
      <c r="L1448" s="504"/>
      <c r="M1448" s="504"/>
      <c r="N1448" s="504"/>
      <c r="O1448" s="110"/>
      <c r="P1448" s="109"/>
      <c r="Q1448" s="504"/>
      <c r="R1448" s="107"/>
      <c r="S1448" s="503"/>
    </row>
    <row r="1449" spans="1:19" ht="9.75" customHeight="1">
      <c r="A1449" s="503"/>
      <c r="B1449" s="503"/>
      <c r="C1449" s="13"/>
      <c r="D1449" s="13" t="s">
        <v>191</v>
      </c>
      <c r="E1449" s="13"/>
      <c r="F1449" s="109"/>
      <c r="G1449" s="504"/>
      <c r="H1449" s="504"/>
      <c r="I1449" s="504"/>
      <c r="J1449" s="504"/>
      <c r="K1449" s="504"/>
      <c r="L1449" s="504"/>
      <c r="M1449" s="504"/>
      <c r="N1449" s="504"/>
      <c r="O1449" s="110"/>
      <c r="P1449" s="109"/>
      <c r="Q1449" s="504"/>
      <c r="R1449" s="107"/>
      <c r="S1449" s="503"/>
    </row>
    <row r="1450" spans="1:19" ht="9.75" customHeight="1">
      <c r="A1450" s="503"/>
      <c r="B1450" s="503"/>
      <c r="C1450" s="13"/>
      <c r="D1450" s="13" t="s">
        <v>120</v>
      </c>
      <c r="E1450" s="13"/>
      <c r="F1450" s="109"/>
      <c r="G1450" s="504"/>
      <c r="H1450" s="504"/>
      <c r="I1450" s="504"/>
      <c r="J1450" s="504"/>
      <c r="K1450" s="504"/>
      <c r="L1450" s="504"/>
      <c r="M1450" s="504"/>
      <c r="N1450" s="504"/>
      <c r="O1450" s="110"/>
      <c r="P1450" s="109"/>
      <c r="Q1450" s="504"/>
      <c r="R1450" s="107"/>
      <c r="S1450" s="503"/>
    </row>
    <row r="1451" spans="1:19" ht="9.75" customHeight="1">
      <c r="A1451" s="503"/>
      <c r="B1451" s="503"/>
      <c r="C1451" s="13"/>
      <c r="D1451" s="13" t="s">
        <v>120</v>
      </c>
      <c r="E1451" s="13"/>
      <c r="F1451" s="109"/>
      <c r="G1451" s="504"/>
      <c r="H1451" s="504"/>
      <c r="I1451" s="504"/>
      <c r="J1451" s="504"/>
      <c r="K1451" s="504"/>
      <c r="L1451" s="504"/>
      <c r="M1451" s="504"/>
      <c r="N1451" s="504"/>
      <c r="O1451" s="110"/>
      <c r="P1451" s="109"/>
      <c r="Q1451" s="504"/>
      <c r="R1451" s="107"/>
      <c r="S1451" s="503"/>
    </row>
    <row r="1452" spans="1:19" ht="9.75" customHeight="1">
      <c r="A1452" s="503"/>
      <c r="B1452" s="503"/>
      <c r="C1452" s="13"/>
      <c r="D1452" s="13" t="s">
        <v>120</v>
      </c>
      <c r="E1452" s="13"/>
      <c r="F1452" s="109"/>
      <c r="G1452" s="504"/>
      <c r="H1452" s="504"/>
      <c r="I1452" s="504"/>
      <c r="J1452" s="504"/>
      <c r="K1452" s="504"/>
      <c r="L1452" s="504"/>
      <c r="M1452" s="504"/>
      <c r="N1452" s="504"/>
      <c r="O1452" s="110"/>
      <c r="P1452" s="109"/>
      <c r="Q1452" s="504"/>
      <c r="R1452" s="107"/>
      <c r="S1452" s="503"/>
    </row>
    <row r="1453" spans="1:19" ht="9.75" customHeight="1">
      <c r="A1453" s="503"/>
      <c r="B1453" s="503"/>
      <c r="C1453" s="13"/>
      <c r="D1453" s="13" t="s">
        <v>120</v>
      </c>
      <c r="E1453" s="13"/>
      <c r="F1453" s="109"/>
      <c r="G1453" s="504"/>
      <c r="H1453" s="504"/>
      <c r="I1453" s="504"/>
      <c r="J1453" s="504"/>
      <c r="K1453" s="504"/>
      <c r="L1453" s="504"/>
      <c r="M1453" s="504"/>
      <c r="N1453" s="504"/>
      <c r="O1453" s="110"/>
      <c r="P1453" s="109"/>
      <c r="Q1453" s="504"/>
      <c r="R1453" s="107"/>
      <c r="S1453" s="503"/>
    </row>
    <row r="1454" spans="1:19" ht="9.75" customHeight="1">
      <c r="A1454" s="503"/>
      <c r="B1454" s="503"/>
      <c r="C1454" s="13"/>
      <c r="D1454" s="13" t="s">
        <v>120</v>
      </c>
      <c r="E1454" s="13"/>
      <c r="F1454" s="109"/>
      <c r="G1454" s="504"/>
      <c r="H1454" s="504"/>
      <c r="I1454" s="504"/>
      <c r="J1454" s="504"/>
      <c r="K1454" s="504"/>
      <c r="L1454" s="504"/>
      <c r="M1454" s="504"/>
      <c r="N1454" s="504"/>
      <c r="O1454" s="110"/>
      <c r="P1454" s="109"/>
      <c r="Q1454" s="504"/>
      <c r="R1454" s="107"/>
      <c r="S1454" s="503"/>
    </row>
    <row r="1455" spans="1:19" ht="9.75" customHeight="1">
      <c r="A1455" s="503"/>
      <c r="B1455" s="503"/>
      <c r="C1455" s="13"/>
      <c r="D1455" s="13" t="s">
        <v>34</v>
      </c>
      <c r="E1455" s="13">
        <v>2</v>
      </c>
      <c r="F1455" s="109">
        <v>2</v>
      </c>
      <c r="G1455" s="504">
        <v>2</v>
      </c>
      <c r="H1455" s="504">
        <v>2</v>
      </c>
      <c r="I1455" s="504">
        <v>2</v>
      </c>
      <c r="J1455" s="504">
        <v>2</v>
      </c>
      <c r="K1455" s="504">
        <v>2</v>
      </c>
      <c r="L1455" s="504">
        <v>2</v>
      </c>
      <c r="M1455" s="504">
        <v>2</v>
      </c>
      <c r="N1455" s="504">
        <v>2</v>
      </c>
      <c r="O1455" s="504">
        <v>2</v>
      </c>
      <c r="P1455" s="109">
        <f>MIN(F1455:O1455)</f>
        <v>2</v>
      </c>
      <c r="Q1455" s="504">
        <f>E1455-P1455</f>
        <v>0</v>
      </c>
      <c r="R1455" s="107">
        <f>Q1455/E1455</f>
        <v>0</v>
      </c>
      <c r="S1455" s="503"/>
    </row>
    <row r="1456" spans="1:19" ht="9.75" customHeight="1">
      <c r="A1456" s="503"/>
      <c r="B1456" s="503"/>
      <c r="C1456" s="13"/>
      <c r="D1456" s="13" t="s">
        <v>35</v>
      </c>
      <c r="E1456" s="13"/>
      <c r="F1456" s="109"/>
      <c r="G1456" s="504"/>
      <c r="H1456" s="504"/>
      <c r="I1456" s="504"/>
      <c r="J1456" s="504"/>
      <c r="K1456" s="504"/>
      <c r="L1456" s="504"/>
      <c r="M1456" s="504"/>
      <c r="N1456" s="504"/>
      <c r="O1456" s="110"/>
      <c r="P1456" s="109"/>
      <c r="Q1456" s="504"/>
      <c r="R1456" s="107"/>
      <c r="S1456" s="503"/>
    </row>
    <row r="1457" spans="1:19" ht="9.75" customHeight="1">
      <c r="A1457" s="503"/>
      <c r="B1457" s="503"/>
      <c r="C1457" s="13"/>
      <c r="D1457" s="13" t="s">
        <v>36</v>
      </c>
      <c r="E1457" s="13"/>
      <c r="F1457" s="109"/>
      <c r="G1457" s="504"/>
      <c r="H1457" s="504"/>
      <c r="I1457" s="504"/>
      <c r="J1457" s="504"/>
      <c r="K1457" s="504"/>
      <c r="L1457" s="504"/>
      <c r="M1457" s="504"/>
      <c r="N1457" s="504"/>
      <c r="O1457" s="110"/>
      <c r="P1457" s="109"/>
      <c r="Q1457" s="504"/>
      <c r="R1457" s="107"/>
      <c r="S1457" s="503"/>
    </row>
    <row r="1458" spans="1:19" ht="9.75" customHeight="1">
      <c r="A1458" s="503"/>
      <c r="B1458" s="503"/>
      <c r="C1458" s="13"/>
      <c r="D1458" s="13" t="s">
        <v>37</v>
      </c>
      <c r="E1458" s="13">
        <v>2</v>
      </c>
      <c r="F1458" s="109">
        <v>1</v>
      </c>
      <c r="G1458" s="504">
        <v>2</v>
      </c>
      <c r="H1458" s="504">
        <v>2</v>
      </c>
      <c r="I1458" s="504">
        <v>2</v>
      </c>
      <c r="J1458" s="504">
        <v>2</v>
      </c>
      <c r="K1458" s="504">
        <v>2</v>
      </c>
      <c r="L1458" s="504">
        <v>0</v>
      </c>
      <c r="M1458" s="504">
        <v>1</v>
      </c>
      <c r="N1458" s="504">
        <v>0</v>
      </c>
      <c r="O1458" s="110">
        <v>1</v>
      </c>
      <c r="P1458" s="109">
        <f t="shared" ref="P1458:P1459" si="262">MIN(F1458:O1458)</f>
        <v>0</v>
      </c>
      <c r="Q1458" s="504">
        <f t="shared" ref="Q1458:Q1459" si="263">E1458-P1458</f>
        <v>2</v>
      </c>
      <c r="R1458" s="107">
        <f t="shared" ref="R1458:R1459" si="264">Q1458/E1458</f>
        <v>1</v>
      </c>
      <c r="S1458" s="503"/>
    </row>
    <row r="1459" spans="1:19" ht="9.75" customHeight="1">
      <c r="A1459" s="503"/>
      <c r="B1459" s="503" t="s">
        <v>127</v>
      </c>
      <c r="C1459" s="13"/>
      <c r="D1459" s="3" t="s">
        <v>38</v>
      </c>
      <c r="E1459" s="3">
        <f t="shared" ref="E1459:O1459" si="265">SUM(E1443:E1458)</f>
        <v>22</v>
      </c>
      <c r="F1459" s="21">
        <f t="shared" si="265"/>
        <v>3</v>
      </c>
      <c r="G1459" s="71">
        <f t="shared" si="265"/>
        <v>5</v>
      </c>
      <c r="H1459" s="71">
        <f t="shared" si="265"/>
        <v>5</v>
      </c>
      <c r="I1459" s="71">
        <f t="shared" si="265"/>
        <v>4</v>
      </c>
      <c r="J1459" s="71">
        <f t="shared" si="265"/>
        <v>5</v>
      </c>
      <c r="K1459" s="71">
        <f t="shared" si="265"/>
        <v>4</v>
      </c>
      <c r="L1459" s="71">
        <f t="shared" si="265"/>
        <v>2</v>
      </c>
      <c r="M1459" s="71">
        <f t="shared" si="265"/>
        <v>3</v>
      </c>
      <c r="N1459" s="71">
        <f t="shared" si="265"/>
        <v>2</v>
      </c>
      <c r="O1459" s="26">
        <f t="shared" si="265"/>
        <v>3</v>
      </c>
      <c r="P1459" s="21">
        <f t="shared" si="262"/>
        <v>2</v>
      </c>
      <c r="Q1459" s="71">
        <f t="shared" si="263"/>
        <v>20</v>
      </c>
      <c r="R1459" s="7">
        <f t="shared" si="264"/>
        <v>0.90909090909090906</v>
      </c>
      <c r="S1459" s="503"/>
    </row>
    <row r="1460" spans="1:19" ht="9.75" customHeight="1">
      <c r="A1460" s="503"/>
      <c r="B1460" s="503"/>
      <c r="C1460" s="43" t="s">
        <v>276</v>
      </c>
      <c r="D1460" s="43" t="s">
        <v>23</v>
      </c>
      <c r="E1460" s="43"/>
      <c r="F1460" s="116"/>
      <c r="G1460" s="128"/>
      <c r="H1460" s="128"/>
      <c r="I1460" s="128"/>
      <c r="J1460" s="128"/>
      <c r="K1460" s="128"/>
      <c r="L1460" s="128"/>
      <c r="M1460" s="128"/>
      <c r="N1460" s="128"/>
      <c r="O1460" s="129"/>
      <c r="P1460" s="116"/>
      <c r="Q1460" s="128"/>
      <c r="R1460" s="141"/>
      <c r="S1460" s="503"/>
    </row>
    <row r="1461" spans="1:19" ht="9.75" customHeight="1">
      <c r="A1461" s="503"/>
      <c r="B1461" s="503"/>
      <c r="C1461" s="13"/>
      <c r="D1461" s="13" t="s">
        <v>25</v>
      </c>
      <c r="E1461" s="13"/>
      <c r="F1461" s="109"/>
      <c r="G1461" s="504"/>
      <c r="H1461" s="504"/>
      <c r="I1461" s="504"/>
      <c r="J1461" s="504"/>
      <c r="K1461" s="504"/>
      <c r="L1461" s="504"/>
      <c r="M1461" s="504"/>
      <c r="N1461" s="504"/>
      <c r="O1461" s="110"/>
      <c r="P1461" s="109"/>
      <c r="Q1461" s="504"/>
      <c r="R1461" s="107"/>
      <c r="S1461" s="503"/>
    </row>
    <row r="1462" spans="1:19" ht="9.75" customHeight="1">
      <c r="A1462" s="503"/>
      <c r="B1462" s="503"/>
      <c r="C1462" s="13"/>
      <c r="D1462" s="13" t="s">
        <v>27</v>
      </c>
      <c r="E1462" s="13"/>
      <c r="F1462" s="109"/>
      <c r="G1462" s="504"/>
      <c r="H1462" s="504"/>
      <c r="I1462" s="504"/>
      <c r="J1462" s="504"/>
      <c r="K1462" s="504"/>
      <c r="L1462" s="504"/>
      <c r="M1462" s="504"/>
      <c r="N1462" s="504"/>
      <c r="O1462" s="110"/>
      <c r="P1462" s="109"/>
      <c r="Q1462" s="504"/>
      <c r="R1462" s="107"/>
      <c r="S1462" s="503"/>
    </row>
    <row r="1463" spans="1:19" ht="9.75" customHeight="1">
      <c r="A1463" s="503"/>
      <c r="B1463" s="503"/>
      <c r="C1463" s="13"/>
      <c r="D1463" s="13" t="s">
        <v>115</v>
      </c>
      <c r="E1463" s="13"/>
      <c r="F1463" s="109"/>
      <c r="G1463" s="504"/>
      <c r="H1463" s="504"/>
      <c r="I1463" s="504"/>
      <c r="J1463" s="504"/>
      <c r="K1463" s="504"/>
      <c r="L1463" s="504"/>
      <c r="M1463" s="504"/>
      <c r="N1463" s="504"/>
      <c r="O1463" s="110"/>
      <c r="P1463" s="109"/>
      <c r="Q1463" s="504"/>
      <c r="R1463" s="107"/>
      <c r="S1463" s="503"/>
    </row>
    <row r="1464" spans="1:19" ht="9.75" customHeight="1">
      <c r="A1464" s="503"/>
      <c r="B1464" s="503"/>
      <c r="C1464" s="13"/>
      <c r="D1464" s="13" t="s">
        <v>115</v>
      </c>
      <c r="E1464" s="13"/>
      <c r="F1464" s="109"/>
      <c r="G1464" s="504"/>
      <c r="H1464" s="504"/>
      <c r="I1464" s="504"/>
      <c r="J1464" s="504"/>
      <c r="K1464" s="504"/>
      <c r="L1464" s="504"/>
      <c r="M1464" s="504"/>
      <c r="N1464" s="504"/>
      <c r="O1464" s="110"/>
      <c r="P1464" s="109"/>
      <c r="Q1464" s="504"/>
      <c r="R1464" s="107"/>
      <c r="S1464" s="503"/>
    </row>
    <row r="1465" spans="1:19" ht="9.75" customHeight="1">
      <c r="A1465" s="503"/>
      <c r="B1465" s="503"/>
      <c r="C1465" s="13"/>
      <c r="D1465" s="13" t="s">
        <v>32</v>
      </c>
      <c r="E1465" s="13"/>
      <c r="F1465" s="109"/>
      <c r="G1465" s="504"/>
      <c r="H1465" s="504"/>
      <c r="I1465" s="504"/>
      <c r="J1465" s="504"/>
      <c r="K1465" s="504"/>
      <c r="L1465" s="504"/>
      <c r="M1465" s="504"/>
      <c r="N1465" s="504"/>
      <c r="O1465" s="110"/>
      <c r="P1465" s="109"/>
      <c r="Q1465" s="504"/>
      <c r="R1465" s="107"/>
      <c r="S1465" s="503"/>
    </row>
    <row r="1466" spans="1:19" ht="9.75" customHeight="1">
      <c r="A1466" s="503"/>
      <c r="B1466" s="503"/>
      <c r="C1466" s="13"/>
      <c r="D1466" s="13" t="s">
        <v>120</v>
      </c>
      <c r="E1466" s="13"/>
      <c r="F1466" s="109"/>
      <c r="G1466" s="504"/>
      <c r="H1466" s="504"/>
      <c r="I1466" s="504"/>
      <c r="J1466" s="504"/>
      <c r="K1466" s="504"/>
      <c r="L1466" s="504"/>
      <c r="M1466" s="504"/>
      <c r="N1466" s="504"/>
      <c r="O1466" s="110"/>
      <c r="P1466" s="109"/>
      <c r="Q1466" s="504"/>
      <c r="R1466" s="107"/>
      <c r="S1466" s="503"/>
    </row>
    <row r="1467" spans="1:19" ht="9.75" customHeight="1">
      <c r="A1467" s="503"/>
      <c r="B1467" s="503"/>
      <c r="C1467" s="13"/>
      <c r="D1467" s="13" t="s">
        <v>120</v>
      </c>
      <c r="E1467" s="13"/>
      <c r="F1467" s="109"/>
      <c r="G1467" s="504"/>
      <c r="H1467" s="504"/>
      <c r="I1467" s="504"/>
      <c r="J1467" s="504"/>
      <c r="K1467" s="504"/>
      <c r="L1467" s="504"/>
      <c r="M1467" s="504"/>
      <c r="N1467" s="504"/>
      <c r="O1467" s="110"/>
      <c r="P1467" s="109"/>
      <c r="Q1467" s="504"/>
      <c r="R1467" s="107"/>
      <c r="S1467" s="503"/>
    </row>
    <row r="1468" spans="1:19" ht="9.75" customHeight="1">
      <c r="A1468" s="503"/>
      <c r="B1468" s="503"/>
      <c r="C1468" s="13"/>
      <c r="D1468" s="13" t="s">
        <v>120</v>
      </c>
      <c r="E1468" s="13"/>
      <c r="F1468" s="109"/>
      <c r="G1468" s="504"/>
      <c r="H1468" s="504"/>
      <c r="I1468" s="504"/>
      <c r="J1468" s="504"/>
      <c r="K1468" s="504"/>
      <c r="L1468" s="504"/>
      <c r="M1468" s="504"/>
      <c r="N1468" s="504"/>
      <c r="O1468" s="110"/>
      <c r="P1468" s="109"/>
      <c r="Q1468" s="504"/>
      <c r="R1468" s="107"/>
      <c r="S1468" s="503"/>
    </row>
    <row r="1469" spans="1:19" ht="9.75" customHeight="1">
      <c r="A1469" s="503"/>
      <c r="B1469" s="503"/>
      <c r="C1469" s="13"/>
      <c r="D1469" s="13" t="s">
        <v>120</v>
      </c>
      <c r="E1469" s="13"/>
      <c r="F1469" s="109"/>
      <c r="G1469" s="504"/>
      <c r="H1469" s="504"/>
      <c r="I1469" s="504"/>
      <c r="J1469" s="504"/>
      <c r="K1469" s="504"/>
      <c r="L1469" s="504"/>
      <c r="M1469" s="504"/>
      <c r="N1469" s="504"/>
      <c r="O1469" s="110"/>
      <c r="P1469" s="109"/>
      <c r="Q1469" s="504"/>
      <c r="R1469" s="107"/>
      <c r="S1469" s="503"/>
    </row>
    <row r="1470" spans="1:19" ht="9.75" customHeight="1">
      <c r="A1470" s="503"/>
      <c r="B1470" s="503"/>
      <c r="C1470" s="13"/>
      <c r="D1470" s="13" t="s">
        <v>120</v>
      </c>
      <c r="E1470" s="13"/>
      <c r="F1470" s="109"/>
      <c r="G1470" s="504"/>
      <c r="H1470" s="504"/>
      <c r="I1470" s="504"/>
      <c r="J1470" s="504"/>
      <c r="K1470" s="504"/>
      <c r="L1470" s="504"/>
      <c r="M1470" s="504"/>
      <c r="N1470" s="504"/>
      <c r="O1470" s="110"/>
      <c r="P1470" s="109"/>
      <c r="Q1470" s="504"/>
      <c r="R1470" s="107"/>
      <c r="S1470" s="503"/>
    </row>
    <row r="1471" spans="1:19" ht="9.75" customHeight="1">
      <c r="A1471" s="503"/>
      <c r="B1471" s="503"/>
      <c r="C1471" s="13"/>
      <c r="D1471" s="13" t="s">
        <v>120</v>
      </c>
      <c r="E1471" s="13"/>
      <c r="F1471" s="109"/>
      <c r="G1471" s="504"/>
      <c r="H1471" s="504"/>
      <c r="I1471" s="504"/>
      <c r="J1471" s="504"/>
      <c r="K1471" s="504"/>
      <c r="L1471" s="504"/>
      <c r="M1471" s="504"/>
      <c r="N1471" s="504"/>
      <c r="O1471" s="110"/>
      <c r="P1471" s="109"/>
      <c r="Q1471" s="504"/>
      <c r="R1471" s="107"/>
      <c r="S1471" s="503"/>
    </row>
    <row r="1472" spans="1:19" ht="9.75" customHeight="1">
      <c r="A1472" s="503"/>
      <c r="B1472" s="503"/>
      <c r="C1472" s="13"/>
      <c r="D1472" s="13" t="s">
        <v>34</v>
      </c>
      <c r="E1472" s="13"/>
      <c r="F1472" s="109"/>
      <c r="G1472" s="504"/>
      <c r="H1472" s="504"/>
      <c r="I1472" s="504"/>
      <c r="J1472" s="504"/>
      <c r="K1472" s="504"/>
      <c r="L1472" s="504"/>
      <c r="M1472" s="504"/>
      <c r="N1472" s="504"/>
      <c r="O1472" s="110"/>
      <c r="P1472" s="109"/>
      <c r="Q1472" s="504"/>
      <c r="R1472" s="107"/>
      <c r="S1472" s="503"/>
    </row>
    <row r="1473" spans="1:19" ht="9.75" customHeight="1">
      <c r="A1473" s="503"/>
      <c r="B1473" s="503"/>
      <c r="C1473" s="13"/>
      <c r="D1473" s="13" t="s">
        <v>35</v>
      </c>
      <c r="E1473" s="13"/>
      <c r="F1473" s="109"/>
      <c r="G1473" s="504"/>
      <c r="H1473" s="504"/>
      <c r="I1473" s="504"/>
      <c r="J1473" s="504"/>
      <c r="K1473" s="504"/>
      <c r="L1473" s="504"/>
      <c r="M1473" s="504"/>
      <c r="N1473" s="504"/>
      <c r="O1473" s="110"/>
      <c r="P1473" s="109"/>
      <c r="Q1473" s="504"/>
      <c r="R1473" s="107"/>
      <c r="S1473" s="503"/>
    </row>
    <row r="1474" spans="1:19" ht="9.75" customHeight="1">
      <c r="A1474" s="503"/>
      <c r="B1474" s="503"/>
      <c r="C1474" s="13"/>
      <c r="D1474" s="13" t="s">
        <v>36</v>
      </c>
      <c r="E1474" s="13">
        <v>3</v>
      </c>
      <c r="F1474" s="109">
        <v>3</v>
      </c>
      <c r="G1474" s="504">
        <v>3</v>
      </c>
      <c r="H1474" s="504">
        <v>3</v>
      </c>
      <c r="I1474" s="504">
        <v>2</v>
      </c>
      <c r="J1474" s="11">
        <v>2</v>
      </c>
      <c r="K1474" s="11">
        <v>2</v>
      </c>
      <c r="L1474" s="11">
        <v>1</v>
      </c>
      <c r="M1474" s="11">
        <v>1</v>
      </c>
      <c r="N1474" s="11">
        <v>2</v>
      </c>
      <c r="O1474" s="136">
        <v>2</v>
      </c>
      <c r="P1474" s="109">
        <f>MIN(F1474:O1474)</f>
        <v>1</v>
      </c>
      <c r="Q1474" s="504">
        <f>E1474-P1474</f>
        <v>2</v>
      </c>
      <c r="R1474" s="107">
        <f>Q1474/E1474</f>
        <v>0.66666666666666663</v>
      </c>
      <c r="S1474" s="503"/>
    </row>
    <row r="1475" spans="1:19" ht="9.75" customHeight="1">
      <c r="A1475" s="503"/>
      <c r="B1475" s="503"/>
      <c r="C1475" s="13"/>
      <c r="D1475" s="13" t="s">
        <v>37</v>
      </c>
      <c r="E1475" s="13"/>
      <c r="F1475" s="109"/>
      <c r="G1475" s="504"/>
      <c r="H1475" s="504"/>
      <c r="I1475" s="504"/>
      <c r="J1475" s="504"/>
      <c r="K1475" s="504"/>
      <c r="L1475" s="504"/>
      <c r="M1475" s="504"/>
      <c r="N1475" s="504"/>
      <c r="O1475" s="110"/>
      <c r="P1475" s="109"/>
      <c r="Q1475" s="504"/>
      <c r="R1475" s="107"/>
      <c r="S1475" s="503"/>
    </row>
    <row r="1476" spans="1:19" ht="9.75" customHeight="1">
      <c r="A1476" s="503"/>
      <c r="B1476" s="503" t="s">
        <v>127</v>
      </c>
      <c r="C1476" s="2"/>
      <c r="D1476" s="3" t="s">
        <v>38</v>
      </c>
      <c r="E1476" s="3">
        <f t="shared" ref="E1476:O1476" si="266">SUM(E1460:E1475)</f>
        <v>3</v>
      </c>
      <c r="F1476" s="21">
        <f t="shared" si="266"/>
        <v>3</v>
      </c>
      <c r="G1476" s="71">
        <f t="shared" si="266"/>
        <v>3</v>
      </c>
      <c r="H1476" s="71">
        <f t="shared" si="266"/>
        <v>3</v>
      </c>
      <c r="I1476" s="71">
        <f t="shared" si="266"/>
        <v>2</v>
      </c>
      <c r="J1476" s="71">
        <f t="shared" si="266"/>
        <v>2</v>
      </c>
      <c r="K1476" s="71">
        <f t="shared" si="266"/>
        <v>2</v>
      </c>
      <c r="L1476" s="71">
        <f t="shared" si="266"/>
        <v>1</v>
      </c>
      <c r="M1476" s="71">
        <f t="shared" si="266"/>
        <v>1</v>
      </c>
      <c r="N1476" s="71">
        <f t="shared" si="266"/>
        <v>2</v>
      </c>
      <c r="O1476" s="26">
        <f t="shared" si="266"/>
        <v>2</v>
      </c>
      <c r="P1476" s="21">
        <f>MIN(F1476:O1476)</f>
        <v>1</v>
      </c>
      <c r="Q1476" s="71">
        <f>E1476-P1476</f>
        <v>2</v>
      </c>
      <c r="R1476" s="7">
        <f>Q1476/E1476</f>
        <v>0.66666666666666663</v>
      </c>
      <c r="S1476" s="503"/>
    </row>
    <row r="1477" spans="1:19" ht="9.75" customHeight="1">
      <c r="A1477" s="503"/>
      <c r="B1477" s="503"/>
      <c r="C1477" s="43" t="s">
        <v>277</v>
      </c>
      <c r="D1477" s="43" t="s">
        <v>23</v>
      </c>
      <c r="E1477" s="43"/>
      <c r="F1477" s="116"/>
      <c r="G1477" s="128"/>
      <c r="H1477" s="128"/>
      <c r="I1477" s="128"/>
      <c r="J1477" s="128"/>
      <c r="K1477" s="128"/>
      <c r="L1477" s="128"/>
      <c r="M1477" s="128"/>
      <c r="N1477" s="128"/>
      <c r="O1477" s="129"/>
      <c r="P1477" s="116"/>
      <c r="Q1477" s="128"/>
      <c r="R1477" s="141"/>
      <c r="S1477" s="503"/>
    </row>
    <row r="1478" spans="1:19" ht="9.75" customHeight="1">
      <c r="A1478" s="503"/>
      <c r="B1478" s="503"/>
      <c r="C1478" s="13"/>
      <c r="D1478" s="13" t="s">
        <v>25</v>
      </c>
      <c r="E1478" s="13"/>
      <c r="F1478" s="109"/>
      <c r="G1478" s="504"/>
      <c r="H1478" s="504"/>
      <c r="I1478" s="504"/>
      <c r="J1478" s="504"/>
      <c r="K1478" s="504"/>
      <c r="L1478" s="504"/>
      <c r="M1478" s="504"/>
      <c r="N1478" s="504"/>
      <c r="O1478" s="110"/>
      <c r="P1478" s="109"/>
      <c r="Q1478" s="504"/>
      <c r="R1478" s="107"/>
      <c r="S1478" s="503"/>
    </row>
    <row r="1479" spans="1:19" ht="9.75" customHeight="1">
      <c r="A1479" s="503"/>
      <c r="B1479" s="503"/>
      <c r="C1479" s="13"/>
      <c r="D1479" s="13" t="s">
        <v>27</v>
      </c>
      <c r="E1479" s="13"/>
      <c r="F1479" s="109"/>
      <c r="G1479" s="504"/>
      <c r="H1479" s="504"/>
      <c r="I1479" s="504"/>
      <c r="J1479" s="504"/>
      <c r="K1479" s="504"/>
      <c r="L1479" s="504"/>
      <c r="M1479" s="504"/>
      <c r="N1479" s="504"/>
      <c r="O1479" s="110"/>
      <c r="P1479" s="109"/>
      <c r="Q1479" s="504"/>
      <c r="R1479" s="107"/>
      <c r="S1479" s="503"/>
    </row>
    <row r="1480" spans="1:19" ht="9.75" customHeight="1">
      <c r="A1480" s="503"/>
      <c r="B1480" s="503"/>
      <c r="C1480" s="13"/>
      <c r="D1480" s="13" t="s">
        <v>115</v>
      </c>
      <c r="E1480" s="13"/>
      <c r="F1480" s="109"/>
      <c r="G1480" s="504"/>
      <c r="H1480" s="504"/>
      <c r="I1480" s="504"/>
      <c r="J1480" s="504"/>
      <c r="K1480" s="504"/>
      <c r="L1480" s="504"/>
      <c r="M1480" s="504"/>
      <c r="N1480" s="504"/>
      <c r="O1480" s="110"/>
      <c r="P1480" s="109"/>
      <c r="Q1480" s="504"/>
      <c r="R1480" s="107"/>
      <c r="S1480" s="503"/>
    </row>
    <row r="1481" spans="1:19" ht="9.75" customHeight="1">
      <c r="A1481" s="503"/>
      <c r="B1481" s="503"/>
      <c r="C1481" s="13"/>
      <c r="D1481" s="13" t="s">
        <v>115</v>
      </c>
      <c r="E1481" s="13"/>
      <c r="F1481" s="109"/>
      <c r="G1481" s="504"/>
      <c r="H1481" s="504"/>
      <c r="I1481" s="504"/>
      <c r="J1481" s="504"/>
      <c r="K1481" s="504"/>
      <c r="L1481" s="504"/>
      <c r="M1481" s="504"/>
      <c r="N1481" s="504"/>
      <c r="O1481" s="110"/>
      <c r="P1481" s="109"/>
      <c r="Q1481" s="504"/>
      <c r="R1481" s="107"/>
      <c r="S1481" s="503"/>
    </row>
    <row r="1482" spans="1:19" ht="9.75" customHeight="1">
      <c r="A1482" s="503"/>
      <c r="B1482" s="503"/>
      <c r="C1482" s="13"/>
      <c r="D1482" s="13" t="s">
        <v>32</v>
      </c>
      <c r="E1482" s="13">
        <v>2</v>
      </c>
      <c r="F1482" s="109">
        <v>2</v>
      </c>
      <c r="G1482" s="504">
        <v>2</v>
      </c>
      <c r="H1482" s="504">
        <v>2</v>
      </c>
      <c r="I1482" s="504">
        <v>2</v>
      </c>
      <c r="J1482" s="504">
        <v>2</v>
      </c>
      <c r="K1482" s="504">
        <v>2</v>
      </c>
      <c r="L1482" s="504">
        <v>2</v>
      </c>
      <c r="M1482" s="504">
        <v>2</v>
      </c>
      <c r="N1482" s="504">
        <v>2</v>
      </c>
      <c r="O1482" s="504">
        <v>2</v>
      </c>
      <c r="P1482" s="109">
        <f t="shared" ref="P1482:P1485" si="267">MIN(F1482:O1482)</f>
        <v>2</v>
      </c>
      <c r="Q1482" s="504">
        <f t="shared" ref="Q1482:Q1485" si="268">E1482-P1482</f>
        <v>0</v>
      </c>
      <c r="R1482" s="107">
        <f t="shared" ref="R1482:R1485" si="269">Q1482/E1482</f>
        <v>0</v>
      </c>
      <c r="S1482" s="503"/>
    </row>
    <row r="1483" spans="1:19" ht="9.75" customHeight="1">
      <c r="A1483" s="503"/>
      <c r="B1483" s="503"/>
      <c r="C1483" s="13"/>
      <c r="D1483" s="13" t="s">
        <v>260</v>
      </c>
      <c r="E1483" s="13">
        <v>1</v>
      </c>
      <c r="F1483" s="109">
        <v>1</v>
      </c>
      <c r="G1483" s="504">
        <v>1</v>
      </c>
      <c r="H1483" s="504">
        <v>0</v>
      </c>
      <c r="I1483" s="504">
        <v>0</v>
      </c>
      <c r="J1483" s="504">
        <v>0</v>
      </c>
      <c r="K1483" s="504">
        <v>0</v>
      </c>
      <c r="L1483" s="504">
        <v>1</v>
      </c>
      <c r="M1483" s="504">
        <v>1</v>
      </c>
      <c r="N1483" s="504">
        <v>1</v>
      </c>
      <c r="O1483" s="504">
        <v>1</v>
      </c>
      <c r="P1483" s="109">
        <f t="shared" si="267"/>
        <v>0</v>
      </c>
      <c r="Q1483" s="504">
        <f t="shared" si="268"/>
        <v>1</v>
      </c>
      <c r="R1483" s="107">
        <f t="shared" si="269"/>
        <v>1</v>
      </c>
      <c r="S1483" s="503"/>
    </row>
    <row r="1484" spans="1:19" ht="9.75" customHeight="1">
      <c r="A1484" s="503"/>
      <c r="B1484" s="503"/>
      <c r="C1484" s="13"/>
      <c r="D1484" s="13" t="s">
        <v>245</v>
      </c>
      <c r="E1484" s="13">
        <v>21</v>
      </c>
      <c r="F1484" s="109">
        <v>10</v>
      </c>
      <c r="G1484" s="504">
        <v>7</v>
      </c>
      <c r="H1484" s="504">
        <v>6</v>
      </c>
      <c r="I1484" s="504">
        <v>5</v>
      </c>
      <c r="J1484" s="504">
        <v>5</v>
      </c>
      <c r="K1484" s="504">
        <v>5</v>
      </c>
      <c r="L1484" s="504">
        <v>7</v>
      </c>
      <c r="M1484" s="504">
        <v>10</v>
      </c>
      <c r="N1484" s="504">
        <v>11</v>
      </c>
      <c r="O1484" s="504">
        <v>12</v>
      </c>
      <c r="P1484" s="109">
        <f t="shared" si="267"/>
        <v>5</v>
      </c>
      <c r="Q1484" s="504">
        <f t="shared" si="268"/>
        <v>16</v>
      </c>
      <c r="R1484" s="107">
        <f t="shared" si="269"/>
        <v>0.76190476190476186</v>
      </c>
      <c r="S1484" s="503"/>
    </row>
    <row r="1485" spans="1:19" ht="9.75" customHeight="1">
      <c r="A1485" s="503"/>
      <c r="B1485" s="503"/>
      <c r="C1485" s="13"/>
      <c r="D1485" s="13" t="s">
        <v>278</v>
      </c>
      <c r="E1485" s="13">
        <v>2</v>
      </c>
      <c r="F1485" s="109">
        <v>2</v>
      </c>
      <c r="G1485" s="504">
        <v>2</v>
      </c>
      <c r="H1485" s="504">
        <v>2</v>
      </c>
      <c r="I1485" s="504">
        <v>2</v>
      </c>
      <c r="J1485" s="504">
        <v>2</v>
      </c>
      <c r="K1485" s="504">
        <v>2</v>
      </c>
      <c r="L1485" s="504">
        <v>2</v>
      </c>
      <c r="M1485" s="504">
        <v>2</v>
      </c>
      <c r="N1485" s="504">
        <v>2</v>
      </c>
      <c r="O1485" s="504">
        <v>2</v>
      </c>
      <c r="P1485" s="109">
        <f t="shared" si="267"/>
        <v>2</v>
      </c>
      <c r="Q1485" s="504">
        <f t="shared" si="268"/>
        <v>0</v>
      </c>
      <c r="R1485" s="107">
        <f t="shared" si="269"/>
        <v>0</v>
      </c>
      <c r="S1485" s="503"/>
    </row>
    <row r="1486" spans="1:19" ht="9.75" customHeight="1">
      <c r="A1486" s="503"/>
      <c r="B1486" s="503"/>
      <c r="C1486" s="13"/>
      <c r="D1486" s="13" t="s">
        <v>120</v>
      </c>
      <c r="E1486" s="13"/>
      <c r="F1486" s="109"/>
      <c r="G1486" s="504"/>
      <c r="H1486" s="504"/>
      <c r="I1486" s="504"/>
      <c r="J1486" s="504"/>
      <c r="K1486" s="504"/>
      <c r="L1486" s="504"/>
      <c r="M1486" s="504"/>
      <c r="N1486" s="504"/>
      <c r="O1486" s="504"/>
      <c r="P1486" s="109"/>
      <c r="Q1486" s="504"/>
      <c r="R1486" s="107"/>
      <c r="S1486" s="503"/>
    </row>
    <row r="1487" spans="1:19" ht="9.75" customHeight="1">
      <c r="A1487" s="503"/>
      <c r="B1487" s="503"/>
      <c r="C1487" s="13"/>
      <c r="D1487" s="13" t="s">
        <v>120</v>
      </c>
      <c r="E1487" s="13"/>
      <c r="F1487" s="109"/>
      <c r="G1487" s="504"/>
      <c r="H1487" s="504"/>
      <c r="I1487" s="504"/>
      <c r="J1487" s="504"/>
      <c r="K1487" s="504"/>
      <c r="L1487" s="504"/>
      <c r="M1487" s="504"/>
      <c r="N1487" s="504"/>
      <c r="O1487" s="504"/>
      <c r="P1487" s="109"/>
      <c r="Q1487" s="504"/>
      <c r="R1487" s="107"/>
      <c r="S1487" s="503"/>
    </row>
    <row r="1488" spans="1:19" ht="9.75" customHeight="1">
      <c r="A1488" s="503"/>
      <c r="B1488" s="503"/>
      <c r="C1488" s="13"/>
      <c r="D1488" s="13" t="s">
        <v>120</v>
      </c>
      <c r="E1488" s="13"/>
      <c r="F1488" s="109"/>
      <c r="G1488" s="504"/>
      <c r="H1488" s="504"/>
      <c r="I1488" s="504"/>
      <c r="J1488" s="504"/>
      <c r="K1488" s="504"/>
      <c r="L1488" s="504"/>
      <c r="M1488" s="504"/>
      <c r="N1488" s="504"/>
      <c r="O1488" s="504"/>
      <c r="P1488" s="109"/>
      <c r="Q1488" s="504"/>
      <c r="R1488" s="107"/>
      <c r="S1488" s="503"/>
    </row>
    <row r="1489" spans="1:19" ht="9.75" customHeight="1">
      <c r="A1489" s="503"/>
      <c r="B1489" s="503"/>
      <c r="C1489" s="13"/>
      <c r="D1489" s="13" t="s">
        <v>34</v>
      </c>
      <c r="E1489" s="13"/>
      <c r="F1489" s="109"/>
      <c r="G1489" s="504"/>
      <c r="H1489" s="504"/>
      <c r="I1489" s="504"/>
      <c r="J1489" s="504"/>
      <c r="K1489" s="504"/>
      <c r="L1489" s="504"/>
      <c r="M1489" s="504"/>
      <c r="N1489" s="504"/>
      <c r="O1489" s="504"/>
      <c r="P1489" s="109"/>
      <c r="Q1489" s="504"/>
      <c r="R1489" s="107"/>
      <c r="S1489" s="503"/>
    </row>
    <row r="1490" spans="1:19" ht="9.75" customHeight="1">
      <c r="A1490" s="503"/>
      <c r="B1490" s="503"/>
      <c r="C1490" s="13"/>
      <c r="D1490" s="13" t="s">
        <v>35</v>
      </c>
      <c r="E1490" s="13"/>
      <c r="F1490" s="109"/>
      <c r="G1490" s="504"/>
      <c r="H1490" s="504"/>
      <c r="I1490" s="504"/>
      <c r="J1490" s="504"/>
      <c r="K1490" s="40"/>
      <c r="L1490" s="504"/>
      <c r="M1490" s="504"/>
      <c r="N1490" s="504"/>
      <c r="O1490" s="504"/>
      <c r="P1490" s="109"/>
      <c r="Q1490" s="504"/>
      <c r="R1490" s="107"/>
      <c r="S1490" s="503"/>
    </row>
    <row r="1491" spans="1:19" ht="9.75" customHeight="1">
      <c r="A1491" s="503"/>
      <c r="B1491" s="503"/>
      <c r="C1491" s="13"/>
      <c r="D1491" s="13" t="s">
        <v>36</v>
      </c>
      <c r="E1491" s="13">
        <v>1</v>
      </c>
      <c r="F1491" s="109">
        <v>1</v>
      </c>
      <c r="G1491" s="504">
        <v>1</v>
      </c>
      <c r="H1491" s="504">
        <v>1</v>
      </c>
      <c r="I1491" s="504">
        <v>0</v>
      </c>
      <c r="J1491" s="504">
        <v>0</v>
      </c>
      <c r="K1491" s="40">
        <v>0</v>
      </c>
      <c r="L1491" s="504">
        <v>0</v>
      </c>
      <c r="M1491" s="504">
        <v>0</v>
      </c>
      <c r="N1491" s="504">
        <v>0</v>
      </c>
      <c r="O1491" s="504">
        <v>0</v>
      </c>
      <c r="P1491" s="109">
        <f t="shared" ref="P1491:P1493" si="270">MIN(F1491:O1491)</f>
        <v>0</v>
      </c>
      <c r="Q1491" s="504">
        <f t="shared" ref="Q1491:Q1493" si="271">E1491-P1491</f>
        <v>1</v>
      </c>
      <c r="R1491" s="107">
        <f t="shared" ref="R1491:R1493" si="272">Q1491/E1491</f>
        <v>1</v>
      </c>
      <c r="S1491" s="503"/>
    </row>
    <row r="1492" spans="1:19" ht="9.75" customHeight="1">
      <c r="A1492" s="503"/>
      <c r="B1492" s="503"/>
      <c r="C1492" s="13"/>
      <c r="D1492" s="13" t="s">
        <v>37</v>
      </c>
      <c r="E1492" s="13">
        <v>1</v>
      </c>
      <c r="F1492" s="109">
        <v>1</v>
      </c>
      <c r="G1492" s="504">
        <v>1</v>
      </c>
      <c r="H1492" s="504">
        <v>1</v>
      </c>
      <c r="I1492" s="504">
        <v>1</v>
      </c>
      <c r="J1492" s="504">
        <v>1</v>
      </c>
      <c r="K1492" s="40">
        <v>1</v>
      </c>
      <c r="L1492" s="504">
        <v>1</v>
      </c>
      <c r="M1492" s="504">
        <v>1</v>
      </c>
      <c r="N1492" s="504">
        <v>1</v>
      </c>
      <c r="O1492" s="504">
        <v>1</v>
      </c>
      <c r="P1492" s="109">
        <f t="shared" si="270"/>
        <v>1</v>
      </c>
      <c r="Q1492" s="504">
        <f t="shared" si="271"/>
        <v>0</v>
      </c>
      <c r="R1492" s="107">
        <f t="shared" si="272"/>
        <v>0</v>
      </c>
      <c r="S1492" s="503"/>
    </row>
    <row r="1493" spans="1:19" ht="9.75" customHeight="1">
      <c r="A1493" s="503"/>
      <c r="B1493" s="503" t="s">
        <v>127</v>
      </c>
      <c r="C1493" s="2"/>
      <c r="D1493" s="3" t="s">
        <v>38</v>
      </c>
      <c r="E1493" s="3">
        <f t="shared" ref="E1493:O1493" si="273">SUM(E1477:E1492)</f>
        <v>28</v>
      </c>
      <c r="F1493" s="21">
        <f t="shared" si="273"/>
        <v>17</v>
      </c>
      <c r="G1493" s="71">
        <f t="shared" si="273"/>
        <v>14</v>
      </c>
      <c r="H1493" s="71">
        <f t="shared" si="273"/>
        <v>12</v>
      </c>
      <c r="I1493" s="71">
        <f t="shared" si="273"/>
        <v>10</v>
      </c>
      <c r="J1493" s="71">
        <f t="shared" si="273"/>
        <v>10</v>
      </c>
      <c r="K1493" s="71">
        <f t="shared" si="273"/>
        <v>10</v>
      </c>
      <c r="L1493" s="71">
        <f t="shared" si="273"/>
        <v>13</v>
      </c>
      <c r="M1493" s="71">
        <f t="shared" si="273"/>
        <v>16</v>
      </c>
      <c r="N1493" s="71">
        <f t="shared" si="273"/>
        <v>17</v>
      </c>
      <c r="O1493" s="26">
        <f t="shared" si="273"/>
        <v>18</v>
      </c>
      <c r="P1493" s="21">
        <f t="shared" si="270"/>
        <v>10</v>
      </c>
      <c r="Q1493" s="71">
        <f t="shared" si="271"/>
        <v>18</v>
      </c>
      <c r="R1493" s="7">
        <f t="shared" si="272"/>
        <v>0.6428571428571429</v>
      </c>
      <c r="S1493" s="503"/>
    </row>
    <row r="1494" spans="1:19" ht="9.75" customHeight="1">
      <c r="A1494" s="503"/>
      <c r="B1494" s="503"/>
      <c r="C1494" s="43" t="s">
        <v>279</v>
      </c>
      <c r="D1494" s="43" t="s">
        <v>23</v>
      </c>
      <c r="E1494" s="13"/>
      <c r="F1494" s="109"/>
      <c r="G1494" s="504"/>
      <c r="H1494" s="504"/>
      <c r="I1494" s="504"/>
      <c r="J1494" s="504"/>
      <c r="K1494" s="504"/>
      <c r="L1494" s="504"/>
      <c r="M1494" s="504"/>
      <c r="N1494" s="504"/>
      <c r="O1494" s="110"/>
      <c r="P1494" s="109"/>
      <c r="Q1494" s="504"/>
      <c r="R1494" s="107"/>
      <c r="S1494" s="503"/>
    </row>
    <row r="1495" spans="1:19" ht="9.75" customHeight="1">
      <c r="A1495" s="503"/>
      <c r="B1495" s="503"/>
      <c r="C1495" s="13"/>
      <c r="D1495" s="13" t="s">
        <v>25</v>
      </c>
      <c r="E1495" s="13"/>
      <c r="F1495" s="109"/>
      <c r="G1495" s="504"/>
      <c r="H1495" s="504"/>
      <c r="I1495" s="504"/>
      <c r="J1495" s="504"/>
      <c r="K1495" s="504"/>
      <c r="L1495" s="504"/>
      <c r="M1495" s="504"/>
      <c r="N1495" s="504"/>
      <c r="O1495" s="110"/>
      <c r="P1495" s="109"/>
      <c r="Q1495" s="504"/>
      <c r="R1495" s="107"/>
      <c r="S1495" s="503"/>
    </row>
    <row r="1496" spans="1:19" ht="9.75" customHeight="1">
      <c r="A1496" s="503"/>
      <c r="B1496" s="503"/>
      <c r="C1496" s="13"/>
      <c r="D1496" s="13" t="s">
        <v>27</v>
      </c>
      <c r="E1496" s="13"/>
      <c r="F1496" s="109"/>
      <c r="G1496" s="504"/>
      <c r="H1496" s="504"/>
      <c r="I1496" s="504"/>
      <c r="J1496" s="504"/>
      <c r="K1496" s="504"/>
      <c r="L1496" s="504"/>
      <c r="M1496" s="504"/>
      <c r="N1496" s="504"/>
      <c r="O1496" s="110"/>
      <c r="P1496" s="109"/>
      <c r="Q1496" s="504"/>
      <c r="R1496" s="107"/>
      <c r="S1496" s="503"/>
    </row>
    <row r="1497" spans="1:19" ht="9.75" customHeight="1">
      <c r="A1497" s="503"/>
      <c r="B1497" s="503"/>
      <c r="C1497" s="13"/>
      <c r="D1497" s="13" t="s">
        <v>115</v>
      </c>
      <c r="E1497" s="13"/>
      <c r="F1497" s="109"/>
      <c r="G1497" s="504"/>
      <c r="H1497" s="504"/>
      <c r="I1497" s="504"/>
      <c r="J1497" s="504"/>
      <c r="K1497" s="504"/>
      <c r="L1497" s="504"/>
      <c r="M1497" s="504"/>
      <c r="N1497" s="504"/>
      <c r="O1497" s="110"/>
      <c r="P1497" s="109"/>
      <c r="Q1497" s="504"/>
      <c r="R1497" s="107"/>
      <c r="S1497" s="503"/>
    </row>
    <row r="1498" spans="1:19" ht="9.75" customHeight="1">
      <c r="A1498" s="503"/>
      <c r="B1498" s="503"/>
      <c r="C1498" s="13"/>
      <c r="D1498" s="13" t="s">
        <v>115</v>
      </c>
      <c r="E1498" s="13"/>
      <c r="F1498" s="109"/>
      <c r="G1498" s="504"/>
      <c r="H1498" s="504"/>
      <c r="I1498" s="504"/>
      <c r="J1498" s="504"/>
      <c r="K1498" s="504"/>
      <c r="L1498" s="504"/>
      <c r="M1498" s="504"/>
      <c r="N1498" s="504"/>
      <c r="O1498" s="110"/>
      <c r="P1498" s="109"/>
      <c r="Q1498" s="504"/>
      <c r="R1498" s="107"/>
      <c r="S1498" s="503"/>
    </row>
    <row r="1499" spans="1:19" ht="9.75" customHeight="1">
      <c r="A1499" s="503"/>
      <c r="B1499" s="503"/>
      <c r="C1499" s="13"/>
      <c r="D1499" s="13" t="s">
        <v>32</v>
      </c>
      <c r="E1499" s="13">
        <v>3</v>
      </c>
      <c r="F1499" s="192">
        <v>3</v>
      </c>
      <c r="G1499" s="193">
        <v>3</v>
      </c>
      <c r="H1499" s="193">
        <v>3</v>
      </c>
      <c r="I1499" s="193">
        <v>3</v>
      </c>
      <c r="J1499" s="193">
        <v>3</v>
      </c>
      <c r="K1499" s="194">
        <v>3</v>
      </c>
      <c r="L1499" s="194">
        <v>2</v>
      </c>
      <c r="M1499" s="194">
        <v>2</v>
      </c>
      <c r="N1499" s="194">
        <v>3</v>
      </c>
      <c r="O1499" s="195">
        <v>3</v>
      </c>
      <c r="P1499" s="109">
        <f t="shared" ref="P1499:P1500" si="274">MIN(F1499:O1499)</f>
        <v>2</v>
      </c>
      <c r="Q1499" s="504">
        <f t="shared" ref="Q1499:Q1500" si="275">E1499-P1499</f>
        <v>1</v>
      </c>
      <c r="R1499" s="107">
        <f t="shared" ref="R1499:R1500" si="276">Q1499/E1499</f>
        <v>0.33333333333333331</v>
      </c>
      <c r="S1499" s="503"/>
    </row>
    <row r="1500" spans="1:19" ht="9.75" customHeight="1">
      <c r="A1500" s="503"/>
      <c r="B1500" s="503"/>
      <c r="C1500" s="13"/>
      <c r="D1500" s="13" t="s">
        <v>280</v>
      </c>
      <c r="E1500" s="13">
        <v>2</v>
      </c>
      <c r="F1500" s="192">
        <v>1</v>
      </c>
      <c r="G1500" s="193">
        <v>1</v>
      </c>
      <c r="H1500" s="193">
        <v>1</v>
      </c>
      <c r="I1500" s="193">
        <v>1</v>
      </c>
      <c r="J1500" s="193">
        <v>2</v>
      </c>
      <c r="K1500" s="194">
        <v>2</v>
      </c>
      <c r="L1500" s="194">
        <v>2</v>
      </c>
      <c r="M1500" s="194">
        <v>2</v>
      </c>
      <c r="N1500" s="194">
        <v>2</v>
      </c>
      <c r="O1500" s="195">
        <v>2</v>
      </c>
      <c r="P1500" s="109">
        <f t="shared" si="274"/>
        <v>1</v>
      </c>
      <c r="Q1500" s="504">
        <f t="shared" si="275"/>
        <v>1</v>
      </c>
      <c r="R1500" s="107">
        <f t="shared" si="276"/>
        <v>0.5</v>
      </c>
      <c r="S1500" s="503"/>
    </row>
    <row r="1501" spans="1:19" ht="9.75" customHeight="1">
      <c r="A1501" s="503"/>
      <c r="B1501" s="503"/>
      <c r="C1501" s="13"/>
      <c r="D1501" s="13" t="s">
        <v>120</v>
      </c>
      <c r="E1501" s="13"/>
      <c r="F1501" s="192"/>
      <c r="G1501" s="193"/>
      <c r="H1501" s="193"/>
      <c r="I1501" s="193"/>
      <c r="J1501" s="193"/>
      <c r="K1501" s="201"/>
      <c r="L1501" s="201"/>
      <c r="M1501" s="201"/>
      <c r="N1501" s="201"/>
      <c r="O1501" s="202"/>
      <c r="P1501" s="109"/>
      <c r="Q1501" s="504"/>
      <c r="R1501" s="107"/>
      <c r="S1501" s="503"/>
    </row>
    <row r="1502" spans="1:19" ht="9.75" customHeight="1">
      <c r="A1502" s="503"/>
      <c r="B1502" s="503"/>
      <c r="C1502" s="13"/>
      <c r="D1502" s="13" t="s">
        <v>120</v>
      </c>
      <c r="E1502" s="13"/>
      <c r="F1502" s="192"/>
      <c r="G1502" s="193"/>
      <c r="H1502" s="193"/>
      <c r="I1502" s="193"/>
      <c r="J1502" s="193"/>
      <c r="K1502" s="201"/>
      <c r="L1502" s="201"/>
      <c r="M1502" s="201"/>
      <c r="N1502" s="201"/>
      <c r="O1502" s="202"/>
      <c r="P1502" s="109"/>
      <c r="Q1502" s="504"/>
      <c r="R1502" s="107"/>
      <c r="S1502" s="503"/>
    </row>
    <row r="1503" spans="1:19" ht="9.75" customHeight="1">
      <c r="A1503" s="503"/>
      <c r="B1503" s="503"/>
      <c r="C1503" s="13"/>
      <c r="D1503" s="13" t="s">
        <v>120</v>
      </c>
      <c r="E1503" s="13"/>
      <c r="F1503" s="192"/>
      <c r="G1503" s="193"/>
      <c r="H1503" s="193"/>
      <c r="I1503" s="193"/>
      <c r="J1503" s="193"/>
      <c r="K1503" s="201"/>
      <c r="L1503" s="201"/>
      <c r="M1503" s="201"/>
      <c r="N1503" s="201"/>
      <c r="O1503" s="202"/>
      <c r="P1503" s="109"/>
      <c r="Q1503" s="504"/>
      <c r="R1503" s="107"/>
      <c r="S1503" s="503"/>
    </row>
    <row r="1504" spans="1:19" ht="9.75" customHeight="1">
      <c r="A1504" s="503"/>
      <c r="B1504" s="503"/>
      <c r="C1504" s="13"/>
      <c r="D1504" s="13" t="s">
        <v>120</v>
      </c>
      <c r="E1504" s="13"/>
      <c r="F1504" s="192"/>
      <c r="G1504" s="193"/>
      <c r="H1504" s="193"/>
      <c r="I1504" s="193"/>
      <c r="J1504" s="193"/>
      <c r="K1504" s="201"/>
      <c r="L1504" s="201"/>
      <c r="M1504" s="201"/>
      <c r="N1504" s="201"/>
      <c r="O1504" s="202"/>
      <c r="P1504" s="109"/>
      <c r="Q1504" s="504"/>
      <c r="R1504" s="107"/>
      <c r="S1504" s="503"/>
    </row>
    <row r="1505" spans="1:19" ht="9.75" customHeight="1">
      <c r="A1505" s="503"/>
      <c r="B1505" s="503"/>
      <c r="C1505" s="13"/>
      <c r="D1505" s="13" t="s">
        <v>120</v>
      </c>
      <c r="E1505" s="13"/>
      <c r="F1505" s="192"/>
      <c r="G1505" s="193"/>
      <c r="H1505" s="193"/>
      <c r="I1505" s="193"/>
      <c r="J1505" s="193"/>
      <c r="K1505" s="201"/>
      <c r="L1505" s="201"/>
      <c r="M1505" s="201"/>
      <c r="N1505" s="201"/>
      <c r="O1505" s="202"/>
      <c r="P1505" s="109"/>
      <c r="Q1505" s="504"/>
      <c r="R1505" s="107"/>
      <c r="S1505" s="503"/>
    </row>
    <row r="1506" spans="1:19" ht="9.75" customHeight="1">
      <c r="A1506" s="503"/>
      <c r="B1506" s="503"/>
      <c r="C1506" s="13"/>
      <c r="D1506" s="13" t="s">
        <v>34</v>
      </c>
      <c r="E1506" s="13">
        <v>1</v>
      </c>
      <c r="F1506" s="192">
        <v>0</v>
      </c>
      <c r="G1506" s="193">
        <v>0</v>
      </c>
      <c r="H1506" s="193">
        <v>0</v>
      </c>
      <c r="I1506" s="193">
        <v>0</v>
      </c>
      <c r="J1506" s="193">
        <v>0</v>
      </c>
      <c r="K1506" s="194">
        <v>0</v>
      </c>
      <c r="L1506" s="194">
        <v>0</v>
      </c>
      <c r="M1506" s="194">
        <v>0</v>
      </c>
      <c r="N1506" s="194">
        <v>0</v>
      </c>
      <c r="O1506" s="195">
        <v>0</v>
      </c>
      <c r="P1506" s="109">
        <f t="shared" ref="P1506:P1510" si="277">MIN(F1506:O1506)</f>
        <v>0</v>
      </c>
      <c r="Q1506" s="504">
        <f t="shared" ref="Q1506:Q1510" si="278">E1506-P1506</f>
        <v>1</v>
      </c>
      <c r="R1506" s="107">
        <f t="shared" ref="R1506:R1510" si="279">Q1506/E1506</f>
        <v>1</v>
      </c>
      <c r="S1506" s="503"/>
    </row>
    <row r="1507" spans="1:19" ht="9.75" customHeight="1">
      <c r="A1507" s="503"/>
      <c r="B1507" s="503"/>
      <c r="C1507" s="13"/>
      <c r="D1507" s="13" t="s">
        <v>35</v>
      </c>
      <c r="E1507" s="13">
        <v>2</v>
      </c>
      <c r="F1507" s="192">
        <v>2</v>
      </c>
      <c r="G1507" s="193">
        <v>2</v>
      </c>
      <c r="H1507" s="193">
        <v>2</v>
      </c>
      <c r="I1507" s="193">
        <v>2</v>
      </c>
      <c r="J1507" s="193">
        <v>1</v>
      </c>
      <c r="K1507" s="194">
        <v>1</v>
      </c>
      <c r="L1507" s="194">
        <v>1</v>
      </c>
      <c r="M1507" s="194">
        <v>1</v>
      </c>
      <c r="N1507" s="194">
        <v>1</v>
      </c>
      <c r="O1507" s="195">
        <v>1</v>
      </c>
      <c r="P1507" s="109">
        <f t="shared" si="277"/>
        <v>1</v>
      </c>
      <c r="Q1507" s="504">
        <f t="shared" si="278"/>
        <v>1</v>
      </c>
      <c r="R1507" s="107">
        <f t="shared" si="279"/>
        <v>0.5</v>
      </c>
      <c r="S1507" s="503"/>
    </row>
    <row r="1508" spans="1:19" ht="9.75" customHeight="1">
      <c r="A1508" s="503"/>
      <c r="B1508" s="503"/>
      <c r="C1508" s="13"/>
      <c r="D1508" s="13" t="s">
        <v>36</v>
      </c>
      <c r="E1508" s="13">
        <v>2</v>
      </c>
      <c r="F1508" s="192">
        <v>2</v>
      </c>
      <c r="G1508" s="193">
        <v>2</v>
      </c>
      <c r="H1508" s="193">
        <v>2</v>
      </c>
      <c r="I1508" s="193">
        <v>1</v>
      </c>
      <c r="J1508" s="193">
        <v>1</v>
      </c>
      <c r="K1508" s="194">
        <v>1</v>
      </c>
      <c r="L1508" s="194">
        <v>0</v>
      </c>
      <c r="M1508" s="194">
        <v>0</v>
      </c>
      <c r="N1508" s="194">
        <v>0</v>
      </c>
      <c r="O1508" s="195">
        <v>0</v>
      </c>
      <c r="P1508" s="109">
        <f t="shared" si="277"/>
        <v>0</v>
      </c>
      <c r="Q1508" s="504">
        <f t="shared" si="278"/>
        <v>2</v>
      </c>
      <c r="R1508" s="107">
        <f t="shared" si="279"/>
        <v>1</v>
      </c>
      <c r="S1508" s="503"/>
    </row>
    <row r="1509" spans="1:19" ht="9.75" customHeight="1">
      <c r="A1509" s="503"/>
      <c r="B1509" s="503"/>
      <c r="C1509" s="13"/>
      <c r="D1509" s="13" t="s">
        <v>37</v>
      </c>
      <c r="E1509" s="13">
        <v>2</v>
      </c>
      <c r="F1509" s="192">
        <v>2</v>
      </c>
      <c r="G1509" s="193">
        <v>2</v>
      </c>
      <c r="H1509" s="193">
        <v>2</v>
      </c>
      <c r="I1509" s="193">
        <v>1</v>
      </c>
      <c r="J1509" s="193">
        <v>0</v>
      </c>
      <c r="K1509" s="194">
        <v>0</v>
      </c>
      <c r="L1509" s="194">
        <v>0</v>
      </c>
      <c r="M1509" s="194">
        <v>0</v>
      </c>
      <c r="N1509" s="194">
        <v>2</v>
      </c>
      <c r="O1509" s="195">
        <v>1</v>
      </c>
      <c r="P1509" s="109">
        <f t="shared" si="277"/>
        <v>0</v>
      </c>
      <c r="Q1509" s="504">
        <f t="shared" si="278"/>
        <v>2</v>
      </c>
      <c r="R1509" s="107">
        <f t="shared" si="279"/>
        <v>1</v>
      </c>
      <c r="S1509" s="503"/>
    </row>
    <row r="1510" spans="1:19" ht="9.75" customHeight="1">
      <c r="A1510" s="503"/>
      <c r="B1510" s="503" t="s">
        <v>127</v>
      </c>
      <c r="C1510" s="2"/>
      <c r="D1510" s="3" t="s">
        <v>38</v>
      </c>
      <c r="E1510" s="3">
        <f t="shared" ref="E1510:O1510" si="280">SUM(E1494:E1509)</f>
        <v>12</v>
      </c>
      <c r="F1510" s="21">
        <f t="shared" si="280"/>
        <v>10</v>
      </c>
      <c r="G1510" s="71">
        <f t="shared" si="280"/>
        <v>10</v>
      </c>
      <c r="H1510" s="71">
        <f t="shared" si="280"/>
        <v>10</v>
      </c>
      <c r="I1510" s="71">
        <f t="shared" si="280"/>
        <v>8</v>
      </c>
      <c r="J1510" s="71">
        <f t="shared" si="280"/>
        <v>7</v>
      </c>
      <c r="K1510" s="71">
        <f t="shared" si="280"/>
        <v>7</v>
      </c>
      <c r="L1510" s="71">
        <f t="shared" si="280"/>
        <v>5</v>
      </c>
      <c r="M1510" s="71">
        <f t="shared" si="280"/>
        <v>5</v>
      </c>
      <c r="N1510" s="71">
        <f t="shared" si="280"/>
        <v>8</v>
      </c>
      <c r="O1510" s="26">
        <f t="shared" si="280"/>
        <v>7</v>
      </c>
      <c r="P1510" s="21">
        <f t="shared" si="277"/>
        <v>5</v>
      </c>
      <c r="Q1510" s="71">
        <f t="shared" si="278"/>
        <v>7</v>
      </c>
      <c r="R1510" s="7">
        <f t="shared" si="279"/>
        <v>0.58333333333333337</v>
      </c>
      <c r="S1510" s="503"/>
    </row>
    <row r="1511" spans="1:19" ht="9.75" customHeight="1">
      <c r="A1511" s="503"/>
      <c r="B1511" s="503"/>
      <c r="C1511" s="43" t="s">
        <v>281</v>
      </c>
      <c r="D1511" s="43" t="s">
        <v>23</v>
      </c>
      <c r="E1511" s="13"/>
      <c r="F1511" s="109"/>
      <c r="G1511" s="504"/>
      <c r="H1511" s="504"/>
      <c r="I1511" s="504"/>
      <c r="J1511" s="504"/>
      <c r="K1511" s="118"/>
      <c r="L1511" s="118"/>
      <c r="M1511" s="118"/>
      <c r="N1511" s="118"/>
      <c r="O1511" s="135"/>
      <c r="P1511" s="109"/>
      <c r="Q1511" s="504"/>
      <c r="R1511" s="107"/>
      <c r="S1511" s="503"/>
    </row>
    <row r="1512" spans="1:19" ht="9.75" customHeight="1">
      <c r="A1512" s="503"/>
      <c r="B1512" s="503"/>
      <c r="C1512" s="13"/>
      <c r="D1512" s="13" t="s">
        <v>25</v>
      </c>
      <c r="E1512" s="13"/>
      <c r="F1512" s="109"/>
      <c r="G1512" s="504"/>
      <c r="H1512" s="504"/>
      <c r="I1512" s="504"/>
      <c r="J1512" s="504"/>
      <c r="K1512" s="32"/>
      <c r="L1512" s="32"/>
      <c r="M1512" s="32"/>
      <c r="N1512" s="32"/>
      <c r="O1512" s="142"/>
      <c r="P1512" s="109"/>
      <c r="Q1512" s="504"/>
      <c r="R1512" s="107"/>
      <c r="S1512" s="503"/>
    </row>
    <row r="1513" spans="1:19" ht="9.75" customHeight="1">
      <c r="A1513" s="503"/>
      <c r="B1513" s="503"/>
      <c r="C1513" s="13"/>
      <c r="D1513" s="13" t="s">
        <v>27</v>
      </c>
      <c r="E1513" s="13"/>
      <c r="F1513" s="109"/>
      <c r="G1513" s="504"/>
      <c r="H1513" s="504"/>
      <c r="I1513" s="504"/>
      <c r="J1513" s="504"/>
      <c r="K1513" s="32"/>
      <c r="L1513" s="32"/>
      <c r="M1513" s="32"/>
      <c r="N1513" s="32"/>
      <c r="O1513" s="142"/>
      <c r="P1513" s="109"/>
      <c r="Q1513" s="504"/>
      <c r="R1513" s="107"/>
      <c r="S1513" s="503"/>
    </row>
    <row r="1514" spans="1:19" ht="9.75" customHeight="1">
      <c r="A1514" s="503"/>
      <c r="B1514" s="503"/>
      <c r="C1514" s="13"/>
      <c r="D1514" s="13" t="s">
        <v>198</v>
      </c>
      <c r="E1514" s="13">
        <v>12</v>
      </c>
      <c r="F1514" s="109">
        <v>0</v>
      </c>
      <c r="G1514" s="504">
        <v>0</v>
      </c>
      <c r="H1514" s="504">
        <v>0</v>
      </c>
      <c r="I1514" s="504">
        <v>1</v>
      </c>
      <c r="J1514" s="504">
        <v>2</v>
      </c>
      <c r="K1514" s="11">
        <v>4</v>
      </c>
      <c r="L1514" s="11">
        <v>1</v>
      </c>
      <c r="M1514" s="11">
        <v>5</v>
      </c>
      <c r="N1514" s="11">
        <v>1</v>
      </c>
      <c r="O1514" s="136">
        <v>1</v>
      </c>
      <c r="P1514" s="109">
        <f>MIN(F1514:O1514)</f>
        <v>0</v>
      </c>
      <c r="Q1514" s="504">
        <f>E1514-P1514</f>
        <v>12</v>
      </c>
      <c r="R1514" s="107">
        <f>Q1514/E1514</f>
        <v>1</v>
      </c>
      <c r="S1514" s="503"/>
    </row>
    <row r="1515" spans="1:19" ht="9.75" customHeight="1">
      <c r="A1515" s="503"/>
      <c r="B1515" s="503"/>
      <c r="C1515" s="13"/>
      <c r="D1515" s="13" t="s">
        <v>115</v>
      </c>
      <c r="E1515" s="13"/>
      <c r="F1515" s="109"/>
      <c r="G1515" s="504"/>
      <c r="H1515" s="504"/>
      <c r="I1515" s="504"/>
      <c r="J1515" s="504"/>
      <c r="K1515" s="11"/>
      <c r="L1515" s="11"/>
      <c r="M1515" s="11"/>
      <c r="N1515" s="11"/>
      <c r="O1515" s="136"/>
      <c r="P1515" s="109"/>
      <c r="Q1515" s="504"/>
      <c r="R1515" s="107"/>
      <c r="S1515" s="503"/>
    </row>
    <row r="1516" spans="1:19" ht="9.75" customHeight="1">
      <c r="A1516" s="503"/>
      <c r="B1516" s="503"/>
      <c r="C1516" s="13"/>
      <c r="D1516" s="13" t="s">
        <v>32</v>
      </c>
      <c r="E1516" s="13">
        <v>22</v>
      </c>
      <c r="F1516" s="109">
        <v>10</v>
      </c>
      <c r="G1516" s="504">
        <v>11</v>
      </c>
      <c r="H1516" s="504">
        <v>11</v>
      </c>
      <c r="I1516" s="504">
        <v>11</v>
      </c>
      <c r="J1516" s="504">
        <v>11</v>
      </c>
      <c r="K1516" s="11">
        <v>12</v>
      </c>
      <c r="L1516" s="11">
        <v>13</v>
      </c>
      <c r="M1516" s="11">
        <v>17</v>
      </c>
      <c r="N1516" s="11">
        <v>17</v>
      </c>
      <c r="O1516" s="136">
        <v>17</v>
      </c>
      <c r="P1516" s="109">
        <f>MIN(F1516:O1516)</f>
        <v>10</v>
      </c>
      <c r="Q1516" s="504">
        <f>E1516-P1516</f>
        <v>12</v>
      </c>
      <c r="R1516" s="107">
        <f>Q1516/E1516</f>
        <v>0.54545454545454541</v>
      </c>
      <c r="S1516" s="503"/>
    </row>
    <row r="1517" spans="1:19" ht="9.75" customHeight="1">
      <c r="A1517" s="503"/>
      <c r="B1517" s="503"/>
      <c r="C1517" s="13"/>
      <c r="D1517" s="13" t="s">
        <v>118</v>
      </c>
      <c r="E1517" s="13"/>
      <c r="F1517" s="109"/>
      <c r="G1517" s="504"/>
      <c r="H1517" s="504"/>
      <c r="I1517" s="504"/>
      <c r="J1517" s="504"/>
      <c r="K1517" s="32"/>
      <c r="L1517" s="32"/>
      <c r="M1517" s="32"/>
      <c r="N1517" s="32"/>
      <c r="O1517" s="142"/>
      <c r="P1517" s="109"/>
      <c r="Q1517" s="504"/>
      <c r="R1517" s="107"/>
      <c r="S1517" s="503"/>
    </row>
    <row r="1518" spans="1:19" ht="9.75" customHeight="1">
      <c r="A1518" s="503"/>
      <c r="B1518" s="503"/>
      <c r="C1518" s="13"/>
      <c r="D1518" s="13" t="s">
        <v>117</v>
      </c>
      <c r="E1518" s="13"/>
      <c r="F1518" s="109"/>
      <c r="G1518" s="504"/>
      <c r="H1518" s="504"/>
      <c r="I1518" s="504"/>
      <c r="J1518" s="504"/>
      <c r="K1518" s="11"/>
      <c r="L1518" s="11"/>
      <c r="M1518" s="11"/>
      <c r="N1518" s="11"/>
      <c r="O1518" s="136"/>
      <c r="P1518" s="109"/>
      <c r="Q1518" s="504"/>
      <c r="R1518" s="107"/>
      <c r="S1518" s="503"/>
    </row>
    <row r="1519" spans="1:19" ht="9.75" customHeight="1">
      <c r="A1519" s="503"/>
      <c r="B1519" s="503"/>
      <c r="C1519" s="13"/>
      <c r="D1519" s="13" t="s">
        <v>120</v>
      </c>
      <c r="E1519" s="13"/>
      <c r="F1519" s="109"/>
      <c r="G1519" s="504"/>
      <c r="H1519" s="504"/>
      <c r="I1519" s="504"/>
      <c r="J1519" s="504"/>
      <c r="K1519" s="32"/>
      <c r="L1519" s="32"/>
      <c r="M1519" s="32"/>
      <c r="N1519" s="32"/>
      <c r="O1519" s="142"/>
      <c r="P1519" s="109"/>
      <c r="Q1519" s="504"/>
      <c r="R1519" s="107"/>
      <c r="S1519" s="503"/>
    </row>
    <row r="1520" spans="1:19" ht="9.75" customHeight="1">
      <c r="A1520" s="503"/>
      <c r="B1520" s="503"/>
      <c r="C1520" s="13"/>
      <c r="D1520" s="13" t="s">
        <v>120</v>
      </c>
      <c r="E1520" s="13"/>
      <c r="F1520" s="109"/>
      <c r="G1520" s="504"/>
      <c r="H1520" s="504"/>
      <c r="I1520" s="504"/>
      <c r="J1520" s="504"/>
      <c r="K1520" s="32"/>
      <c r="L1520" s="32"/>
      <c r="M1520" s="32"/>
      <c r="N1520" s="32"/>
      <c r="O1520" s="142"/>
      <c r="P1520" s="109"/>
      <c r="Q1520" s="504"/>
      <c r="R1520" s="107"/>
      <c r="S1520" s="503"/>
    </row>
    <row r="1521" spans="1:19" ht="9.75" customHeight="1">
      <c r="A1521" s="503"/>
      <c r="B1521" s="503"/>
      <c r="C1521" s="13"/>
      <c r="D1521" s="13" t="s">
        <v>120</v>
      </c>
      <c r="E1521" s="13"/>
      <c r="F1521" s="109"/>
      <c r="G1521" s="504"/>
      <c r="H1521" s="504"/>
      <c r="I1521" s="504"/>
      <c r="J1521" s="504"/>
      <c r="K1521" s="32"/>
      <c r="L1521" s="32"/>
      <c r="M1521" s="32"/>
      <c r="N1521" s="32"/>
      <c r="O1521" s="142"/>
      <c r="P1521" s="109"/>
      <c r="Q1521" s="504"/>
      <c r="R1521" s="107"/>
      <c r="S1521" s="503"/>
    </row>
    <row r="1522" spans="1:19" ht="9.75" customHeight="1">
      <c r="A1522" s="503"/>
      <c r="B1522" s="503"/>
      <c r="C1522" s="13"/>
      <c r="D1522" s="13" t="s">
        <v>120</v>
      </c>
      <c r="E1522" s="13"/>
      <c r="F1522" s="109"/>
      <c r="G1522" s="504"/>
      <c r="H1522" s="504"/>
      <c r="I1522" s="504"/>
      <c r="J1522" s="504"/>
      <c r="K1522" s="32"/>
      <c r="L1522" s="32"/>
      <c r="M1522" s="32"/>
      <c r="N1522" s="32"/>
      <c r="O1522" s="142"/>
      <c r="P1522" s="109"/>
      <c r="Q1522" s="504"/>
      <c r="R1522" s="107"/>
      <c r="S1522" s="503"/>
    </row>
    <row r="1523" spans="1:19" ht="9.75" customHeight="1">
      <c r="A1523" s="503"/>
      <c r="B1523" s="503"/>
      <c r="C1523" s="13"/>
      <c r="D1523" s="13" t="s">
        <v>34</v>
      </c>
      <c r="E1523" s="13">
        <v>12</v>
      </c>
      <c r="F1523" s="109">
        <v>12</v>
      </c>
      <c r="G1523" s="504">
        <v>10</v>
      </c>
      <c r="H1523" s="504">
        <v>9</v>
      </c>
      <c r="I1523" s="504">
        <v>9</v>
      </c>
      <c r="J1523" s="504">
        <v>9</v>
      </c>
      <c r="K1523" s="11">
        <v>9</v>
      </c>
      <c r="L1523" s="11">
        <v>7</v>
      </c>
      <c r="M1523" s="11">
        <v>7</v>
      </c>
      <c r="N1523" s="11">
        <v>12</v>
      </c>
      <c r="O1523" s="136">
        <v>12</v>
      </c>
      <c r="P1523" s="109">
        <f t="shared" ref="P1523:P1524" si="281">MIN(F1523:O1523)</f>
        <v>7</v>
      </c>
      <c r="Q1523" s="504">
        <f t="shared" ref="Q1523:Q1524" si="282">E1523-P1523</f>
        <v>5</v>
      </c>
      <c r="R1523" s="107">
        <f t="shared" ref="R1523:R1524" si="283">Q1523/E1523</f>
        <v>0.41666666666666669</v>
      </c>
      <c r="S1523" s="503"/>
    </row>
    <row r="1524" spans="1:19" ht="9.75" customHeight="1">
      <c r="A1524" s="503"/>
      <c r="B1524" s="503"/>
      <c r="C1524" s="13"/>
      <c r="D1524" s="13" t="s">
        <v>35</v>
      </c>
      <c r="E1524" s="13">
        <v>1</v>
      </c>
      <c r="F1524" s="109">
        <v>1</v>
      </c>
      <c r="G1524" s="504">
        <v>1</v>
      </c>
      <c r="H1524" s="504">
        <v>0</v>
      </c>
      <c r="I1524" s="504">
        <v>0</v>
      </c>
      <c r="J1524" s="504">
        <v>1</v>
      </c>
      <c r="K1524" s="11">
        <v>1</v>
      </c>
      <c r="L1524" s="11">
        <v>0</v>
      </c>
      <c r="M1524" s="11">
        <v>0</v>
      </c>
      <c r="N1524" s="11">
        <v>1</v>
      </c>
      <c r="O1524" s="136">
        <v>0</v>
      </c>
      <c r="P1524" s="109">
        <f t="shared" si="281"/>
        <v>0</v>
      </c>
      <c r="Q1524" s="504">
        <f t="shared" si="282"/>
        <v>1</v>
      </c>
      <c r="R1524" s="107">
        <f t="shared" si="283"/>
        <v>1</v>
      </c>
      <c r="S1524" s="503"/>
    </row>
    <row r="1525" spans="1:19" ht="9.75" customHeight="1">
      <c r="A1525" s="503"/>
      <c r="B1525" s="503"/>
      <c r="C1525" s="13"/>
      <c r="D1525" s="13" t="s">
        <v>36</v>
      </c>
      <c r="E1525" s="13"/>
      <c r="F1525" s="109"/>
      <c r="G1525" s="504"/>
      <c r="H1525" s="504"/>
      <c r="I1525" s="504"/>
      <c r="J1525" s="504"/>
      <c r="K1525" s="504"/>
      <c r="L1525" s="504"/>
      <c r="M1525" s="504"/>
      <c r="N1525" s="504"/>
      <c r="O1525" s="110"/>
      <c r="P1525" s="109"/>
      <c r="Q1525" s="504"/>
      <c r="R1525" s="107"/>
      <c r="S1525" s="503"/>
    </row>
    <row r="1526" spans="1:19" ht="9.75" customHeight="1">
      <c r="A1526" s="503"/>
      <c r="B1526" s="503"/>
      <c r="C1526" s="13"/>
      <c r="D1526" s="13" t="s">
        <v>37</v>
      </c>
      <c r="E1526" s="13"/>
      <c r="F1526" s="109"/>
      <c r="G1526" s="504"/>
      <c r="H1526" s="504"/>
      <c r="I1526" s="504"/>
      <c r="J1526" s="504"/>
      <c r="K1526" s="504"/>
      <c r="L1526" s="504"/>
      <c r="M1526" s="504"/>
      <c r="N1526" s="504"/>
      <c r="O1526" s="110"/>
      <c r="P1526" s="109"/>
      <c r="Q1526" s="504"/>
      <c r="R1526" s="107"/>
      <c r="S1526" s="503"/>
    </row>
    <row r="1527" spans="1:19" ht="9.75" customHeight="1">
      <c r="A1527" s="503"/>
      <c r="B1527" s="503" t="s">
        <v>127</v>
      </c>
      <c r="C1527" s="2"/>
      <c r="D1527" s="3" t="s">
        <v>38</v>
      </c>
      <c r="E1527" s="3">
        <f t="shared" ref="E1527" si="284">SUM(E1511:E1526)</f>
        <v>47</v>
      </c>
      <c r="F1527" s="21">
        <f t="shared" ref="F1527:O1527" si="285">SUM(F1511:F1526)</f>
        <v>23</v>
      </c>
      <c r="G1527" s="71">
        <f t="shared" si="285"/>
        <v>22</v>
      </c>
      <c r="H1527" s="71">
        <f t="shared" si="285"/>
        <v>20</v>
      </c>
      <c r="I1527" s="71">
        <f t="shared" si="285"/>
        <v>21</v>
      </c>
      <c r="J1527" s="71">
        <f t="shared" si="285"/>
        <v>23</v>
      </c>
      <c r="K1527" s="70">
        <f t="shared" si="285"/>
        <v>26</v>
      </c>
      <c r="L1527" s="70">
        <f t="shared" si="285"/>
        <v>21</v>
      </c>
      <c r="M1527" s="70">
        <f t="shared" si="285"/>
        <v>29</v>
      </c>
      <c r="N1527" s="70">
        <f t="shared" si="285"/>
        <v>31</v>
      </c>
      <c r="O1527" s="27">
        <f t="shared" si="285"/>
        <v>30</v>
      </c>
      <c r="P1527" s="21">
        <f>MIN(F1527:O1527)</f>
        <v>20</v>
      </c>
      <c r="Q1527" s="71">
        <f>E1527-P1527</f>
        <v>27</v>
      </c>
      <c r="R1527" s="7">
        <f>Q1527/E1527</f>
        <v>0.57446808510638303</v>
      </c>
      <c r="S1527" s="503"/>
    </row>
    <row r="1528" spans="1:19" ht="9.75" customHeight="1">
      <c r="A1528" s="503"/>
      <c r="B1528" s="503"/>
      <c r="C1528" s="43" t="s">
        <v>282</v>
      </c>
      <c r="D1528" s="43" t="s">
        <v>23</v>
      </c>
      <c r="E1528" s="13"/>
      <c r="F1528" s="109"/>
      <c r="G1528" s="504"/>
      <c r="H1528" s="504"/>
      <c r="I1528" s="504"/>
      <c r="J1528" s="504"/>
      <c r="K1528" s="504"/>
      <c r="L1528" s="504"/>
      <c r="M1528" s="504"/>
      <c r="N1528" s="504"/>
      <c r="O1528" s="110"/>
      <c r="P1528" s="109"/>
      <c r="Q1528" s="504"/>
      <c r="R1528" s="107"/>
      <c r="S1528" s="503"/>
    </row>
    <row r="1529" spans="1:19" ht="9.75" customHeight="1">
      <c r="A1529" s="503"/>
      <c r="B1529" s="503"/>
      <c r="C1529" s="13"/>
      <c r="D1529" s="13" t="s">
        <v>25</v>
      </c>
      <c r="E1529" s="13"/>
      <c r="F1529" s="109"/>
      <c r="G1529" s="504"/>
      <c r="H1529" s="504"/>
      <c r="I1529" s="504"/>
      <c r="J1529" s="504"/>
      <c r="K1529" s="504"/>
      <c r="L1529" s="504"/>
      <c r="M1529" s="504"/>
      <c r="N1529" s="504"/>
      <c r="O1529" s="110"/>
      <c r="P1529" s="109"/>
      <c r="Q1529" s="504"/>
      <c r="R1529" s="107"/>
      <c r="S1529" s="503"/>
    </row>
    <row r="1530" spans="1:19" ht="9.75" customHeight="1">
      <c r="A1530" s="503"/>
      <c r="B1530" s="503"/>
      <c r="C1530" s="13"/>
      <c r="D1530" s="13" t="s">
        <v>27</v>
      </c>
      <c r="E1530" s="13"/>
      <c r="F1530" s="109"/>
      <c r="G1530" s="504"/>
      <c r="H1530" s="504"/>
      <c r="I1530" s="504"/>
      <c r="J1530" s="504"/>
      <c r="K1530" s="504"/>
      <c r="L1530" s="504"/>
      <c r="M1530" s="504"/>
      <c r="N1530" s="504"/>
      <c r="O1530" s="110"/>
      <c r="P1530" s="109"/>
      <c r="Q1530" s="504"/>
      <c r="R1530" s="107"/>
      <c r="S1530" s="503"/>
    </row>
    <row r="1531" spans="1:19" ht="9.75" customHeight="1">
      <c r="A1531" s="503"/>
      <c r="B1531" s="503"/>
      <c r="C1531" s="13"/>
      <c r="D1531" s="13" t="s">
        <v>115</v>
      </c>
      <c r="E1531" s="13"/>
      <c r="F1531" s="109"/>
      <c r="G1531" s="504"/>
      <c r="H1531" s="504"/>
      <c r="I1531" s="504"/>
      <c r="J1531" s="504"/>
      <c r="K1531" s="504"/>
      <c r="L1531" s="504"/>
      <c r="M1531" s="504"/>
      <c r="N1531" s="504"/>
      <c r="O1531" s="110"/>
      <c r="P1531" s="109"/>
      <c r="Q1531" s="504"/>
      <c r="R1531" s="107"/>
      <c r="S1531" s="503"/>
    </row>
    <row r="1532" spans="1:19" ht="9.75" customHeight="1">
      <c r="A1532" s="503"/>
      <c r="B1532" s="503"/>
      <c r="C1532" s="13"/>
      <c r="D1532" s="13" t="s">
        <v>115</v>
      </c>
      <c r="E1532" s="13"/>
      <c r="F1532" s="109"/>
      <c r="G1532" s="504"/>
      <c r="H1532" s="504"/>
      <c r="I1532" s="504"/>
      <c r="J1532" s="504"/>
      <c r="K1532" s="504"/>
      <c r="L1532" s="504"/>
      <c r="M1532" s="504"/>
      <c r="N1532" s="504"/>
      <c r="O1532" s="110"/>
      <c r="P1532" s="109"/>
      <c r="Q1532" s="504"/>
      <c r="R1532" s="107"/>
      <c r="S1532" s="503"/>
    </row>
    <row r="1533" spans="1:19" ht="9.75" customHeight="1">
      <c r="A1533" s="503"/>
      <c r="B1533" s="503"/>
      <c r="C1533" s="13"/>
      <c r="D1533" s="13" t="s">
        <v>32</v>
      </c>
      <c r="E1533" s="13">
        <v>35</v>
      </c>
      <c r="F1533" s="109">
        <v>20</v>
      </c>
      <c r="G1533" s="504">
        <v>15</v>
      </c>
      <c r="H1533" s="504">
        <v>17</v>
      </c>
      <c r="I1533" s="504">
        <v>15</v>
      </c>
      <c r="J1533" s="504">
        <v>13</v>
      </c>
      <c r="K1533" s="11">
        <v>12</v>
      </c>
      <c r="L1533" s="11">
        <v>12</v>
      </c>
      <c r="M1533" s="11">
        <v>17</v>
      </c>
      <c r="N1533" s="11">
        <v>18</v>
      </c>
      <c r="O1533" s="136">
        <v>19</v>
      </c>
      <c r="P1533" s="109">
        <f>MIN(F1533:O1533)</f>
        <v>12</v>
      </c>
      <c r="Q1533" s="504">
        <f>E1533-P1533</f>
        <v>23</v>
      </c>
      <c r="R1533" s="107">
        <f>Q1533/E1533</f>
        <v>0.65714285714285714</v>
      </c>
      <c r="S1533" s="503"/>
    </row>
    <row r="1534" spans="1:19" ht="9.75" customHeight="1">
      <c r="A1534" s="503"/>
      <c r="B1534" s="503"/>
      <c r="C1534" s="13"/>
      <c r="D1534" s="13" t="s">
        <v>120</v>
      </c>
      <c r="E1534" s="13"/>
      <c r="F1534" s="109"/>
      <c r="G1534" s="504"/>
      <c r="H1534" s="504"/>
      <c r="I1534" s="504"/>
      <c r="J1534" s="504"/>
      <c r="K1534" s="32"/>
      <c r="L1534" s="32"/>
      <c r="M1534" s="32"/>
      <c r="N1534" s="32"/>
      <c r="O1534" s="142"/>
      <c r="P1534" s="109"/>
      <c r="Q1534" s="504"/>
      <c r="R1534" s="107"/>
      <c r="S1534" s="503"/>
    </row>
    <row r="1535" spans="1:19" ht="9.75" customHeight="1">
      <c r="A1535" s="503"/>
      <c r="B1535" s="503"/>
      <c r="C1535" s="13"/>
      <c r="D1535" s="13" t="s">
        <v>120</v>
      </c>
      <c r="E1535" s="13"/>
      <c r="F1535" s="109"/>
      <c r="G1535" s="504"/>
      <c r="H1535" s="504"/>
      <c r="I1535" s="504"/>
      <c r="J1535" s="504"/>
      <c r="K1535" s="32"/>
      <c r="L1535" s="32"/>
      <c r="M1535" s="32"/>
      <c r="N1535" s="32"/>
      <c r="O1535" s="142"/>
      <c r="P1535" s="109"/>
      <c r="Q1535" s="504"/>
      <c r="R1535" s="107"/>
      <c r="S1535" s="503"/>
    </row>
    <row r="1536" spans="1:19" ht="9.75" customHeight="1">
      <c r="A1536" s="503"/>
      <c r="B1536" s="503"/>
      <c r="C1536" s="13"/>
      <c r="D1536" s="13" t="s">
        <v>120</v>
      </c>
      <c r="E1536" s="13"/>
      <c r="F1536" s="109"/>
      <c r="G1536" s="504"/>
      <c r="H1536" s="504"/>
      <c r="I1536" s="504"/>
      <c r="J1536" s="504"/>
      <c r="K1536" s="32"/>
      <c r="L1536" s="32"/>
      <c r="M1536" s="32"/>
      <c r="N1536" s="32"/>
      <c r="O1536" s="142"/>
      <c r="P1536" s="109"/>
      <c r="Q1536" s="504"/>
      <c r="R1536" s="107"/>
      <c r="S1536" s="503"/>
    </row>
    <row r="1537" spans="1:19" ht="9.75" customHeight="1">
      <c r="A1537" s="503"/>
      <c r="B1537" s="503"/>
      <c r="C1537" s="13"/>
      <c r="D1537" s="13" t="s">
        <v>120</v>
      </c>
      <c r="E1537" s="13"/>
      <c r="F1537" s="109"/>
      <c r="G1537" s="504"/>
      <c r="H1537" s="504"/>
      <c r="I1537" s="504"/>
      <c r="J1537" s="504"/>
      <c r="K1537" s="32"/>
      <c r="L1537" s="32"/>
      <c r="M1537" s="32"/>
      <c r="N1537" s="32"/>
      <c r="O1537" s="142"/>
      <c r="P1537" s="109"/>
      <c r="Q1537" s="504"/>
      <c r="R1537" s="107"/>
      <c r="S1537" s="503"/>
    </row>
    <row r="1538" spans="1:19" ht="9.75" customHeight="1">
      <c r="A1538" s="503"/>
      <c r="B1538" s="503"/>
      <c r="C1538" s="13"/>
      <c r="D1538" s="13" t="s">
        <v>120</v>
      </c>
      <c r="E1538" s="13"/>
      <c r="F1538" s="109"/>
      <c r="G1538" s="504"/>
      <c r="H1538" s="504"/>
      <c r="I1538" s="504"/>
      <c r="J1538" s="504"/>
      <c r="K1538" s="32"/>
      <c r="L1538" s="32"/>
      <c r="M1538" s="32"/>
      <c r="N1538" s="32"/>
      <c r="O1538" s="142"/>
      <c r="P1538" s="109"/>
      <c r="Q1538" s="504"/>
      <c r="R1538" s="107"/>
      <c r="S1538" s="503"/>
    </row>
    <row r="1539" spans="1:19" ht="9.75" customHeight="1">
      <c r="A1539" s="503"/>
      <c r="B1539" s="503"/>
      <c r="C1539" s="13"/>
      <c r="D1539" s="13" t="s">
        <v>120</v>
      </c>
      <c r="E1539" s="13"/>
      <c r="F1539" s="109"/>
      <c r="G1539" s="504"/>
      <c r="H1539" s="504"/>
      <c r="I1539" s="504"/>
      <c r="J1539" s="504"/>
      <c r="K1539" s="32"/>
      <c r="L1539" s="32"/>
      <c r="M1539" s="32"/>
      <c r="N1539" s="32"/>
      <c r="O1539" s="142"/>
      <c r="P1539" s="109"/>
      <c r="Q1539" s="504"/>
      <c r="R1539" s="107"/>
      <c r="S1539" s="503"/>
    </row>
    <row r="1540" spans="1:19" ht="9.75" customHeight="1">
      <c r="A1540" s="503"/>
      <c r="B1540" s="503"/>
      <c r="C1540" s="13"/>
      <c r="D1540" s="13" t="s">
        <v>34</v>
      </c>
      <c r="E1540" s="13">
        <v>5</v>
      </c>
      <c r="F1540" s="109">
        <v>4</v>
      </c>
      <c r="G1540" s="504">
        <v>3</v>
      </c>
      <c r="H1540" s="504">
        <v>3</v>
      </c>
      <c r="I1540" s="504">
        <v>3</v>
      </c>
      <c r="J1540" s="504">
        <v>3</v>
      </c>
      <c r="K1540" s="11">
        <v>3</v>
      </c>
      <c r="L1540" s="11">
        <v>2</v>
      </c>
      <c r="M1540" s="11">
        <v>2</v>
      </c>
      <c r="N1540" s="11">
        <v>4</v>
      </c>
      <c r="O1540" s="136">
        <v>4</v>
      </c>
      <c r="P1540" s="109">
        <f>MIN(F1540:O1540)</f>
        <v>2</v>
      </c>
      <c r="Q1540" s="504">
        <f>E1540-P1540</f>
        <v>3</v>
      </c>
      <c r="R1540" s="107">
        <f>Q1540/E1540</f>
        <v>0.6</v>
      </c>
      <c r="S1540" s="503"/>
    </row>
    <row r="1541" spans="1:19" ht="9.75" customHeight="1">
      <c r="A1541" s="503"/>
      <c r="B1541" s="503"/>
      <c r="C1541" s="13"/>
      <c r="D1541" s="13" t="s">
        <v>35</v>
      </c>
      <c r="E1541" s="13"/>
      <c r="F1541" s="109"/>
      <c r="G1541" s="504"/>
      <c r="H1541" s="504"/>
      <c r="I1541" s="504"/>
      <c r="J1541" s="504"/>
      <c r="K1541" s="504"/>
      <c r="L1541" s="504"/>
      <c r="M1541" s="504"/>
      <c r="N1541" s="504"/>
      <c r="O1541" s="110"/>
      <c r="P1541" s="109"/>
      <c r="Q1541" s="504"/>
      <c r="R1541" s="107"/>
      <c r="S1541" s="503"/>
    </row>
    <row r="1542" spans="1:19" ht="9.75" customHeight="1">
      <c r="A1542" s="503"/>
      <c r="B1542" s="503"/>
      <c r="C1542" s="13"/>
      <c r="D1542" s="13" t="s">
        <v>36</v>
      </c>
      <c r="E1542" s="13"/>
      <c r="F1542" s="109"/>
      <c r="G1542" s="504"/>
      <c r="H1542" s="504"/>
      <c r="I1542" s="504"/>
      <c r="J1542" s="504"/>
      <c r="K1542" s="504"/>
      <c r="L1542" s="504"/>
      <c r="M1542" s="504"/>
      <c r="N1542" s="504"/>
      <c r="O1542" s="110"/>
      <c r="P1542" s="109"/>
      <c r="Q1542" s="504"/>
      <c r="R1542" s="107"/>
      <c r="S1542" s="503"/>
    </row>
    <row r="1543" spans="1:19" ht="9.75" customHeight="1">
      <c r="A1543" s="503"/>
      <c r="B1543" s="503"/>
      <c r="C1543" s="13"/>
      <c r="D1543" s="13" t="s">
        <v>37</v>
      </c>
      <c r="E1543" s="13"/>
      <c r="F1543" s="109"/>
      <c r="G1543" s="504"/>
      <c r="H1543" s="504"/>
      <c r="I1543" s="504"/>
      <c r="J1543" s="504"/>
      <c r="K1543" s="504"/>
      <c r="L1543" s="504"/>
      <c r="M1543" s="504"/>
      <c r="N1543" s="504"/>
      <c r="O1543" s="110"/>
      <c r="P1543" s="109"/>
      <c r="Q1543" s="504"/>
      <c r="R1543" s="107"/>
      <c r="S1543" s="503"/>
    </row>
    <row r="1544" spans="1:19" ht="9.75" customHeight="1">
      <c r="A1544" s="503"/>
      <c r="B1544" s="503" t="s">
        <v>127</v>
      </c>
      <c r="C1544" s="2"/>
      <c r="D1544" s="3" t="s">
        <v>38</v>
      </c>
      <c r="E1544" s="3">
        <f t="shared" ref="E1544" si="286">SUM(E1528:E1543)</f>
        <v>40</v>
      </c>
      <c r="F1544" s="21">
        <f t="shared" ref="F1544:O1544" si="287">SUM(F1528:F1543)</f>
        <v>24</v>
      </c>
      <c r="G1544" s="71">
        <f t="shared" si="287"/>
        <v>18</v>
      </c>
      <c r="H1544" s="71">
        <f t="shared" si="287"/>
        <v>20</v>
      </c>
      <c r="I1544" s="71">
        <f t="shared" si="287"/>
        <v>18</v>
      </c>
      <c r="J1544" s="71">
        <f t="shared" si="287"/>
        <v>16</v>
      </c>
      <c r="K1544" s="71">
        <f t="shared" si="287"/>
        <v>15</v>
      </c>
      <c r="L1544" s="71">
        <f t="shared" si="287"/>
        <v>14</v>
      </c>
      <c r="M1544" s="71">
        <f t="shared" si="287"/>
        <v>19</v>
      </c>
      <c r="N1544" s="71">
        <f t="shared" si="287"/>
        <v>22</v>
      </c>
      <c r="O1544" s="26">
        <f t="shared" si="287"/>
        <v>23</v>
      </c>
      <c r="P1544" s="21">
        <f>MIN(F1544:O1544)</f>
        <v>14</v>
      </c>
      <c r="Q1544" s="71">
        <f>E1544-P1544</f>
        <v>26</v>
      </c>
      <c r="R1544" s="7">
        <f>Q1544/E1544</f>
        <v>0.65</v>
      </c>
      <c r="S1544" s="503"/>
    </row>
    <row r="1545" spans="1:19" ht="9.75" customHeight="1">
      <c r="A1545" s="503"/>
      <c r="B1545" s="503"/>
      <c r="C1545" s="43" t="s">
        <v>283</v>
      </c>
      <c r="D1545" s="43" t="s">
        <v>23</v>
      </c>
      <c r="E1545" s="43"/>
      <c r="F1545" s="116"/>
      <c r="G1545" s="128"/>
      <c r="H1545" s="128"/>
      <c r="I1545" s="128"/>
      <c r="J1545" s="128"/>
      <c r="K1545" s="128"/>
      <c r="L1545" s="128"/>
      <c r="M1545" s="128"/>
      <c r="N1545" s="128"/>
      <c r="O1545" s="129"/>
      <c r="P1545" s="116"/>
      <c r="Q1545" s="128"/>
      <c r="R1545" s="141"/>
      <c r="S1545" s="503"/>
    </row>
    <row r="1546" spans="1:19" ht="9.75" customHeight="1">
      <c r="A1546" s="503"/>
      <c r="B1546" s="503"/>
      <c r="C1546" s="13"/>
      <c r="D1546" s="13" t="s">
        <v>25</v>
      </c>
      <c r="E1546" s="13"/>
      <c r="F1546" s="109"/>
      <c r="G1546" s="504"/>
      <c r="H1546" s="504"/>
      <c r="I1546" s="504"/>
      <c r="J1546" s="504"/>
      <c r="K1546" s="504"/>
      <c r="L1546" s="504"/>
      <c r="M1546" s="504"/>
      <c r="N1546" s="504"/>
      <c r="O1546" s="110"/>
      <c r="P1546" s="109"/>
      <c r="Q1546" s="504"/>
      <c r="R1546" s="107"/>
      <c r="S1546" s="503"/>
    </row>
    <row r="1547" spans="1:19" ht="9.75" customHeight="1">
      <c r="A1547" s="503"/>
      <c r="B1547" s="503"/>
      <c r="C1547" s="13"/>
      <c r="D1547" s="13" t="s">
        <v>27</v>
      </c>
      <c r="E1547" s="13"/>
      <c r="F1547" s="109"/>
      <c r="G1547" s="504"/>
      <c r="H1547" s="504"/>
      <c r="I1547" s="504"/>
      <c r="J1547" s="504"/>
      <c r="K1547" s="504"/>
      <c r="L1547" s="504"/>
      <c r="M1547" s="504"/>
      <c r="N1547" s="504"/>
      <c r="O1547" s="110"/>
      <c r="P1547" s="109"/>
      <c r="Q1547" s="504"/>
      <c r="R1547" s="107"/>
      <c r="S1547" s="503"/>
    </row>
    <row r="1548" spans="1:19" ht="9.75" customHeight="1">
      <c r="A1548" s="503"/>
      <c r="B1548" s="503"/>
      <c r="C1548" s="13"/>
      <c r="D1548" s="13" t="s">
        <v>115</v>
      </c>
      <c r="E1548" s="13"/>
      <c r="F1548" s="109"/>
      <c r="G1548" s="504"/>
      <c r="H1548" s="504"/>
      <c r="I1548" s="504"/>
      <c r="J1548" s="504"/>
      <c r="K1548" s="504"/>
      <c r="L1548" s="504"/>
      <c r="M1548" s="504"/>
      <c r="N1548" s="504"/>
      <c r="O1548" s="110"/>
      <c r="P1548" s="109"/>
      <c r="Q1548" s="504"/>
      <c r="R1548" s="107"/>
      <c r="S1548" s="503"/>
    </row>
    <row r="1549" spans="1:19" ht="9.75" customHeight="1">
      <c r="A1549" s="503"/>
      <c r="B1549" s="503"/>
      <c r="C1549" s="13"/>
      <c r="D1549" s="13" t="s">
        <v>115</v>
      </c>
      <c r="E1549" s="13"/>
      <c r="F1549" s="109"/>
      <c r="G1549" s="504"/>
      <c r="H1549" s="504"/>
      <c r="I1549" s="504"/>
      <c r="J1549" s="504"/>
      <c r="K1549" s="504"/>
      <c r="L1549" s="504"/>
      <c r="M1549" s="504"/>
      <c r="N1549" s="504"/>
      <c r="O1549" s="110"/>
      <c r="P1549" s="109"/>
      <c r="Q1549" s="504"/>
      <c r="R1549" s="107"/>
      <c r="S1549" s="503"/>
    </row>
    <row r="1550" spans="1:19" ht="9.75" customHeight="1">
      <c r="A1550" s="503"/>
      <c r="B1550" s="503"/>
      <c r="C1550" s="13"/>
      <c r="D1550" s="13" t="s">
        <v>32</v>
      </c>
      <c r="E1550" s="13">
        <v>1</v>
      </c>
      <c r="F1550" s="109">
        <v>1</v>
      </c>
      <c r="G1550" s="504">
        <v>1</v>
      </c>
      <c r="H1550" s="504">
        <v>1</v>
      </c>
      <c r="I1550" s="504">
        <v>1</v>
      </c>
      <c r="J1550" s="504">
        <v>1</v>
      </c>
      <c r="K1550" s="504">
        <v>1</v>
      </c>
      <c r="L1550" s="504">
        <v>1</v>
      </c>
      <c r="M1550" s="504">
        <v>1</v>
      </c>
      <c r="N1550" s="504">
        <v>1</v>
      </c>
      <c r="O1550" s="110">
        <v>1</v>
      </c>
      <c r="P1550" s="109">
        <f>MIN(F1550:O1550)</f>
        <v>1</v>
      </c>
      <c r="Q1550" s="504">
        <f>E1550-P1550</f>
        <v>0</v>
      </c>
      <c r="R1550" s="107">
        <f>Q1550/E1550</f>
        <v>0</v>
      </c>
      <c r="S1550" s="503"/>
    </row>
    <row r="1551" spans="1:19" ht="9.75" customHeight="1">
      <c r="A1551" s="503"/>
      <c r="B1551" s="503"/>
      <c r="C1551" s="13"/>
      <c r="D1551" s="13" t="s">
        <v>120</v>
      </c>
      <c r="E1551" s="13"/>
      <c r="F1551" s="109"/>
      <c r="G1551" s="504"/>
      <c r="H1551" s="504"/>
      <c r="I1551" s="504"/>
      <c r="J1551" s="504"/>
      <c r="K1551" s="504"/>
      <c r="L1551" s="504"/>
      <c r="M1551" s="504"/>
      <c r="N1551" s="504"/>
      <c r="O1551" s="110"/>
      <c r="P1551" s="109"/>
      <c r="Q1551" s="504"/>
      <c r="R1551" s="107"/>
      <c r="S1551" s="503"/>
    </row>
    <row r="1552" spans="1:19" ht="9.75" customHeight="1">
      <c r="A1552" s="503"/>
      <c r="B1552" s="503"/>
      <c r="C1552" s="13"/>
      <c r="D1552" s="13" t="s">
        <v>120</v>
      </c>
      <c r="E1552" s="13"/>
      <c r="F1552" s="109"/>
      <c r="G1552" s="504"/>
      <c r="H1552" s="504"/>
      <c r="I1552" s="504"/>
      <c r="J1552" s="504"/>
      <c r="K1552" s="504"/>
      <c r="L1552" s="504"/>
      <c r="M1552" s="504"/>
      <c r="N1552" s="504"/>
      <c r="O1552" s="110"/>
      <c r="P1552" s="109"/>
      <c r="Q1552" s="504"/>
      <c r="R1552" s="107"/>
      <c r="S1552" s="503"/>
    </row>
    <row r="1553" spans="1:19" ht="9.75" customHeight="1">
      <c r="A1553" s="503"/>
      <c r="B1553" s="503"/>
      <c r="C1553" s="13"/>
      <c r="D1553" s="13" t="s">
        <v>120</v>
      </c>
      <c r="E1553" s="13"/>
      <c r="F1553" s="109"/>
      <c r="G1553" s="504"/>
      <c r="H1553" s="504"/>
      <c r="I1553" s="504"/>
      <c r="J1553" s="504"/>
      <c r="K1553" s="504"/>
      <c r="L1553" s="504"/>
      <c r="M1553" s="504"/>
      <c r="N1553" s="504"/>
      <c r="O1553" s="110"/>
      <c r="P1553" s="109"/>
      <c r="Q1553" s="504"/>
      <c r="R1553" s="107"/>
      <c r="S1553" s="503"/>
    </row>
    <row r="1554" spans="1:19" ht="9.75" customHeight="1">
      <c r="A1554" s="503"/>
      <c r="B1554" s="503"/>
      <c r="C1554" s="13"/>
      <c r="D1554" s="13" t="s">
        <v>120</v>
      </c>
      <c r="E1554" s="13"/>
      <c r="F1554" s="109"/>
      <c r="G1554" s="504"/>
      <c r="H1554" s="504"/>
      <c r="I1554" s="504"/>
      <c r="J1554" s="504"/>
      <c r="K1554" s="504"/>
      <c r="L1554" s="504"/>
      <c r="M1554" s="504"/>
      <c r="N1554" s="504"/>
      <c r="O1554" s="110"/>
      <c r="P1554" s="109"/>
      <c r="Q1554" s="504"/>
      <c r="R1554" s="107"/>
      <c r="S1554" s="503"/>
    </row>
    <row r="1555" spans="1:19" ht="9.75" customHeight="1">
      <c r="A1555" s="503"/>
      <c r="B1555" s="503"/>
      <c r="C1555" s="13"/>
      <c r="D1555" s="13" t="s">
        <v>120</v>
      </c>
      <c r="E1555" s="13"/>
      <c r="F1555" s="109"/>
      <c r="G1555" s="504"/>
      <c r="H1555" s="504"/>
      <c r="I1555" s="504"/>
      <c r="J1555" s="504"/>
      <c r="K1555" s="504"/>
      <c r="L1555" s="504"/>
      <c r="M1555" s="504"/>
      <c r="N1555" s="504"/>
      <c r="O1555" s="110"/>
      <c r="P1555" s="109"/>
      <c r="Q1555" s="504"/>
      <c r="R1555" s="107"/>
      <c r="S1555" s="503"/>
    </row>
    <row r="1556" spans="1:19" ht="9.75" customHeight="1">
      <c r="A1556" s="503"/>
      <c r="B1556" s="503"/>
      <c r="C1556" s="13"/>
      <c r="D1556" s="13" t="s">
        <v>120</v>
      </c>
      <c r="E1556" s="13"/>
      <c r="F1556" s="109"/>
      <c r="G1556" s="504"/>
      <c r="H1556" s="504"/>
      <c r="I1556" s="504"/>
      <c r="J1556" s="504"/>
      <c r="K1556" s="504"/>
      <c r="L1556" s="504"/>
      <c r="M1556" s="504"/>
      <c r="N1556" s="504"/>
      <c r="O1556" s="110"/>
      <c r="P1556" s="109"/>
      <c r="Q1556" s="504"/>
      <c r="R1556" s="107"/>
      <c r="S1556" s="503"/>
    </row>
    <row r="1557" spans="1:19" ht="9.75" customHeight="1">
      <c r="A1557" s="503"/>
      <c r="B1557" s="503"/>
      <c r="C1557" s="13"/>
      <c r="D1557" s="13" t="s">
        <v>34</v>
      </c>
      <c r="E1557" s="13">
        <v>2</v>
      </c>
      <c r="F1557" s="109">
        <v>1</v>
      </c>
      <c r="G1557" s="504">
        <v>1</v>
      </c>
      <c r="H1557" s="504">
        <v>1</v>
      </c>
      <c r="I1557" s="504">
        <v>1</v>
      </c>
      <c r="J1557" s="504">
        <v>1</v>
      </c>
      <c r="K1557" s="11">
        <v>1</v>
      </c>
      <c r="L1557" s="11">
        <v>1</v>
      </c>
      <c r="M1557" s="11">
        <v>1</v>
      </c>
      <c r="N1557" s="11">
        <v>1</v>
      </c>
      <c r="O1557" s="136">
        <v>1</v>
      </c>
      <c r="P1557" s="109">
        <f>MIN(F1557:O1557)</f>
        <v>1</v>
      </c>
      <c r="Q1557" s="504">
        <f>E1557-P1557</f>
        <v>1</v>
      </c>
      <c r="R1557" s="107">
        <f>Q1557/E1557</f>
        <v>0.5</v>
      </c>
      <c r="S1557" s="503"/>
    </row>
    <row r="1558" spans="1:19" ht="9.75" customHeight="1">
      <c r="A1558" s="503"/>
      <c r="B1558" s="503"/>
      <c r="C1558" s="13"/>
      <c r="D1558" s="13" t="s">
        <v>35</v>
      </c>
      <c r="E1558" s="13"/>
      <c r="F1558" s="109"/>
      <c r="G1558" s="504"/>
      <c r="H1558" s="504"/>
      <c r="I1558" s="504"/>
      <c r="J1558" s="504"/>
      <c r="K1558" s="504"/>
      <c r="L1558" s="504"/>
      <c r="M1558" s="504"/>
      <c r="N1558" s="504"/>
      <c r="O1558" s="110"/>
      <c r="P1558" s="109"/>
      <c r="Q1558" s="504"/>
      <c r="R1558" s="107"/>
      <c r="S1558" s="503"/>
    </row>
    <row r="1559" spans="1:19" ht="9.75" customHeight="1">
      <c r="A1559" s="503"/>
      <c r="B1559" s="503"/>
      <c r="C1559" s="13"/>
      <c r="D1559" s="13" t="s">
        <v>36</v>
      </c>
      <c r="E1559" s="13"/>
      <c r="F1559" s="109"/>
      <c r="G1559" s="504"/>
      <c r="H1559" s="504"/>
      <c r="I1559" s="504"/>
      <c r="J1559" s="504"/>
      <c r="K1559" s="504"/>
      <c r="L1559" s="504"/>
      <c r="M1559" s="504"/>
      <c r="N1559" s="504"/>
      <c r="O1559" s="110"/>
      <c r="P1559" s="109"/>
      <c r="Q1559" s="504"/>
      <c r="R1559" s="107"/>
      <c r="S1559" s="503"/>
    </row>
    <row r="1560" spans="1:19" ht="9.75" customHeight="1">
      <c r="A1560" s="503"/>
      <c r="B1560" s="503"/>
      <c r="C1560" s="13"/>
      <c r="D1560" s="13" t="s">
        <v>37</v>
      </c>
      <c r="E1560" s="13"/>
      <c r="F1560" s="109"/>
      <c r="G1560" s="504"/>
      <c r="H1560" s="504"/>
      <c r="I1560" s="504"/>
      <c r="J1560" s="504"/>
      <c r="K1560" s="504"/>
      <c r="L1560" s="504"/>
      <c r="M1560" s="504"/>
      <c r="N1560" s="504"/>
      <c r="O1560" s="110"/>
      <c r="P1560" s="109"/>
      <c r="Q1560" s="504"/>
      <c r="R1560" s="107"/>
      <c r="S1560" s="503"/>
    </row>
    <row r="1561" spans="1:19" ht="9.75" customHeight="1">
      <c r="A1561" s="503"/>
      <c r="B1561" s="503" t="s">
        <v>127</v>
      </c>
      <c r="C1561" s="2"/>
      <c r="D1561" s="3" t="s">
        <v>38</v>
      </c>
      <c r="E1561" s="3">
        <f t="shared" ref="E1561:O1561" si="288">SUM(E1545:E1560)</f>
        <v>3</v>
      </c>
      <c r="F1561" s="21">
        <f t="shared" si="288"/>
        <v>2</v>
      </c>
      <c r="G1561" s="71">
        <f t="shared" si="288"/>
        <v>2</v>
      </c>
      <c r="H1561" s="71">
        <f t="shared" si="288"/>
        <v>2</v>
      </c>
      <c r="I1561" s="71">
        <f t="shared" si="288"/>
        <v>2</v>
      </c>
      <c r="J1561" s="71">
        <f t="shared" si="288"/>
        <v>2</v>
      </c>
      <c r="K1561" s="71">
        <f t="shared" si="288"/>
        <v>2</v>
      </c>
      <c r="L1561" s="71">
        <f t="shared" si="288"/>
        <v>2</v>
      </c>
      <c r="M1561" s="71">
        <f t="shared" si="288"/>
        <v>2</v>
      </c>
      <c r="N1561" s="71">
        <f t="shared" si="288"/>
        <v>2</v>
      </c>
      <c r="O1561" s="26">
        <f t="shared" si="288"/>
        <v>2</v>
      </c>
      <c r="P1561" s="21">
        <f t="shared" ref="P1561:P1562" si="289">MIN(F1561:O1561)</f>
        <v>2</v>
      </c>
      <c r="Q1561" s="71">
        <f t="shared" ref="Q1561:Q1562" si="290">E1561-P1561</f>
        <v>1</v>
      </c>
      <c r="R1561" s="7">
        <f t="shared" ref="R1561:R1562" si="291">Q1561/E1561</f>
        <v>0.33333333333333331</v>
      </c>
      <c r="S1561" s="503"/>
    </row>
    <row r="1562" spans="1:19" ht="9.75" customHeight="1">
      <c r="A1562" s="503"/>
      <c r="B1562" s="503"/>
      <c r="C1562" s="43" t="s">
        <v>284</v>
      </c>
      <c r="D1562" s="43" t="s">
        <v>23</v>
      </c>
      <c r="E1562" s="43">
        <v>3</v>
      </c>
      <c r="F1562" s="116">
        <v>2</v>
      </c>
      <c r="G1562" s="128">
        <v>3</v>
      </c>
      <c r="H1562" s="128">
        <v>0</v>
      </c>
      <c r="I1562" s="128">
        <v>0</v>
      </c>
      <c r="J1562" s="128">
        <v>0</v>
      </c>
      <c r="K1562" s="11">
        <v>0</v>
      </c>
      <c r="L1562" s="11">
        <v>0</v>
      </c>
      <c r="M1562" s="11">
        <v>2</v>
      </c>
      <c r="N1562" s="11">
        <v>2</v>
      </c>
      <c r="O1562" s="136">
        <v>2</v>
      </c>
      <c r="P1562" s="116">
        <f t="shared" si="289"/>
        <v>0</v>
      </c>
      <c r="Q1562" s="128">
        <f t="shared" si="290"/>
        <v>3</v>
      </c>
      <c r="R1562" s="141">
        <f t="shared" si="291"/>
        <v>1</v>
      </c>
      <c r="S1562" s="503"/>
    </row>
    <row r="1563" spans="1:19" ht="9.75" customHeight="1">
      <c r="A1563" s="503"/>
      <c r="B1563" s="503"/>
      <c r="C1563" s="13"/>
      <c r="D1563" s="13" t="s">
        <v>25</v>
      </c>
      <c r="E1563" s="13"/>
      <c r="F1563" s="109"/>
      <c r="G1563" s="504"/>
      <c r="H1563" s="504"/>
      <c r="I1563" s="504"/>
      <c r="J1563" s="504"/>
      <c r="K1563" s="504"/>
      <c r="L1563" s="504"/>
      <c r="M1563" s="504"/>
      <c r="N1563" s="504"/>
      <c r="O1563" s="110"/>
      <c r="P1563" s="109"/>
      <c r="Q1563" s="504"/>
      <c r="R1563" s="107"/>
      <c r="S1563" s="503"/>
    </row>
    <row r="1564" spans="1:19" ht="9.75" customHeight="1">
      <c r="A1564" s="503"/>
      <c r="B1564" s="503"/>
      <c r="C1564" s="13"/>
      <c r="D1564" s="13" t="s">
        <v>27</v>
      </c>
      <c r="E1564" s="13"/>
      <c r="F1564" s="109"/>
      <c r="G1564" s="504"/>
      <c r="H1564" s="504"/>
      <c r="I1564" s="504"/>
      <c r="J1564" s="504"/>
      <c r="K1564" s="504"/>
      <c r="L1564" s="504"/>
      <c r="M1564" s="504"/>
      <c r="N1564" s="504"/>
      <c r="O1564" s="110"/>
      <c r="P1564" s="109"/>
      <c r="Q1564" s="504"/>
      <c r="R1564" s="107"/>
      <c r="S1564" s="503"/>
    </row>
    <row r="1565" spans="1:19" ht="9.75" customHeight="1">
      <c r="A1565" s="503"/>
      <c r="B1565" s="503"/>
      <c r="C1565" s="13"/>
      <c r="D1565" s="13" t="s">
        <v>115</v>
      </c>
      <c r="E1565" s="13"/>
      <c r="F1565" s="109"/>
      <c r="G1565" s="504"/>
      <c r="H1565" s="504"/>
      <c r="I1565" s="504"/>
      <c r="J1565" s="504"/>
      <c r="K1565" s="504"/>
      <c r="L1565" s="504"/>
      <c r="M1565" s="504"/>
      <c r="N1565" s="504"/>
      <c r="O1565" s="110"/>
      <c r="P1565" s="109"/>
      <c r="Q1565" s="504"/>
      <c r="R1565" s="107"/>
      <c r="S1565" s="503"/>
    </row>
    <row r="1566" spans="1:19" ht="9.75" customHeight="1">
      <c r="A1566" s="503"/>
      <c r="B1566" s="503"/>
      <c r="C1566" s="13"/>
      <c r="D1566" s="13" t="s">
        <v>115</v>
      </c>
      <c r="E1566" s="13"/>
      <c r="F1566" s="109"/>
      <c r="G1566" s="504"/>
      <c r="H1566" s="504"/>
      <c r="I1566" s="504"/>
      <c r="J1566" s="504"/>
      <c r="K1566" s="504"/>
      <c r="L1566" s="504"/>
      <c r="M1566" s="504"/>
      <c r="N1566" s="504"/>
      <c r="O1566" s="110"/>
      <c r="P1566" s="109"/>
      <c r="Q1566" s="504"/>
      <c r="R1566" s="107"/>
      <c r="S1566" s="503"/>
    </row>
    <row r="1567" spans="1:19" ht="9.75" customHeight="1">
      <c r="A1567" s="503"/>
      <c r="B1567" s="503"/>
      <c r="C1567" s="13"/>
      <c r="D1567" s="13" t="s">
        <v>32</v>
      </c>
      <c r="E1567" s="13">
        <v>3</v>
      </c>
      <c r="F1567" s="109">
        <v>3</v>
      </c>
      <c r="G1567" s="504">
        <v>3</v>
      </c>
      <c r="H1567" s="504">
        <v>3</v>
      </c>
      <c r="I1567" s="504">
        <v>3</v>
      </c>
      <c r="J1567" s="504">
        <v>3</v>
      </c>
      <c r="K1567" s="11">
        <v>3</v>
      </c>
      <c r="L1567" s="11">
        <v>3</v>
      </c>
      <c r="M1567" s="11">
        <v>3</v>
      </c>
      <c r="N1567" s="11">
        <v>3</v>
      </c>
      <c r="O1567" s="136">
        <v>2</v>
      </c>
      <c r="P1567" s="109">
        <f>MIN(F1567:O1567)</f>
        <v>2</v>
      </c>
      <c r="Q1567" s="504">
        <f>E1567-P1567</f>
        <v>1</v>
      </c>
      <c r="R1567" s="107">
        <f>Q1567/E1567</f>
        <v>0.33333333333333331</v>
      </c>
      <c r="S1567" s="503"/>
    </row>
    <row r="1568" spans="1:19" ht="9.75" customHeight="1">
      <c r="A1568" s="503"/>
      <c r="B1568" s="503"/>
      <c r="C1568" s="13"/>
      <c r="D1568" s="13" t="s">
        <v>120</v>
      </c>
      <c r="E1568" s="13"/>
      <c r="F1568" s="109"/>
      <c r="G1568" s="504"/>
      <c r="H1568" s="504"/>
      <c r="I1568" s="504"/>
      <c r="J1568" s="504"/>
      <c r="K1568" s="504"/>
      <c r="L1568" s="504"/>
      <c r="M1568" s="504"/>
      <c r="N1568" s="504"/>
      <c r="O1568" s="110"/>
      <c r="P1568" s="109"/>
      <c r="Q1568" s="504"/>
      <c r="R1568" s="107"/>
      <c r="S1568" s="503"/>
    </row>
    <row r="1569" spans="1:19" ht="9.75" customHeight="1">
      <c r="A1569" s="503"/>
      <c r="B1569" s="503"/>
      <c r="C1569" s="13"/>
      <c r="D1569" s="13" t="s">
        <v>120</v>
      </c>
      <c r="E1569" s="13"/>
      <c r="F1569" s="109"/>
      <c r="G1569" s="504"/>
      <c r="H1569" s="504"/>
      <c r="I1569" s="504"/>
      <c r="J1569" s="504"/>
      <c r="K1569" s="504"/>
      <c r="L1569" s="504"/>
      <c r="M1569" s="504"/>
      <c r="N1569" s="504"/>
      <c r="O1569" s="110"/>
      <c r="P1569" s="109"/>
      <c r="Q1569" s="504"/>
      <c r="R1569" s="107"/>
      <c r="S1569" s="503"/>
    </row>
    <row r="1570" spans="1:19" ht="9.75" customHeight="1">
      <c r="A1570" s="503"/>
      <c r="B1570" s="503"/>
      <c r="C1570" s="13"/>
      <c r="D1570" s="13" t="s">
        <v>120</v>
      </c>
      <c r="E1570" s="13"/>
      <c r="F1570" s="109"/>
      <c r="G1570" s="504"/>
      <c r="H1570" s="504"/>
      <c r="I1570" s="504"/>
      <c r="J1570" s="504"/>
      <c r="K1570" s="504"/>
      <c r="L1570" s="504"/>
      <c r="M1570" s="504"/>
      <c r="N1570" s="504"/>
      <c r="O1570" s="110"/>
      <c r="P1570" s="109"/>
      <c r="Q1570" s="504"/>
      <c r="R1570" s="107"/>
      <c r="S1570" s="503"/>
    </row>
    <row r="1571" spans="1:19" ht="9.75" customHeight="1">
      <c r="A1571" s="503"/>
      <c r="B1571" s="503"/>
      <c r="C1571" s="13"/>
      <c r="D1571" s="13" t="s">
        <v>120</v>
      </c>
      <c r="E1571" s="13"/>
      <c r="F1571" s="109"/>
      <c r="G1571" s="504"/>
      <c r="H1571" s="504"/>
      <c r="I1571" s="504"/>
      <c r="J1571" s="504"/>
      <c r="K1571" s="504"/>
      <c r="L1571" s="504"/>
      <c r="M1571" s="504"/>
      <c r="N1571" s="504"/>
      <c r="O1571" s="110"/>
      <c r="P1571" s="109"/>
      <c r="Q1571" s="504"/>
      <c r="R1571" s="107"/>
      <c r="S1571" s="503"/>
    </row>
    <row r="1572" spans="1:19" ht="9.75" customHeight="1">
      <c r="A1572" s="503"/>
      <c r="B1572" s="503"/>
      <c r="C1572" s="13"/>
      <c r="D1572" s="13" t="s">
        <v>120</v>
      </c>
      <c r="E1572" s="13"/>
      <c r="F1572" s="109"/>
      <c r="G1572" s="504"/>
      <c r="H1572" s="504"/>
      <c r="I1572" s="504"/>
      <c r="J1572" s="504"/>
      <c r="K1572" s="504"/>
      <c r="L1572" s="504"/>
      <c r="M1572" s="504"/>
      <c r="N1572" s="504"/>
      <c r="O1572" s="110"/>
      <c r="P1572" s="109"/>
      <c r="Q1572" s="504"/>
      <c r="R1572" s="107"/>
      <c r="S1572" s="503"/>
    </row>
    <row r="1573" spans="1:19" ht="9.75" customHeight="1">
      <c r="A1573" s="503"/>
      <c r="B1573" s="503"/>
      <c r="C1573" s="13"/>
      <c r="D1573" s="13" t="s">
        <v>120</v>
      </c>
      <c r="E1573" s="13"/>
      <c r="F1573" s="109"/>
      <c r="G1573" s="504"/>
      <c r="H1573" s="504"/>
      <c r="I1573" s="504"/>
      <c r="J1573" s="504"/>
      <c r="K1573" s="504"/>
      <c r="L1573" s="504"/>
      <c r="M1573" s="504"/>
      <c r="N1573" s="504"/>
      <c r="O1573" s="110"/>
      <c r="P1573" s="109"/>
      <c r="Q1573" s="504"/>
      <c r="R1573" s="107"/>
      <c r="S1573" s="503"/>
    </row>
    <row r="1574" spans="1:19" ht="9.75" customHeight="1">
      <c r="A1574" s="503"/>
      <c r="B1574" s="503"/>
      <c r="C1574" s="13"/>
      <c r="D1574" s="13" t="s">
        <v>34</v>
      </c>
      <c r="E1574" s="13"/>
      <c r="F1574" s="109"/>
      <c r="G1574" s="504"/>
      <c r="H1574" s="504"/>
      <c r="I1574" s="504"/>
      <c r="J1574" s="504"/>
      <c r="K1574" s="504"/>
      <c r="L1574" s="504"/>
      <c r="M1574" s="504"/>
      <c r="N1574" s="504"/>
      <c r="O1574" s="110"/>
      <c r="P1574" s="109"/>
      <c r="Q1574" s="504"/>
      <c r="R1574" s="107"/>
      <c r="S1574" s="503"/>
    </row>
    <row r="1575" spans="1:19" ht="9.75" customHeight="1">
      <c r="A1575" s="503"/>
      <c r="B1575" s="503"/>
      <c r="C1575" s="13"/>
      <c r="D1575" s="13" t="s">
        <v>35</v>
      </c>
      <c r="E1575" s="13"/>
      <c r="F1575" s="109"/>
      <c r="G1575" s="504"/>
      <c r="H1575" s="504"/>
      <c r="I1575" s="504"/>
      <c r="J1575" s="504"/>
      <c r="K1575" s="504"/>
      <c r="L1575" s="504"/>
      <c r="M1575" s="504"/>
      <c r="N1575" s="504"/>
      <c r="O1575" s="110"/>
      <c r="P1575" s="109"/>
      <c r="Q1575" s="504"/>
      <c r="R1575" s="107"/>
      <c r="S1575" s="503"/>
    </row>
    <row r="1576" spans="1:19" ht="9.75" customHeight="1">
      <c r="A1576" s="503"/>
      <c r="B1576" s="503"/>
      <c r="C1576" s="13"/>
      <c r="D1576" s="13" t="s">
        <v>36</v>
      </c>
      <c r="E1576" s="13">
        <v>3</v>
      </c>
      <c r="F1576" s="109">
        <v>3</v>
      </c>
      <c r="G1576" s="504">
        <v>3</v>
      </c>
      <c r="H1576" s="504">
        <v>3</v>
      </c>
      <c r="I1576" s="504">
        <v>2</v>
      </c>
      <c r="J1576" s="504">
        <v>2</v>
      </c>
      <c r="K1576" s="11">
        <v>2</v>
      </c>
      <c r="L1576" s="11">
        <v>1</v>
      </c>
      <c r="M1576" s="11">
        <v>0</v>
      </c>
      <c r="N1576" s="11">
        <v>0</v>
      </c>
      <c r="O1576" s="136">
        <v>0</v>
      </c>
      <c r="P1576" s="109">
        <f t="shared" ref="P1576:P1578" si="292">MIN(F1576:O1576)</f>
        <v>0</v>
      </c>
      <c r="Q1576" s="504">
        <f t="shared" ref="Q1576:Q1578" si="293">E1576-P1576</f>
        <v>3</v>
      </c>
      <c r="R1576" s="107">
        <f t="shared" ref="R1576:R1578" si="294">Q1576/E1576</f>
        <v>1</v>
      </c>
      <c r="S1576" s="503"/>
    </row>
    <row r="1577" spans="1:19" ht="9.75" customHeight="1">
      <c r="A1577" s="503"/>
      <c r="B1577" s="503"/>
      <c r="C1577" s="13"/>
      <c r="D1577" s="13" t="s">
        <v>37</v>
      </c>
      <c r="E1577" s="13">
        <v>7</v>
      </c>
      <c r="F1577" s="109">
        <v>4</v>
      </c>
      <c r="G1577" s="504">
        <v>3</v>
      </c>
      <c r="H1577" s="504">
        <v>2</v>
      </c>
      <c r="I1577" s="504">
        <v>5</v>
      </c>
      <c r="J1577" s="504">
        <v>7</v>
      </c>
      <c r="K1577" s="11">
        <v>7</v>
      </c>
      <c r="L1577" s="11">
        <v>7</v>
      </c>
      <c r="M1577" s="11">
        <v>7</v>
      </c>
      <c r="N1577" s="11">
        <v>6</v>
      </c>
      <c r="O1577" s="136">
        <v>5</v>
      </c>
      <c r="P1577" s="109">
        <f t="shared" si="292"/>
        <v>2</v>
      </c>
      <c r="Q1577" s="504">
        <f t="shared" si="293"/>
        <v>5</v>
      </c>
      <c r="R1577" s="107">
        <f t="shared" si="294"/>
        <v>0.7142857142857143</v>
      </c>
      <c r="S1577" s="503"/>
    </row>
    <row r="1578" spans="1:19" ht="9.75" customHeight="1">
      <c r="A1578" s="503"/>
      <c r="B1578" s="503" t="s">
        <v>127</v>
      </c>
      <c r="C1578" s="2"/>
      <c r="D1578" s="3" t="s">
        <v>38</v>
      </c>
      <c r="E1578" s="3">
        <f t="shared" ref="E1578:O1578" si="295">SUM(E1562:E1577)</f>
        <v>16</v>
      </c>
      <c r="F1578" s="21">
        <f t="shared" si="295"/>
        <v>12</v>
      </c>
      <c r="G1578" s="71">
        <f t="shared" si="295"/>
        <v>12</v>
      </c>
      <c r="H1578" s="71">
        <f t="shared" si="295"/>
        <v>8</v>
      </c>
      <c r="I1578" s="71">
        <f t="shared" si="295"/>
        <v>10</v>
      </c>
      <c r="J1578" s="71">
        <f t="shared" si="295"/>
        <v>12</v>
      </c>
      <c r="K1578" s="70">
        <f t="shared" si="295"/>
        <v>12</v>
      </c>
      <c r="L1578" s="70">
        <f t="shared" si="295"/>
        <v>11</v>
      </c>
      <c r="M1578" s="70">
        <f t="shared" si="295"/>
        <v>12</v>
      </c>
      <c r="N1578" s="70">
        <f t="shared" si="295"/>
        <v>11</v>
      </c>
      <c r="O1578" s="27">
        <f t="shared" si="295"/>
        <v>9</v>
      </c>
      <c r="P1578" s="21">
        <f t="shared" si="292"/>
        <v>8</v>
      </c>
      <c r="Q1578" s="71">
        <f t="shared" si="293"/>
        <v>8</v>
      </c>
      <c r="R1578" s="7">
        <f t="shared" si="294"/>
        <v>0.5</v>
      </c>
      <c r="S1578" s="503"/>
    </row>
    <row r="1579" spans="1:19" ht="9.75" customHeight="1">
      <c r="A1579" s="503"/>
      <c r="B1579" s="503"/>
      <c r="C1579" s="43" t="s">
        <v>285</v>
      </c>
      <c r="D1579" s="43" t="s">
        <v>23</v>
      </c>
      <c r="E1579" s="43"/>
      <c r="F1579" s="116"/>
      <c r="G1579" s="128"/>
      <c r="H1579" s="128"/>
      <c r="I1579" s="128"/>
      <c r="J1579" s="128"/>
      <c r="K1579" s="128"/>
      <c r="L1579" s="128"/>
      <c r="M1579" s="128"/>
      <c r="N1579" s="128"/>
      <c r="O1579" s="129"/>
      <c r="P1579" s="116"/>
      <c r="Q1579" s="128"/>
      <c r="R1579" s="141"/>
      <c r="S1579" s="503"/>
    </row>
    <row r="1580" spans="1:19" ht="9.75" customHeight="1">
      <c r="A1580" s="503"/>
      <c r="B1580" s="503"/>
      <c r="C1580" s="13"/>
      <c r="D1580" s="13" t="s">
        <v>25</v>
      </c>
      <c r="E1580" s="13"/>
      <c r="F1580" s="109"/>
      <c r="G1580" s="504"/>
      <c r="H1580" s="504"/>
      <c r="I1580" s="504"/>
      <c r="J1580" s="504"/>
      <c r="K1580" s="504"/>
      <c r="L1580" s="504"/>
      <c r="M1580" s="504"/>
      <c r="N1580" s="504"/>
      <c r="O1580" s="110"/>
      <c r="P1580" s="109"/>
      <c r="Q1580" s="504"/>
      <c r="R1580" s="107"/>
      <c r="S1580" s="503"/>
    </row>
    <row r="1581" spans="1:19" ht="9.75" customHeight="1">
      <c r="A1581" s="503"/>
      <c r="B1581" s="503"/>
      <c r="C1581" s="13"/>
      <c r="D1581" s="13" t="s">
        <v>27</v>
      </c>
      <c r="E1581" s="13"/>
      <c r="F1581" s="109"/>
      <c r="G1581" s="504"/>
      <c r="H1581" s="504"/>
      <c r="I1581" s="504"/>
      <c r="J1581" s="504"/>
      <c r="K1581" s="504"/>
      <c r="L1581" s="504"/>
      <c r="M1581" s="504"/>
      <c r="N1581" s="504"/>
      <c r="O1581" s="110"/>
      <c r="P1581" s="109"/>
      <c r="Q1581" s="504"/>
      <c r="R1581" s="107"/>
      <c r="S1581" s="503"/>
    </row>
    <row r="1582" spans="1:19" ht="9.75" customHeight="1">
      <c r="A1582" s="503"/>
      <c r="B1582" s="503"/>
      <c r="C1582" s="13"/>
      <c r="D1582" s="13" t="s">
        <v>115</v>
      </c>
      <c r="E1582" s="13"/>
      <c r="F1582" s="109"/>
      <c r="G1582" s="504"/>
      <c r="H1582" s="504"/>
      <c r="I1582" s="504"/>
      <c r="J1582" s="504"/>
      <c r="K1582" s="504"/>
      <c r="L1582" s="504"/>
      <c r="M1582" s="504"/>
      <c r="N1582" s="504"/>
      <c r="O1582" s="110"/>
      <c r="P1582" s="109"/>
      <c r="Q1582" s="504"/>
      <c r="R1582" s="107"/>
      <c r="S1582" s="503"/>
    </row>
    <row r="1583" spans="1:19" ht="9.75" customHeight="1">
      <c r="A1583" s="503"/>
      <c r="B1583" s="503"/>
      <c r="C1583" s="13"/>
      <c r="D1583" s="13" t="s">
        <v>115</v>
      </c>
      <c r="E1583" s="13"/>
      <c r="F1583" s="109"/>
      <c r="G1583" s="504"/>
      <c r="H1583" s="504"/>
      <c r="I1583" s="504"/>
      <c r="J1583" s="504"/>
      <c r="K1583" s="504"/>
      <c r="L1583" s="504"/>
      <c r="M1583" s="504"/>
      <c r="N1583" s="504"/>
      <c r="O1583" s="110"/>
      <c r="P1583" s="109"/>
      <c r="Q1583" s="504"/>
      <c r="R1583" s="107"/>
      <c r="S1583" s="503"/>
    </row>
    <row r="1584" spans="1:19" ht="9.75" customHeight="1">
      <c r="A1584" s="503"/>
      <c r="B1584" s="503"/>
      <c r="C1584" s="13"/>
      <c r="D1584" s="13" t="s">
        <v>32</v>
      </c>
      <c r="E1584" s="13">
        <v>2</v>
      </c>
      <c r="F1584" s="109">
        <v>2</v>
      </c>
      <c r="G1584" s="504">
        <v>2</v>
      </c>
      <c r="H1584" s="504">
        <v>2</v>
      </c>
      <c r="I1584" s="504">
        <v>2</v>
      </c>
      <c r="J1584" s="504">
        <v>2</v>
      </c>
      <c r="K1584" s="11">
        <v>2</v>
      </c>
      <c r="L1584" s="11">
        <v>2</v>
      </c>
      <c r="M1584" s="11">
        <v>2</v>
      </c>
      <c r="N1584" s="11">
        <v>1</v>
      </c>
      <c r="O1584" s="136">
        <v>2</v>
      </c>
      <c r="P1584" s="109">
        <f t="shared" ref="P1584:P1586" si="296">MIN(F1584:O1584)</f>
        <v>1</v>
      </c>
      <c r="Q1584" s="504">
        <f t="shared" ref="Q1584:Q1586" si="297">E1584-P1584</f>
        <v>1</v>
      </c>
      <c r="R1584" s="107">
        <f t="shared" ref="R1584:R1586" si="298">Q1584/E1584</f>
        <v>0.5</v>
      </c>
      <c r="S1584" s="503"/>
    </row>
    <row r="1585" spans="1:19" ht="9.75" customHeight="1">
      <c r="A1585" s="503"/>
      <c r="B1585" s="503"/>
      <c r="C1585" s="13"/>
      <c r="D1585" s="13" t="s">
        <v>286</v>
      </c>
      <c r="E1585" s="13">
        <v>1</v>
      </c>
      <c r="F1585" s="109">
        <v>1</v>
      </c>
      <c r="G1585" s="504">
        <v>1</v>
      </c>
      <c r="H1585" s="504">
        <v>1</v>
      </c>
      <c r="I1585" s="504">
        <v>1</v>
      </c>
      <c r="J1585" s="504">
        <v>0</v>
      </c>
      <c r="K1585" s="11">
        <v>0</v>
      </c>
      <c r="L1585" s="11">
        <v>0</v>
      </c>
      <c r="M1585" s="11">
        <v>0</v>
      </c>
      <c r="N1585" s="11">
        <v>1</v>
      </c>
      <c r="O1585" s="136">
        <v>1</v>
      </c>
      <c r="P1585" s="109">
        <f t="shared" si="296"/>
        <v>0</v>
      </c>
      <c r="Q1585" s="504">
        <f t="shared" si="297"/>
        <v>1</v>
      </c>
      <c r="R1585" s="107">
        <f t="shared" si="298"/>
        <v>1</v>
      </c>
      <c r="S1585" s="503"/>
    </row>
    <row r="1586" spans="1:19" ht="9.75" customHeight="1">
      <c r="A1586" s="503"/>
      <c r="B1586" s="503"/>
      <c r="C1586" s="13"/>
      <c r="D1586" s="13" t="s">
        <v>287</v>
      </c>
      <c r="E1586" s="13">
        <v>5</v>
      </c>
      <c r="F1586" s="109">
        <v>4</v>
      </c>
      <c r="G1586" s="504">
        <v>3</v>
      </c>
      <c r="H1586" s="504">
        <v>4</v>
      </c>
      <c r="I1586" s="504">
        <v>4</v>
      </c>
      <c r="J1586" s="504">
        <v>4</v>
      </c>
      <c r="K1586" s="11">
        <v>3</v>
      </c>
      <c r="L1586" s="11">
        <v>3</v>
      </c>
      <c r="M1586" s="11">
        <v>4</v>
      </c>
      <c r="N1586" s="11">
        <v>4</v>
      </c>
      <c r="O1586" s="136">
        <v>4</v>
      </c>
      <c r="P1586" s="109">
        <f t="shared" si="296"/>
        <v>3</v>
      </c>
      <c r="Q1586" s="504">
        <f t="shared" si="297"/>
        <v>2</v>
      </c>
      <c r="R1586" s="107">
        <f t="shared" si="298"/>
        <v>0.4</v>
      </c>
      <c r="S1586" s="503"/>
    </row>
    <row r="1587" spans="1:19" ht="9.75" customHeight="1">
      <c r="A1587" s="503"/>
      <c r="B1587" s="503"/>
      <c r="C1587" s="13"/>
      <c r="D1587" s="13" t="s">
        <v>120</v>
      </c>
      <c r="E1587" s="13"/>
      <c r="F1587" s="109"/>
      <c r="G1587" s="504"/>
      <c r="H1587" s="504"/>
      <c r="I1587" s="504"/>
      <c r="J1587" s="504"/>
      <c r="K1587" s="504"/>
      <c r="L1587" s="504"/>
      <c r="M1587" s="504"/>
      <c r="N1587" s="504"/>
      <c r="O1587" s="110"/>
      <c r="P1587" s="109"/>
      <c r="Q1587" s="504"/>
      <c r="R1587" s="107"/>
      <c r="S1587" s="503"/>
    </row>
    <row r="1588" spans="1:19" ht="9.75" customHeight="1">
      <c r="A1588" s="503"/>
      <c r="B1588" s="503"/>
      <c r="C1588" s="13"/>
      <c r="D1588" s="13" t="s">
        <v>120</v>
      </c>
      <c r="E1588" s="13"/>
      <c r="F1588" s="109"/>
      <c r="G1588" s="504"/>
      <c r="H1588" s="504"/>
      <c r="I1588" s="504"/>
      <c r="J1588" s="504"/>
      <c r="K1588" s="504"/>
      <c r="L1588" s="504"/>
      <c r="M1588" s="504"/>
      <c r="N1588" s="504"/>
      <c r="O1588" s="110"/>
      <c r="P1588" s="109"/>
      <c r="Q1588" s="504"/>
      <c r="R1588" s="107"/>
      <c r="S1588" s="503"/>
    </row>
    <row r="1589" spans="1:19" ht="9.75" customHeight="1">
      <c r="A1589" s="503"/>
      <c r="B1589" s="503"/>
      <c r="C1589" s="13"/>
      <c r="D1589" s="13" t="s">
        <v>120</v>
      </c>
      <c r="E1589" s="13"/>
      <c r="F1589" s="109"/>
      <c r="G1589" s="504"/>
      <c r="H1589" s="504"/>
      <c r="I1589" s="504"/>
      <c r="J1589" s="504"/>
      <c r="K1589" s="504"/>
      <c r="L1589" s="504"/>
      <c r="M1589" s="504"/>
      <c r="N1589" s="504"/>
      <c r="O1589" s="110"/>
      <c r="P1589" s="109"/>
      <c r="Q1589" s="504"/>
      <c r="R1589" s="107"/>
      <c r="S1589" s="503"/>
    </row>
    <row r="1590" spans="1:19" ht="9.75" customHeight="1">
      <c r="A1590" s="503"/>
      <c r="B1590" s="503"/>
      <c r="C1590" s="13"/>
      <c r="D1590" s="13" t="s">
        <v>120</v>
      </c>
      <c r="E1590" s="13"/>
      <c r="F1590" s="109"/>
      <c r="G1590" s="504"/>
      <c r="H1590" s="504"/>
      <c r="I1590" s="504"/>
      <c r="J1590" s="504"/>
      <c r="K1590" s="504"/>
      <c r="L1590" s="504"/>
      <c r="M1590" s="504"/>
      <c r="N1590" s="504"/>
      <c r="O1590" s="110"/>
      <c r="P1590" s="109"/>
      <c r="Q1590" s="504"/>
      <c r="R1590" s="107"/>
      <c r="S1590" s="503"/>
    </row>
    <row r="1591" spans="1:19" ht="9.75" customHeight="1">
      <c r="A1591" s="503"/>
      <c r="B1591" s="503"/>
      <c r="C1591" s="13"/>
      <c r="D1591" s="13" t="s">
        <v>34</v>
      </c>
      <c r="E1591" s="13">
        <v>1</v>
      </c>
      <c r="F1591" s="109">
        <v>1</v>
      </c>
      <c r="G1591" s="504">
        <v>1</v>
      </c>
      <c r="H1591" s="504">
        <v>1</v>
      </c>
      <c r="I1591" s="504">
        <v>0</v>
      </c>
      <c r="J1591" s="504">
        <v>0</v>
      </c>
      <c r="K1591" s="11">
        <v>0</v>
      </c>
      <c r="L1591" s="11">
        <v>1</v>
      </c>
      <c r="M1591" s="11">
        <v>0</v>
      </c>
      <c r="N1591" s="11">
        <v>1</v>
      </c>
      <c r="O1591" s="136">
        <v>1</v>
      </c>
      <c r="P1591" s="109">
        <f>MIN(F1591:O1591)</f>
        <v>0</v>
      </c>
      <c r="Q1591" s="504">
        <f>E1591-P1591</f>
        <v>1</v>
      </c>
      <c r="R1591" s="107">
        <f>Q1591/E1591</f>
        <v>1</v>
      </c>
      <c r="S1591" s="503"/>
    </row>
    <row r="1592" spans="1:19" ht="9.75" customHeight="1">
      <c r="A1592" s="503"/>
      <c r="B1592" s="503"/>
      <c r="C1592" s="13"/>
      <c r="D1592" s="13" t="s">
        <v>35</v>
      </c>
      <c r="E1592" s="13"/>
      <c r="F1592" s="109"/>
      <c r="G1592" s="504"/>
      <c r="H1592" s="504"/>
      <c r="I1592" s="504"/>
      <c r="J1592" s="504"/>
      <c r="K1592" s="504"/>
      <c r="L1592" s="504"/>
      <c r="M1592" s="504"/>
      <c r="N1592" s="504"/>
      <c r="O1592" s="110"/>
      <c r="P1592" s="109"/>
      <c r="Q1592" s="504"/>
      <c r="R1592" s="107"/>
      <c r="S1592" s="503"/>
    </row>
    <row r="1593" spans="1:19" ht="9.75" customHeight="1">
      <c r="A1593" s="503"/>
      <c r="B1593" s="503"/>
      <c r="C1593" s="13"/>
      <c r="D1593" s="13" t="s">
        <v>36</v>
      </c>
      <c r="E1593" s="13"/>
      <c r="F1593" s="109"/>
      <c r="G1593" s="504"/>
      <c r="H1593" s="504"/>
      <c r="I1593" s="504"/>
      <c r="J1593" s="504"/>
      <c r="K1593" s="504"/>
      <c r="L1593" s="504"/>
      <c r="M1593" s="504"/>
      <c r="N1593" s="504"/>
      <c r="O1593" s="110"/>
      <c r="P1593" s="109"/>
      <c r="Q1593" s="504"/>
      <c r="R1593" s="107"/>
      <c r="S1593" s="503"/>
    </row>
    <row r="1594" spans="1:19" ht="9.75" customHeight="1">
      <c r="A1594" s="503"/>
      <c r="B1594" s="503"/>
      <c r="C1594" s="13"/>
      <c r="D1594" s="13" t="s">
        <v>37</v>
      </c>
      <c r="E1594" s="13"/>
      <c r="F1594" s="109"/>
      <c r="G1594" s="504"/>
      <c r="H1594" s="504"/>
      <c r="I1594" s="504"/>
      <c r="J1594" s="504"/>
      <c r="K1594" s="504"/>
      <c r="L1594" s="504"/>
      <c r="M1594" s="504"/>
      <c r="N1594" s="504"/>
      <c r="O1594" s="110"/>
      <c r="P1594" s="109"/>
      <c r="Q1594" s="504"/>
      <c r="R1594" s="107"/>
      <c r="S1594" s="503"/>
    </row>
    <row r="1595" spans="1:19" ht="9.75" customHeight="1">
      <c r="A1595" s="503"/>
      <c r="B1595" s="503" t="s">
        <v>127</v>
      </c>
      <c r="C1595" s="2"/>
      <c r="D1595" s="3" t="s">
        <v>38</v>
      </c>
      <c r="E1595" s="3">
        <f t="shared" ref="E1595:O1595" si="299">SUM(E1579:E1594)</f>
        <v>9</v>
      </c>
      <c r="F1595" s="21">
        <f t="shared" si="299"/>
        <v>8</v>
      </c>
      <c r="G1595" s="71">
        <f t="shared" si="299"/>
        <v>7</v>
      </c>
      <c r="H1595" s="71">
        <f t="shared" si="299"/>
        <v>8</v>
      </c>
      <c r="I1595" s="71">
        <f t="shared" si="299"/>
        <v>7</v>
      </c>
      <c r="J1595" s="71">
        <f t="shared" si="299"/>
        <v>6</v>
      </c>
      <c r="K1595" s="71">
        <f t="shared" si="299"/>
        <v>5</v>
      </c>
      <c r="L1595" s="71">
        <f t="shared" si="299"/>
        <v>6</v>
      </c>
      <c r="M1595" s="71">
        <f t="shared" si="299"/>
        <v>6</v>
      </c>
      <c r="N1595" s="71">
        <f t="shared" si="299"/>
        <v>7</v>
      </c>
      <c r="O1595" s="26">
        <f t="shared" si="299"/>
        <v>8</v>
      </c>
      <c r="P1595" s="21">
        <f t="shared" ref="P1595:P1597" si="300">MIN(F1595:O1595)</f>
        <v>5</v>
      </c>
      <c r="Q1595" s="71">
        <f t="shared" ref="Q1595:Q1597" si="301">E1595-P1595</f>
        <v>4</v>
      </c>
      <c r="R1595" s="7">
        <f t="shared" ref="R1595:R1597" si="302">Q1595/E1595</f>
        <v>0.44444444444444442</v>
      </c>
      <c r="S1595" s="503"/>
    </row>
    <row r="1596" spans="1:19" ht="9.75" customHeight="1">
      <c r="A1596" s="503"/>
      <c r="B1596" s="503"/>
      <c r="C1596" s="344" t="s">
        <v>288</v>
      </c>
      <c r="D1596" s="344" t="s">
        <v>23</v>
      </c>
      <c r="E1596" s="344">
        <v>57</v>
      </c>
      <c r="F1596" s="345"/>
      <c r="G1596" s="346"/>
      <c r="H1596" s="346"/>
      <c r="I1596" s="346"/>
      <c r="J1596" s="346"/>
      <c r="K1596" s="346"/>
      <c r="L1596" s="346"/>
      <c r="M1596" s="346"/>
      <c r="N1596" s="346"/>
      <c r="O1596" s="347"/>
      <c r="P1596" s="348">
        <f t="shared" si="300"/>
        <v>0</v>
      </c>
      <c r="Q1596" s="349">
        <f t="shared" si="301"/>
        <v>57</v>
      </c>
      <c r="R1596" s="350">
        <f t="shared" si="302"/>
        <v>1</v>
      </c>
      <c r="S1596" s="503"/>
    </row>
    <row r="1597" spans="1:19" ht="9.75" customHeight="1">
      <c r="A1597" s="503"/>
      <c r="B1597" s="503"/>
      <c r="C1597" s="351"/>
      <c r="D1597" s="351" t="s">
        <v>25</v>
      </c>
      <c r="E1597" s="351">
        <v>16</v>
      </c>
      <c r="F1597" s="348"/>
      <c r="G1597" s="349"/>
      <c r="H1597" s="349"/>
      <c r="I1597" s="349"/>
      <c r="J1597" s="349"/>
      <c r="K1597" s="349"/>
      <c r="L1597" s="349"/>
      <c r="M1597" s="349"/>
      <c r="N1597" s="349"/>
      <c r="O1597" s="352"/>
      <c r="P1597" s="348">
        <f t="shared" si="300"/>
        <v>0</v>
      </c>
      <c r="Q1597" s="349">
        <f t="shared" si="301"/>
        <v>16</v>
      </c>
      <c r="R1597" s="350">
        <f t="shared" si="302"/>
        <v>1</v>
      </c>
      <c r="S1597" s="503"/>
    </row>
    <row r="1598" spans="1:19" ht="9.75" customHeight="1">
      <c r="A1598" s="503"/>
      <c r="B1598" s="503"/>
      <c r="C1598" s="351" t="s">
        <v>289</v>
      </c>
      <c r="D1598" s="351" t="s">
        <v>27</v>
      </c>
      <c r="E1598" s="351"/>
      <c r="F1598" s="348"/>
      <c r="G1598" s="349"/>
      <c r="H1598" s="349"/>
      <c r="I1598" s="349"/>
      <c r="J1598" s="349"/>
      <c r="K1598" s="349"/>
      <c r="L1598" s="349"/>
      <c r="M1598" s="349"/>
      <c r="N1598" s="349"/>
      <c r="O1598" s="352"/>
      <c r="P1598" s="348"/>
      <c r="Q1598" s="349"/>
      <c r="R1598" s="350"/>
      <c r="S1598" s="503"/>
    </row>
    <row r="1599" spans="1:19" ht="9.75" customHeight="1">
      <c r="A1599" s="503"/>
      <c r="B1599" s="503"/>
      <c r="C1599" s="351" t="s">
        <v>290</v>
      </c>
      <c r="D1599" s="351" t="s">
        <v>115</v>
      </c>
      <c r="E1599" s="351"/>
      <c r="F1599" s="348"/>
      <c r="G1599" s="349"/>
      <c r="H1599" s="349"/>
      <c r="I1599" s="349"/>
      <c r="J1599" s="349"/>
      <c r="K1599" s="349"/>
      <c r="L1599" s="349"/>
      <c r="M1599" s="349"/>
      <c r="N1599" s="349"/>
      <c r="O1599" s="352"/>
      <c r="P1599" s="348"/>
      <c r="Q1599" s="349"/>
      <c r="R1599" s="350"/>
      <c r="S1599" s="503"/>
    </row>
    <row r="1600" spans="1:19" ht="9.75" customHeight="1">
      <c r="A1600" s="503"/>
      <c r="B1600" s="503"/>
      <c r="C1600" s="351" t="s">
        <v>291</v>
      </c>
      <c r="D1600" s="351" t="s">
        <v>115</v>
      </c>
      <c r="E1600" s="351"/>
      <c r="F1600" s="348"/>
      <c r="G1600" s="349"/>
      <c r="H1600" s="349"/>
      <c r="I1600" s="349"/>
      <c r="J1600" s="349"/>
      <c r="K1600" s="349"/>
      <c r="L1600" s="349"/>
      <c r="M1600" s="349"/>
      <c r="N1600" s="349"/>
      <c r="O1600" s="352"/>
      <c r="P1600" s="348"/>
      <c r="Q1600" s="349"/>
      <c r="R1600" s="350"/>
      <c r="S1600" s="503"/>
    </row>
    <row r="1601" spans="1:19" ht="9.75" customHeight="1">
      <c r="A1601" s="503"/>
      <c r="B1601" s="503"/>
      <c r="C1601" s="351" t="s">
        <v>292</v>
      </c>
      <c r="D1601" s="351" t="s">
        <v>32</v>
      </c>
      <c r="E1601" s="351">
        <v>3</v>
      </c>
      <c r="F1601" s="348"/>
      <c r="G1601" s="349"/>
      <c r="H1601" s="349"/>
      <c r="I1601" s="349"/>
      <c r="J1601" s="349"/>
      <c r="K1601" s="349"/>
      <c r="L1601" s="349"/>
      <c r="M1601" s="349"/>
      <c r="N1601" s="349"/>
      <c r="O1601" s="352"/>
      <c r="P1601" s="348">
        <f t="shared" ref="P1601:P1602" si="303">MIN(F1601:O1601)</f>
        <v>0</v>
      </c>
      <c r="Q1601" s="349">
        <f t="shared" ref="Q1601:Q1602" si="304">E1601-P1601</f>
        <v>3</v>
      </c>
      <c r="R1601" s="350">
        <f t="shared" ref="R1601:R1602" si="305">Q1601/E1601</f>
        <v>1</v>
      </c>
      <c r="S1601" s="503"/>
    </row>
    <row r="1602" spans="1:19" ht="9.75" customHeight="1">
      <c r="A1602" s="503"/>
      <c r="B1602" s="503"/>
      <c r="C1602" s="351"/>
      <c r="D1602" s="351" t="s">
        <v>293</v>
      </c>
      <c r="E1602" s="351">
        <v>1</v>
      </c>
      <c r="F1602" s="348"/>
      <c r="G1602" s="349"/>
      <c r="H1602" s="349"/>
      <c r="I1602" s="349"/>
      <c r="J1602" s="349"/>
      <c r="K1602" s="349"/>
      <c r="L1602" s="349"/>
      <c r="M1602" s="349"/>
      <c r="N1602" s="349"/>
      <c r="O1602" s="352"/>
      <c r="P1602" s="348">
        <f t="shared" si="303"/>
        <v>0</v>
      </c>
      <c r="Q1602" s="349">
        <f t="shared" si="304"/>
        <v>1</v>
      </c>
      <c r="R1602" s="350">
        <f t="shared" si="305"/>
        <v>1</v>
      </c>
      <c r="S1602" s="503"/>
    </row>
    <row r="1603" spans="1:19" ht="9.75" customHeight="1">
      <c r="A1603" s="503"/>
      <c r="B1603" s="503"/>
      <c r="C1603" s="351"/>
      <c r="D1603" s="351" t="s">
        <v>120</v>
      </c>
      <c r="E1603" s="351"/>
      <c r="F1603" s="348"/>
      <c r="G1603" s="349"/>
      <c r="H1603" s="349"/>
      <c r="I1603" s="349"/>
      <c r="J1603" s="349"/>
      <c r="K1603" s="349"/>
      <c r="L1603" s="349"/>
      <c r="M1603" s="349"/>
      <c r="N1603" s="349"/>
      <c r="O1603" s="352"/>
      <c r="P1603" s="348"/>
      <c r="Q1603" s="349"/>
      <c r="R1603" s="350"/>
      <c r="S1603" s="503"/>
    </row>
    <row r="1604" spans="1:19" ht="9.75" customHeight="1">
      <c r="A1604" s="503"/>
      <c r="B1604" s="503"/>
      <c r="C1604" s="351"/>
      <c r="D1604" s="351" t="s">
        <v>120</v>
      </c>
      <c r="E1604" s="351"/>
      <c r="F1604" s="348"/>
      <c r="G1604" s="349"/>
      <c r="H1604" s="349"/>
      <c r="I1604" s="349"/>
      <c r="J1604" s="349"/>
      <c r="K1604" s="349"/>
      <c r="L1604" s="349"/>
      <c r="M1604" s="349"/>
      <c r="N1604" s="349"/>
      <c r="O1604" s="352"/>
      <c r="P1604" s="348"/>
      <c r="Q1604" s="349"/>
      <c r="R1604" s="350"/>
      <c r="S1604" s="503"/>
    </row>
    <row r="1605" spans="1:19" ht="9.75" customHeight="1">
      <c r="A1605" s="503"/>
      <c r="B1605" s="503"/>
      <c r="C1605" s="351"/>
      <c r="D1605" s="351" t="s">
        <v>120</v>
      </c>
      <c r="E1605" s="351"/>
      <c r="F1605" s="348"/>
      <c r="G1605" s="349"/>
      <c r="H1605" s="349"/>
      <c r="I1605" s="349"/>
      <c r="J1605" s="349"/>
      <c r="K1605" s="349"/>
      <c r="L1605" s="349"/>
      <c r="M1605" s="349"/>
      <c r="N1605" s="349"/>
      <c r="O1605" s="352"/>
      <c r="P1605" s="348"/>
      <c r="Q1605" s="349"/>
      <c r="R1605" s="350"/>
      <c r="S1605" s="503"/>
    </row>
    <row r="1606" spans="1:19" ht="9.75" customHeight="1">
      <c r="A1606" s="503"/>
      <c r="B1606" s="503"/>
      <c r="C1606" s="351"/>
      <c r="D1606" s="351" t="s">
        <v>120</v>
      </c>
      <c r="E1606" s="351"/>
      <c r="F1606" s="348"/>
      <c r="G1606" s="349"/>
      <c r="H1606" s="349"/>
      <c r="I1606" s="349"/>
      <c r="J1606" s="349"/>
      <c r="K1606" s="349"/>
      <c r="L1606" s="349"/>
      <c r="M1606" s="349"/>
      <c r="N1606" s="349"/>
      <c r="O1606" s="352"/>
      <c r="P1606" s="348"/>
      <c r="Q1606" s="349"/>
      <c r="R1606" s="350"/>
      <c r="S1606" s="503"/>
    </row>
    <row r="1607" spans="1:19" ht="9.75" customHeight="1">
      <c r="A1607" s="503"/>
      <c r="B1607" s="503"/>
      <c r="C1607" s="351"/>
      <c r="D1607" s="351" t="s">
        <v>120</v>
      </c>
      <c r="E1607" s="351"/>
      <c r="F1607" s="348"/>
      <c r="G1607" s="349"/>
      <c r="H1607" s="349"/>
      <c r="I1607" s="349"/>
      <c r="J1607" s="349"/>
      <c r="K1607" s="349"/>
      <c r="L1607" s="349"/>
      <c r="M1607" s="349"/>
      <c r="N1607" s="349"/>
      <c r="O1607" s="352"/>
      <c r="P1607" s="348"/>
      <c r="Q1607" s="349"/>
      <c r="R1607" s="350"/>
      <c r="S1607" s="503"/>
    </row>
    <row r="1608" spans="1:19" ht="9.75" customHeight="1">
      <c r="A1608" s="503"/>
      <c r="B1608" s="503"/>
      <c r="C1608" s="351"/>
      <c r="D1608" s="351" t="s">
        <v>34</v>
      </c>
      <c r="E1608" s="351">
        <v>4</v>
      </c>
      <c r="F1608" s="348"/>
      <c r="G1608" s="349"/>
      <c r="H1608" s="349"/>
      <c r="I1608" s="349"/>
      <c r="J1608" s="349"/>
      <c r="K1608" s="349"/>
      <c r="L1608" s="349"/>
      <c r="M1608" s="349"/>
      <c r="N1608" s="349"/>
      <c r="O1608" s="352"/>
      <c r="P1608" s="348">
        <f>MIN(F1608:O1608)</f>
        <v>0</v>
      </c>
      <c r="Q1608" s="349">
        <f>E1608-P1608</f>
        <v>4</v>
      </c>
      <c r="R1608" s="350">
        <f>Q1608/E1608</f>
        <v>1</v>
      </c>
      <c r="S1608" s="503"/>
    </row>
    <row r="1609" spans="1:19" ht="9.75" customHeight="1">
      <c r="A1609" s="503"/>
      <c r="B1609" s="503"/>
      <c r="C1609" s="351"/>
      <c r="D1609" s="351" t="s">
        <v>35</v>
      </c>
      <c r="E1609" s="351"/>
      <c r="F1609" s="348"/>
      <c r="G1609" s="349"/>
      <c r="H1609" s="349"/>
      <c r="I1609" s="349"/>
      <c r="J1609" s="349"/>
      <c r="K1609" s="349"/>
      <c r="L1609" s="349"/>
      <c r="M1609" s="349"/>
      <c r="N1609" s="349"/>
      <c r="O1609" s="352"/>
      <c r="P1609" s="348"/>
      <c r="Q1609" s="349"/>
      <c r="R1609" s="350"/>
      <c r="S1609" s="503"/>
    </row>
    <row r="1610" spans="1:19" ht="9.75" customHeight="1">
      <c r="A1610" s="503"/>
      <c r="B1610" s="503"/>
      <c r="C1610" s="351"/>
      <c r="D1610" s="351" t="s">
        <v>36</v>
      </c>
      <c r="E1610" s="351"/>
      <c r="F1610" s="348"/>
      <c r="G1610" s="349"/>
      <c r="H1610" s="349"/>
      <c r="I1610" s="349"/>
      <c r="J1610" s="349"/>
      <c r="K1610" s="349"/>
      <c r="L1610" s="349"/>
      <c r="M1610" s="349"/>
      <c r="N1610" s="349"/>
      <c r="O1610" s="352"/>
      <c r="P1610" s="348"/>
      <c r="Q1610" s="349"/>
      <c r="R1610" s="350"/>
      <c r="S1610" s="503"/>
    </row>
    <row r="1611" spans="1:19" ht="9.75" customHeight="1">
      <c r="A1611" s="503"/>
      <c r="B1611" s="503"/>
      <c r="C1611" s="351"/>
      <c r="D1611" s="351" t="s">
        <v>37</v>
      </c>
      <c r="E1611" s="351"/>
      <c r="F1611" s="348"/>
      <c r="G1611" s="349"/>
      <c r="H1611" s="349"/>
      <c r="I1611" s="349"/>
      <c r="J1611" s="349"/>
      <c r="K1611" s="349"/>
      <c r="L1611" s="349"/>
      <c r="M1611" s="349"/>
      <c r="N1611" s="349"/>
      <c r="O1611" s="352"/>
      <c r="P1611" s="348"/>
      <c r="Q1611" s="349"/>
      <c r="R1611" s="350"/>
      <c r="S1611" s="503"/>
    </row>
    <row r="1612" spans="1:19" ht="9.75" customHeight="1">
      <c r="A1612" s="503"/>
      <c r="B1612" s="503"/>
      <c r="C1612" s="353"/>
      <c r="D1612" s="354" t="s">
        <v>38</v>
      </c>
      <c r="E1612" s="354">
        <f>SUBTOTAL(9,E1596:E1611)</f>
        <v>81</v>
      </c>
      <c r="F1612" s="355"/>
      <c r="G1612" s="356"/>
      <c r="H1612" s="356"/>
      <c r="I1612" s="356"/>
      <c r="J1612" s="356"/>
      <c r="K1612" s="356"/>
      <c r="L1612" s="356"/>
      <c r="M1612" s="356"/>
      <c r="N1612" s="356"/>
      <c r="O1612" s="357"/>
      <c r="P1612" s="355"/>
      <c r="Q1612" s="356"/>
      <c r="R1612" s="358"/>
      <c r="S1612" s="503"/>
    </row>
    <row r="1613" spans="1:19" ht="9.75" customHeight="1">
      <c r="A1613" s="503"/>
      <c r="B1613" s="503"/>
      <c r="C1613" s="43" t="s">
        <v>294</v>
      </c>
      <c r="D1613" s="43" t="s">
        <v>23</v>
      </c>
      <c r="E1613" s="43"/>
      <c r="F1613" s="116"/>
      <c r="G1613" s="128"/>
      <c r="H1613" s="128"/>
      <c r="I1613" s="128"/>
      <c r="J1613" s="128"/>
      <c r="K1613" s="128"/>
      <c r="L1613" s="128"/>
      <c r="M1613" s="128"/>
      <c r="N1613" s="128"/>
      <c r="O1613" s="129"/>
      <c r="P1613" s="116"/>
      <c r="Q1613" s="128"/>
      <c r="R1613" s="141"/>
      <c r="S1613" s="503"/>
    </row>
    <row r="1614" spans="1:19" ht="9.75" customHeight="1">
      <c r="A1614" s="503"/>
      <c r="B1614" s="503"/>
      <c r="C1614" s="13"/>
      <c r="D1614" s="13" t="s">
        <v>25</v>
      </c>
      <c r="E1614" s="13"/>
      <c r="F1614" s="109"/>
      <c r="G1614" s="504"/>
      <c r="H1614" s="504"/>
      <c r="I1614" s="504"/>
      <c r="J1614" s="504"/>
      <c r="K1614" s="504"/>
      <c r="L1614" s="504"/>
      <c r="M1614" s="504"/>
      <c r="N1614" s="504"/>
      <c r="O1614" s="110"/>
      <c r="P1614" s="109"/>
      <c r="Q1614" s="504"/>
      <c r="R1614" s="107"/>
      <c r="S1614" s="503"/>
    </row>
    <row r="1615" spans="1:19" ht="9.75" customHeight="1">
      <c r="A1615" s="503"/>
      <c r="B1615" s="503"/>
      <c r="C1615" s="13"/>
      <c r="D1615" s="13" t="s">
        <v>27</v>
      </c>
      <c r="E1615" s="13"/>
      <c r="F1615" s="109"/>
      <c r="G1615" s="504"/>
      <c r="H1615" s="504"/>
      <c r="I1615" s="504"/>
      <c r="J1615" s="504"/>
      <c r="K1615" s="504"/>
      <c r="L1615" s="504"/>
      <c r="M1615" s="504"/>
      <c r="N1615" s="504"/>
      <c r="O1615" s="110"/>
      <c r="P1615" s="109"/>
      <c r="Q1615" s="504"/>
      <c r="R1615" s="107"/>
      <c r="S1615" s="503"/>
    </row>
    <row r="1616" spans="1:19" ht="9.75" customHeight="1">
      <c r="A1616" s="503"/>
      <c r="B1616" s="503"/>
      <c r="C1616" s="13"/>
      <c r="D1616" s="13" t="s">
        <v>115</v>
      </c>
      <c r="E1616" s="13"/>
      <c r="F1616" s="109"/>
      <c r="G1616" s="504"/>
      <c r="H1616" s="504"/>
      <c r="I1616" s="504"/>
      <c r="J1616" s="504"/>
      <c r="K1616" s="504"/>
      <c r="L1616" s="504"/>
      <c r="M1616" s="504"/>
      <c r="N1616" s="504"/>
      <c r="O1616" s="110"/>
      <c r="P1616" s="109"/>
      <c r="Q1616" s="504"/>
      <c r="R1616" s="107"/>
      <c r="S1616" s="503"/>
    </row>
    <row r="1617" spans="1:19" ht="9.75" customHeight="1">
      <c r="A1617" s="503"/>
      <c r="B1617" s="503"/>
      <c r="C1617" s="13"/>
      <c r="D1617" s="13" t="s">
        <v>115</v>
      </c>
      <c r="E1617" s="13"/>
      <c r="F1617" s="109"/>
      <c r="G1617" s="504"/>
      <c r="H1617" s="504"/>
      <c r="I1617" s="504"/>
      <c r="J1617" s="504"/>
      <c r="K1617" s="504"/>
      <c r="L1617" s="504"/>
      <c r="M1617" s="504"/>
      <c r="N1617" s="504"/>
      <c r="O1617" s="110"/>
      <c r="P1617" s="109"/>
      <c r="Q1617" s="504"/>
      <c r="R1617" s="107"/>
      <c r="S1617" s="503"/>
    </row>
    <row r="1618" spans="1:19" ht="9.75" customHeight="1">
      <c r="A1618" s="503"/>
      <c r="B1618" s="503"/>
      <c r="C1618" s="13"/>
      <c r="D1618" s="13" t="s">
        <v>32</v>
      </c>
      <c r="E1618" s="13"/>
      <c r="F1618" s="109"/>
      <c r="G1618" s="504"/>
      <c r="H1618" s="504"/>
      <c r="I1618" s="504"/>
      <c r="J1618" s="504"/>
      <c r="K1618" s="504"/>
      <c r="L1618" s="504"/>
      <c r="M1618" s="504"/>
      <c r="N1618" s="504"/>
      <c r="O1618" s="110"/>
      <c r="P1618" s="109"/>
      <c r="Q1618" s="504"/>
      <c r="R1618" s="107"/>
      <c r="S1618" s="503"/>
    </row>
    <row r="1619" spans="1:19" ht="9.75" customHeight="1">
      <c r="A1619" s="503"/>
      <c r="B1619" s="503"/>
      <c r="C1619" s="13"/>
      <c r="D1619" s="13" t="s">
        <v>120</v>
      </c>
      <c r="E1619" s="13"/>
      <c r="F1619" s="109"/>
      <c r="G1619" s="504"/>
      <c r="H1619" s="504"/>
      <c r="I1619" s="504"/>
      <c r="J1619" s="504"/>
      <c r="K1619" s="504"/>
      <c r="L1619" s="504"/>
      <c r="M1619" s="504"/>
      <c r="N1619" s="504"/>
      <c r="O1619" s="110"/>
      <c r="P1619" s="109"/>
      <c r="Q1619" s="504"/>
      <c r="R1619" s="107"/>
      <c r="S1619" s="503"/>
    </row>
    <row r="1620" spans="1:19" ht="9.75" customHeight="1">
      <c r="A1620" s="503"/>
      <c r="B1620" s="503"/>
      <c r="C1620" s="13"/>
      <c r="D1620" s="13" t="s">
        <v>120</v>
      </c>
      <c r="E1620" s="13"/>
      <c r="F1620" s="109"/>
      <c r="G1620" s="504"/>
      <c r="H1620" s="504"/>
      <c r="I1620" s="504"/>
      <c r="J1620" s="504"/>
      <c r="K1620" s="504"/>
      <c r="L1620" s="504"/>
      <c r="M1620" s="504"/>
      <c r="N1620" s="504"/>
      <c r="O1620" s="110"/>
      <c r="P1620" s="109"/>
      <c r="Q1620" s="504"/>
      <c r="R1620" s="107"/>
      <c r="S1620" s="503"/>
    </row>
    <row r="1621" spans="1:19" ht="9.75" customHeight="1">
      <c r="A1621" s="503"/>
      <c r="B1621" s="503"/>
      <c r="C1621" s="13"/>
      <c r="D1621" s="13" t="s">
        <v>120</v>
      </c>
      <c r="E1621" s="13"/>
      <c r="F1621" s="109"/>
      <c r="G1621" s="504"/>
      <c r="H1621" s="504"/>
      <c r="I1621" s="504"/>
      <c r="J1621" s="504"/>
      <c r="K1621" s="504"/>
      <c r="L1621" s="504"/>
      <c r="M1621" s="504"/>
      <c r="N1621" s="504"/>
      <c r="O1621" s="110"/>
      <c r="P1621" s="109"/>
      <c r="Q1621" s="504"/>
      <c r="R1621" s="107"/>
      <c r="S1621" s="503"/>
    </row>
    <row r="1622" spans="1:19" ht="9.75" customHeight="1">
      <c r="A1622" s="503"/>
      <c r="B1622" s="503"/>
      <c r="C1622" s="13"/>
      <c r="D1622" s="13" t="s">
        <v>120</v>
      </c>
      <c r="E1622" s="13"/>
      <c r="F1622" s="109"/>
      <c r="G1622" s="504"/>
      <c r="H1622" s="504"/>
      <c r="I1622" s="504"/>
      <c r="J1622" s="504"/>
      <c r="K1622" s="504"/>
      <c r="L1622" s="504"/>
      <c r="M1622" s="504"/>
      <c r="N1622" s="504"/>
      <c r="O1622" s="110"/>
      <c r="P1622" s="109"/>
      <c r="Q1622" s="504"/>
      <c r="R1622" s="107"/>
      <c r="S1622" s="503"/>
    </row>
    <row r="1623" spans="1:19" ht="9.75" customHeight="1">
      <c r="A1623" s="503"/>
      <c r="B1623" s="503"/>
      <c r="C1623" s="13"/>
      <c r="D1623" s="13" t="s">
        <v>120</v>
      </c>
      <c r="E1623" s="13"/>
      <c r="F1623" s="109"/>
      <c r="G1623" s="504"/>
      <c r="H1623" s="504"/>
      <c r="I1623" s="504"/>
      <c r="J1623" s="504"/>
      <c r="K1623" s="504"/>
      <c r="L1623" s="504"/>
      <c r="M1623" s="504"/>
      <c r="N1623" s="504"/>
      <c r="O1623" s="110"/>
      <c r="P1623" s="109"/>
      <c r="Q1623" s="504"/>
      <c r="R1623" s="107"/>
      <c r="S1623" s="503"/>
    </row>
    <row r="1624" spans="1:19" ht="9.75" customHeight="1">
      <c r="A1624" s="503"/>
      <c r="B1624" s="503"/>
      <c r="C1624" s="13"/>
      <c r="D1624" s="13" t="s">
        <v>120</v>
      </c>
      <c r="E1624" s="13"/>
      <c r="F1624" s="109"/>
      <c r="G1624" s="504"/>
      <c r="H1624" s="504"/>
      <c r="I1624" s="504"/>
      <c r="J1624" s="504"/>
      <c r="K1624" s="504"/>
      <c r="L1624" s="504"/>
      <c r="M1624" s="504"/>
      <c r="N1624" s="504"/>
      <c r="O1624" s="110"/>
      <c r="P1624" s="109"/>
      <c r="Q1624" s="504"/>
      <c r="R1624" s="107"/>
      <c r="S1624" s="503"/>
    </row>
    <row r="1625" spans="1:19" ht="9.75" customHeight="1">
      <c r="A1625" s="503"/>
      <c r="B1625" s="503"/>
      <c r="C1625" s="13"/>
      <c r="D1625" s="13" t="s">
        <v>34</v>
      </c>
      <c r="E1625" s="13">
        <v>6</v>
      </c>
      <c r="F1625" s="151">
        <v>6</v>
      </c>
      <c r="G1625" s="504">
        <v>5</v>
      </c>
      <c r="H1625" s="504">
        <v>6</v>
      </c>
      <c r="I1625" s="504">
        <v>6</v>
      </c>
      <c r="J1625" s="504">
        <v>6</v>
      </c>
      <c r="K1625" s="504">
        <v>6</v>
      </c>
      <c r="L1625" s="504">
        <v>6</v>
      </c>
      <c r="M1625" s="504">
        <v>6</v>
      </c>
      <c r="N1625" s="504">
        <v>4</v>
      </c>
      <c r="O1625" s="110">
        <v>4</v>
      </c>
      <c r="P1625" s="109">
        <f>MIN(F1625:O1625)</f>
        <v>4</v>
      </c>
      <c r="Q1625" s="504">
        <f>E1625-P1625</f>
        <v>2</v>
      </c>
      <c r="R1625" s="107">
        <f>Q1625/E1625</f>
        <v>0.33333333333333331</v>
      </c>
      <c r="S1625" s="503"/>
    </row>
    <row r="1626" spans="1:19" ht="9.75" customHeight="1">
      <c r="A1626" s="503"/>
      <c r="B1626" s="503"/>
      <c r="C1626" s="13"/>
      <c r="D1626" s="13" t="s">
        <v>35</v>
      </c>
      <c r="E1626" s="13"/>
      <c r="F1626" s="151"/>
      <c r="G1626" s="504"/>
      <c r="H1626" s="504"/>
      <c r="I1626" s="504"/>
      <c r="J1626" s="504"/>
      <c r="K1626" s="504"/>
      <c r="L1626" s="504"/>
      <c r="M1626" s="504"/>
      <c r="N1626" s="504"/>
      <c r="O1626" s="110"/>
      <c r="P1626" s="109"/>
      <c r="Q1626" s="504"/>
      <c r="R1626" s="107"/>
      <c r="S1626" s="503"/>
    </row>
    <row r="1627" spans="1:19" ht="9.75" customHeight="1">
      <c r="A1627" s="503"/>
      <c r="B1627" s="503"/>
      <c r="C1627" s="13"/>
      <c r="D1627" s="13" t="s">
        <v>36</v>
      </c>
      <c r="E1627" s="13">
        <v>1</v>
      </c>
      <c r="F1627" s="151">
        <v>1</v>
      </c>
      <c r="G1627" s="504">
        <v>1</v>
      </c>
      <c r="H1627" s="504">
        <v>1</v>
      </c>
      <c r="I1627" s="504">
        <v>1</v>
      </c>
      <c r="J1627" s="504">
        <v>1</v>
      </c>
      <c r="K1627" s="504">
        <v>1</v>
      </c>
      <c r="L1627" s="504">
        <v>1</v>
      </c>
      <c r="M1627" s="504">
        <v>1</v>
      </c>
      <c r="N1627" s="504">
        <v>1</v>
      </c>
      <c r="O1627" s="110">
        <v>1</v>
      </c>
      <c r="P1627" s="109">
        <f>MIN(F1627:O1627)</f>
        <v>1</v>
      </c>
      <c r="Q1627" s="504">
        <f>E1627-P1627</f>
        <v>0</v>
      </c>
      <c r="R1627" s="107">
        <f>Q1627/E1627</f>
        <v>0</v>
      </c>
      <c r="S1627" s="503"/>
    </row>
    <row r="1628" spans="1:19" ht="9.75" customHeight="1">
      <c r="A1628" s="503"/>
      <c r="B1628" s="503"/>
      <c r="C1628" s="13"/>
      <c r="D1628" s="13" t="s">
        <v>37</v>
      </c>
      <c r="E1628" s="13"/>
      <c r="F1628" s="109"/>
      <c r="G1628" s="504"/>
      <c r="H1628" s="504"/>
      <c r="I1628" s="504"/>
      <c r="J1628" s="504"/>
      <c r="K1628" s="504"/>
      <c r="L1628" s="504"/>
      <c r="M1628" s="504"/>
      <c r="N1628" s="504"/>
      <c r="O1628" s="110"/>
      <c r="P1628" s="109"/>
      <c r="Q1628" s="504"/>
      <c r="R1628" s="107"/>
      <c r="S1628" s="503"/>
    </row>
    <row r="1629" spans="1:19" ht="9.75" customHeight="1">
      <c r="A1629" s="503"/>
      <c r="B1629" s="503" t="s">
        <v>127</v>
      </c>
      <c r="C1629" s="2"/>
      <c r="D1629" s="3" t="s">
        <v>38</v>
      </c>
      <c r="E1629" s="3">
        <f t="shared" ref="E1629:O1629" si="306">SUM(E1613:E1628)</f>
        <v>7</v>
      </c>
      <c r="F1629" s="21">
        <f t="shared" si="306"/>
        <v>7</v>
      </c>
      <c r="G1629" s="71">
        <f t="shared" si="306"/>
        <v>6</v>
      </c>
      <c r="H1629" s="71">
        <f t="shared" si="306"/>
        <v>7</v>
      </c>
      <c r="I1629" s="71">
        <f t="shared" si="306"/>
        <v>7</v>
      </c>
      <c r="J1629" s="71">
        <f t="shared" si="306"/>
        <v>7</v>
      </c>
      <c r="K1629" s="71">
        <f t="shared" si="306"/>
        <v>7</v>
      </c>
      <c r="L1629" s="71">
        <f t="shared" si="306"/>
        <v>7</v>
      </c>
      <c r="M1629" s="71">
        <f t="shared" si="306"/>
        <v>7</v>
      </c>
      <c r="N1629" s="71">
        <f t="shared" si="306"/>
        <v>5</v>
      </c>
      <c r="O1629" s="26">
        <f t="shared" si="306"/>
        <v>5</v>
      </c>
      <c r="P1629" s="21">
        <f>MIN(F1629:O1629)</f>
        <v>5</v>
      </c>
      <c r="Q1629" s="71">
        <f>E1629-P1629</f>
        <v>2</v>
      </c>
      <c r="R1629" s="7">
        <f>Q1629/E1629</f>
        <v>0.2857142857142857</v>
      </c>
      <c r="S1629" s="503"/>
    </row>
    <row r="1630" spans="1:19" ht="9.75" customHeight="1">
      <c r="A1630" s="503"/>
      <c r="B1630" s="503"/>
      <c r="C1630" s="43" t="s">
        <v>295</v>
      </c>
      <c r="D1630" s="43" t="s">
        <v>23</v>
      </c>
      <c r="E1630" s="43"/>
      <c r="F1630" s="116"/>
      <c r="G1630" s="128"/>
      <c r="H1630" s="128"/>
      <c r="I1630" s="128"/>
      <c r="J1630" s="128"/>
      <c r="K1630" s="128"/>
      <c r="L1630" s="128"/>
      <c r="M1630" s="128"/>
      <c r="N1630" s="128"/>
      <c r="O1630" s="129"/>
      <c r="P1630" s="116"/>
      <c r="Q1630" s="128"/>
      <c r="R1630" s="141"/>
      <c r="S1630" s="503"/>
    </row>
    <row r="1631" spans="1:19" ht="9.75" customHeight="1">
      <c r="A1631" s="503"/>
      <c r="B1631" s="503"/>
      <c r="C1631" s="13"/>
      <c r="D1631" s="13" t="s">
        <v>25</v>
      </c>
      <c r="E1631" s="13"/>
      <c r="F1631" s="109"/>
      <c r="G1631" s="504"/>
      <c r="H1631" s="504"/>
      <c r="I1631" s="504"/>
      <c r="J1631" s="504"/>
      <c r="K1631" s="504"/>
      <c r="L1631" s="504"/>
      <c r="M1631" s="504"/>
      <c r="N1631" s="504"/>
      <c r="O1631" s="110"/>
      <c r="P1631" s="109"/>
      <c r="Q1631" s="504"/>
      <c r="R1631" s="107"/>
      <c r="S1631" s="503"/>
    </row>
    <row r="1632" spans="1:19" ht="9.75" customHeight="1">
      <c r="A1632" s="503"/>
      <c r="B1632" s="503"/>
      <c r="C1632" s="13"/>
      <c r="D1632" s="13" t="s">
        <v>27</v>
      </c>
      <c r="E1632" s="13"/>
      <c r="F1632" s="109"/>
      <c r="G1632" s="504"/>
      <c r="H1632" s="504"/>
      <c r="I1632" s="504"/>
      <c r="J1632" s="504"/>
      <c r="K1632" s="504"/>
      <c r="L1632" s="504"/>
      <c r="M1632" s="504"/>
      <c r="N1632" s="504"/>
      <c r="O1632" s="110"/>
      <c r="P1632" s="109"/>
      <c r="Q1632" s="504"/>
      <c r="R1632" s="107"/>
      <c r="S1632" s="503"/>
    </row>
    <row r="1633" spans="1:19" ht="9.75" customHeight="1">
      <c r="A1633" s="503"/>
      <c r="B1633" s="503"/>
      <c r="C1633" s="13"/>
      <c r="D1633" s="13" t="s">
        <v>198</v>
      </c>
      <c r="E1633" s="13">
        <v>87</v>
      </c>
      <c r="F1633" s="109">
        <v>5</v>
      </c>
      <c r="G1633" s="504">
        <v>4</v>
      </c>
      <c r="H1633" s="504">
        <v>3</v>
      </c>
      <c r="I1633" s="504">
        <v>3</v>
      </c>
      <c r="J1633" s="504">
        <v>3</v>
      </c>
      <c r="K1633" s="504">
        <v>5</v>
      </c>
      <c r="L1633" s="504">
        <v>6</v>
      </c>
      <c r="M1633" s="504">
        <v>20</v>
      </c>
      <c r="N1633" s="504">
        <v>25</v>
      </c>
      <c r="O1633" s="110">
        <v>29</v>
      </c>
      <c r="P1633" s="109">
        <f>MIN(F1633:O1633)</f>
        <v>3</v>
      </c>
      <c r="Q1633" s="504">
        <f>E1633-P1633</f>
        <v>84</v>
      </c>
      <c r="R1633" s="107">
        <f>Q1633/E1633</f>
        <v>0.96551724137931039</v>
      </c>
      <c r="S1633" s="503"/>
    </row>
    <row r="1634" spans="1:19" ht="9.75" customHeight="1">
      <c r="A1634" s="503"/>
      <c r="B1634" s="503"/>
      <c r="C1634" s="13"/>
      <c r="D1634" s="13" t="s">
        <v>115</v>
      </c>
      <c r="E1634" s="13"/>
      <c r="F1634" s="109"/>
      <c r="G1634" s="504"/>
      <c r="H1634" s="504"/>
      <c r="I1634" s="504"/>
      <c r="J1634" s="504"/>
      <c r="K1634" s="504"/>
      <c r="L1634" s="504"/>
      <c r="M1634" s="504"/>
      <c r="N1634" s="504"/>
      <c r="O1634" s="110"/>
      <c r="P1634" s="109"/>
      <c r="Q1634" s="504"/>
      <c r="R1634" s="107"/>
      <c r="S1634" s="503"/>
    </row>
    <row r="1635" spans="1:19" ht="9.75" customHeight="1">
      <c r="A1635" s="503"/>
      <c r="B1635" s="503"/>
      <c r="C1635" s="13"/>
      <c r="D1635" s="13" t="s">
        <v>32</v>
      </c>
      <c r="E1635" s="13">
        <v>4</v>
      </c>
      <c r="F1635" s="109">
        <v>4</v>
      </c>
      <c r="G1635" s="504">
        <v>4</v>
      </c>
      <c r="H1635" s="504">
        <v>4</v>
      </c>
      <c r="I1635" s="504">
        <v>4</v>
      </c>
      <c r="J1635" s="504">
        <v>4</v>
      </c>
      <c r="K1635" s="504">
        <v>4</v>
      </c>
      <c r="L1635" s="504">
        <v>4</v>
      </c>
      <c r="M1635" s="504">
        <v>4</v>
      </c>
      <c r="N1635" s="504">
        <v>4</v>
      </c>
      <c r="O1635" s="504">
        <v>4</v>
      </c>
      <c r="P1635" s="109">
        <f t="shared" ref="P1635:P1638" si="307">MIN(F1635:O1635)</f>
        <v>4</v>
      </c>
      <c r="Q1635" s="504">
        <f t="shared" ref="Q1635:Q1638" si="308">E1635-P1635</f>
        <v>0</v>
      </c>
      <c r="R1635" s="107">
        <f t="shared" ref="R1635:R1638" si="309">Q1635/E1635</f>
        <v>0</v>
      </c>
      <c r="S1635" s="503"/>
    </row>
    <row r="1636" spans="1:19" ht="9.75" customHeight="1">
      <c r="A1636" s="503"/>
      <c r="B1636" s="503"/>
      <c r="C1636" s="13"/>
      <c r="D1636" s="13" t="s">
        <v>296</v>
      </c>
      <c r="E1636" s="13">
        <v>10</v>
      </c>
      <c r="F1636" s="109">
        <v>10</v>
      </c>
      <c r="G1636" s="504">
        <v>7</v>
      </c>
      <c r="H1636" s="504">
        <v>7</v>
      </c>
      <c r="I1636" s="504">
        <v>7</v>
      </c>
      <c r="J1636" s="504">
        <v>7</v>
      </c>
      <c r="K1636" s="504">
        <v>7</v>
      </c>
      <c r="L1636" s="504">
        <v>9</v>
      </c>
      <c r="M1636" s="504">
        <v>10</v>
      </c>
      <c r="N1636" s="504">
        <v>10</v>
      </c>
      <c r="O1636" s="110">
        <v>10</v>
      </c>
      <c r="P1636" s="109">
        <f t="shared" si="307"/>
        <v>7</v>
      </c>
      <c r="Q1636" s="504">
        <f t="shared" si="308"/>
        <v>3</v>
      </c>
      <c r="R1636" s="107">
        <f t="shared" si="309"/>
        <v>0.3</v>
      </c>
      <c r="S1636" s="503"/>
    </row>
    <row r="1637" spans="1:19" ht="9.75" customHeight="1">
      <c r="A1637" s="503"/>
      <c r="B1637" s="503"/>
      <c r="C1637" s="13"/>
      <c r="D1637" s="13" t="s">
        <v>297</v>
      </c>
      <c r="E1637" s="13">
        <v>10</v>
      </c>
      <c r="F1637" s="109">
        <v>9</v>
      </c>
      <c r="G1637" s="504">
        <v>9</v>
      </c>
      <c r="H1637" s="504">
        <v>9</v>
      </c>
      <c r="I1637" s="504">
        <v>9</v>
      </c>
      <c r="J1637" s="504">
        <v>10</v>
      </c>
      <c r="K1637" s="504">
        <v>10</v>
      </c>
      <c r="L1637" s="504">
        <v>10</v>
      </c>
      <c r="M1637" s="504">
        <v>10</v>
      </c>
      <c r="N1637" s="504">
        <v>10</v>
      </c>
      <c r="O1637" s="110">
        <v>10</v>
      </c>
      <c r="P1637" s="109">
        <f t="shared" si="307"/>
        <v>9</v>
      </c>
      <c r="Q1637" s="504">
        <f t="shared" si="308"/>
        <v>1</v>
      </c>
      <c r="R1637" s="107">
        <f t="shared" si="309"/>
        <v>0.1</v>
      </c>
      <c r="S1637" s="503"/>
    </row>
    <row r="1638" spans="1:19" ht="9.75" customHeight="1">
      <c r="A1638" s="503"/>
      <c r="B1638" s="503"/>
      <c r="C1638" s="13"/>
      <c r="D1638" s="13" t="s">
        <v>293</v>
      </c>
      <c r="E1638" s="13">
        <v>5</v>
      </c>
      <c r="F1638" s="109">
        <v>4</v>
      </c>
      <c r="G1638" s="504">
        <v>4</v>
      </c>
      <c r="H1638" s="504">
        <v>0</v>
      </c>
      <c r="I1638" s="504">
        <v>0</v>
      </c>
      <c r="J1638" s="504">
        <v>0</v>
      </c>
      <c r="K1638" s="504">
        <v>0</v>
      </c>
      <c r="L1638" s="504">
        <v>4</v>
      </c>
      <c r="M1638" s="504">
        <v>4</v>
      </c>
      <c r="N1638" s="504">
        <v>4</v>
      </c>
      <c r="O1638" s="110">
        <v>4</v>
      </c>
      <c r="P1638" s="109">
        <f t="shared" si="307"/>
        <v>0</v>
      </c>
      <c r="Q1638" s="504">
        <f t="shared" si="308"/>
        <v>5</v>
      </c>
      <c r="R1638" s="107">
        <f t="shared" si="309"/>
        <v>1</v>
      </c>
      <c r="S1638" s="503"/>
    </row>
    <row r="1639" spans="1:19" ht="9.75" customHeight="1">
      <c r="A1639" s="503"/>
      <c r="B1639" s="503"/>
      <c r="C1639" s="13"/>
      <c r="D1639" s="13" t="s">
        <v>120</v>
      </c>
      <c r="E1639" s="13"/>
      <c r="F1639" s="109"/>
      <c r="G1639" s="504"/>
      <c r="H1639" s="504"/>
      <c r="I1639" s="504"/>
      <c r="J1639" s="504"/>
      <c r="K1639" s="504"/>
      <c r="L1639" s="504"/>
      <c r="M1639" s="504"/>
      <c r="N1639" s="504"/>
      <c r="O1639" s="110"/>
      <c r="P1639" s="109"/>
      <c r="Q1639" s="504"/>
      <c r="R1639" s="107"/>
      <c r="S1639" s="503"/>
    </row>
    <row r="1640" spans="1:19" ht="9.75" customHeight="1">
      <c r="A1640" s="503"/>
      <c r="B1640" s="503"/>
      <c r="C1640" s="13"/>
      <c r="D1640" s="13" t="s">
        <v>120</v>
      </c>
      <c r="E1640" s="13"/>
      <c r="F1640" s="109"/>
      <c r="G1640" s="504"/>
      <c r="H1640" s="504"/>
      <c r="I1640" s="504"/>
      <c r="J1640" s="504"/>
      <c r="K1640" s="504"/>
      <c r="L1640" s="504"/>
      <c r="M1640" s="504"/>
      <c r="N1640" s="504"/>
      <c r="O1640" s="110"/>
      <c r="P1640" s="109"/>
      <c r="Q1640" s="504"/>
      <c r="R1640" s="107"/>
      <c r="S1640" s="503"/>
    </row>
    <row r="1641" spans="1:19" ht="9.75" customHeight="1">
      <c r="A1641" s="503"/>
      <c r="B1641" s="503"/>
      <c r="C1641" s="13"/>
      <c r="D1641" s="13" t="s">
        <v>120</v>
      </c>
      <c r="E1641" s="13"/>
      <c r="F1641" s="109"/>
      <c r="G1641" s="504"/>
      <c r="H1641" s="504"/>
      <c r="I1641" s="504"/>
      <c r="J1641" s="504"/>
      <c r="K1641" s="504"/>
      <c r="L1641" s="504"/>
      <c r="M1641" s="504"/>
      <c r="N1641" s="504"/>
      <c r="O1641" s="110"/>
      <c r="P1641" s="109"/>
      <c r="Q1641" s="504"/>
      <c r="R1641" s="107"/>
      <c r="S1641" s="503"/>
    </row>
    <row r="1642" spans="1:19" ht="9.75" customHeight="1">
      <c r="A1642" s="503"/>
      <c r="B1642" s="503"/>
      <c r="C1642" s="13"/>
      <c r="D1642" s="13" t="s">
        <v>34</v>
      </c>
      <c r="E1642" s="13">
        <v>14</v>
      </c>
      <c r="F1642" s="109">
        <v>9</v>
      </c>
      <c r="G1642" s="504">
        <v>5</v>
      </c>
      <c r="H1642" s="504">
        <v>2</v>
      </c>
      <c r="I1642" s="504">
        <v>7</v>
      </c>
      <c r="J1642" s="504">
        <v>8</v>
      </c>
      <c r="K1642" s="504">
        <v>9</v>
      </c>
      <c r="L1642" s="504">
        <v>9</v>
      </c>
      <c r="M1642" s="504">
        <v>9</v>
      </c>
      <c r="N1642" s="504">
        <v>10</v>
      </c>
      <c r="O1642" s="110">
        <v>12</v>
      </c>
      <c r="P1642" s="109">
        <f>MIN(F1642:O1642)</f>
        <v>2</v>
      </c>
      <c r="Q1642" s="504">
        <f>E1642-P1642</f>
        <v>12</v>
      </c>
      <c r="R1642" s="107">
        <f>Q1642/E1642</f>
        <v>0.8571428571428571</v>
      </c>
      <c r="S1642" s="503"/>
    </row>
    <row r="1643" spans="1:19" ht="9.75" customHeight="1">
      <c r="A1643" s="503"/>
      <c r="B1643" s="503"/>
      <c r="C1643" s="13"/>
      <c r="D1643" s="13" t="s">
        <v>35</v>
      </c>
      <c r="E1643" s="13"/>
      <c r="F1643" s="109"/>
      <c r="G1643" s="504"/>
      <c r="H1643" s="504"/>
      <c r="I1643" s="504"/>
      <c r="J1643" s="504"/>
      <c r="K1643" s="504"/>
      <c r="L1643" s="504"/>
      <c r="M1643" s="504"/>
      <c r="N1643" s="504"/>
      <c r="O1643" s="110"/>
      <c r="P1643" s="109"/>
      <c r="Q1643" s="504"/>
      <c r="R1643" s="107"/>
      <c r="S1643" s="503"/>
    </row>
    <row r="1644" spans="1:19" ht="9.75" customHeight="1">
      <c r="A1644" s="503"/>
      <c r="B1644" s="503"/>
      <c r="C1644" s="13"/>
      <c r="D1644" s="13" t="s">
        <v>36</v>
      </c>
      <c r="E1644" s="13"/>
      <c r="F1644" s="109"/>
      <c r="G1644" s="504"/>
      <c r="H1644" s="504"/>
      <c r="I1644" s="504"/>
      <c r="J1644" s="504"/>
      <c r="K1644" s="504"/>
      <c r="L1644" s="504"/>
      <c r="M1644" s="504"/>
      <c r="N1644" s="504"/>
      <c r="O1644" s="110"/>
      <c r="P1644" s="109"/>
      <c r="Q1644" s="504"/>
      <c r="R1644" s="107"/>
      <c r="S1644" s="503"/>
    </row>
    <row r="1645" spans="1:19" ht="9.75" customHeight="1">
      <c r="A1645" s="503"/>
      <c r="B1645" s="503"/>
      <c r="C1645" s="13"/>
      <c r="D1645" s="13" t="s">
        <v>37</v>
      </c>
      <c r="E1645" s="13"/>
      <c r="F1645" s="109"/>
      <c r="G1645" s="504"/>
      <c r="H1645" s="504"/>
      <c r="I1645" s="504"/>
      <c r="J1645" s="504"/>
      <c r="K1645" s="504"/>
      <c r="L1645" s="504"/>
      <c r="M1645" s="504"/>
      <c r="N1645" s="504"/>
      <c r="O1645" s="110"/>
      <c r="P1645" s="109"/>
      <c r="Q1645" s="504"/>
      <c r="R1645" s="107"/>
      <c r="S1645" s="503"/>
    </row>
    <row r="1646" spans="1:19" ht="9.75" customHeight="1">
      <c r="A1646" s="503"/>
      <c r="B1646" s="503" t="s">
        <v>127</v>
      </c>
      <c r="C1646" s="2"/>
      <c r="D1646" s="3" t="s">
        <v>38</v>
      </c>
      <c r="E1646" s="3">
        <f t="shared" ref="E1646:O1646" si="310">SUM(E1630:E1645)</f>
        <v>130</v>
      </c>
      <c r="F1646" s="21">
        <f t="shared" si="310"/>
        <v>41</v>
      </c>
      <c r="G1646" s="71">
        <f t="shared" si="310"/>
        <v>33</v>
      </c>
      <c r="H1646" s="71">
        <f t="shared" si="310"/>
        <v>25</v>
      </c>
      <c r="I1646" s="71">
        <f t="shared" si="310"/>
        <v>30</v>
      </c>
      <c r="J1646" s="71">
        <f t="shared" si="310"/>
        <v>32</v>
      </c>
      <c r="K1646" s="71">
        <f t="shared" si="310"/>
        <v>35</v>
      </c>
      <c r="L1646" s="71">
        <f t="shared" si="310"/>
        <v>42</v>
      </c>
      <c r="M1646" s="71">
        <f t="shared" si="310"/>
        <v>57</v>
      </c>
      <c r="N1646" s="71">
        <f t="shared" si="310"/>
        <v>63</v>
      </c>
      <c r="O1646" s="26">
        <f t="shared" si="310"/>
        <v>69</v>
      </c>
      <c r="P1646" s="21">
        <f>MIN(F1646:O1646)</f>
        <v>25</v>
      </c>
      <c r="Q1646" s="71">
        <f>E1646-P1646</f>
        <v>105</v>
      </c>
      <c r="R1646" s="7">
        <f>Q1646/E1646</f>
        <v>0.80769230769230771</v>
      </c>
      <c r="S1646" s="503"/>
    </row>
    <row r="1647" spans="1:19" ht="9.75" customHeight="1">
      <c r="A1647" s="503"/>
      <c r="B1647" s="503"/>
      <c r="C1647" s="43" t="s">
        <v>298</v>
      </c>
      <c r="D1647" s="43" t="s">
        <v>23</v>
      </c>
      <c r="E1647" s="13"/>
      <c r="F1647" s="109"/>
      <c r="G1647" s="504"/>
      <c r="H1647" s="504"/>
      <c r="I1647" s="504"/>
      <c r="J1647" s="504"/>
      <c r="K1647" s="504"/>
      <c r="L1647" s="504"/>
      <c r="M1647" s="504"/>
      <c r="N1647" s="504"/>
      <c r="O1647" s="110"/>
      <c r="P1647" s="109"/>
      <c r="Q1647" s="504"/>
      <c r="R1647" s="107"/>
      <c r="S1647" s="503"/>
    </row>
    <row r="1648" spans="1:19" ht="9.75" customHeight="1">
      <c r="A1648" s="503"/>
      <c r="B1648" s="503"/>
      <c r="C1648" s="13"/>
      <c r="D1648" s="13" t="s">
        <v>25</v>
      </c>
      <c r="E1648" s="13"/>
      <c r="F1648" s="109"/>
      <c r="G1648" s="504"/>
      <c r="H1648" s="504"/>
      <c r="I1648" s="504"/>
      <c r="J1648" s="504"/>
      <c r="K1648" s="504"/>
      <c r="L1648" s="504"/>
      <c r="M1648" s="504"/>
      <c r="N1648" s="504"/>
      <c r="O1648" s="110"/>
      <c r="P1648" s="109"/>
      <c r="Q1648" s="504"/>
      <c r="R1648" s="107"/>
      <c r="S1648" s="503"/>
    </row>
    <row r="1649" spans="1:19" ht="9.75" customHeight="1">
      <c r="A1649" s="503"/>
      <c r="B1649" s="503"/>
      <c r="C1649" s="13"/>
      <c r="D1649" s="13" t="s">
        <v>27</v>
      </c>
      <c r="E1649" s="13"/>
      <c r="F1649" s="109"/>
      <c r="G1649" s="504"/>
      <c r="H1649" s="504"/>
      <c r="I1649" s="504"/>
      <c r="J1649" s="504"/>
      <c r="K1649" s="504"/>
      <c r="L1649" s="504"/>
      <c r="M1649" s="504"/>
      <c r="N1649" s="504"/>
      <c r="O1649" s="110"/>
      <c r="P1649" s="109"/>
      <c r="Q1649" s="504"/>
      <c r="R1649" s="107"/>
      <c r="S1649" s="503"/>
    </row>
    <row r="1650" spans="1:19" ht="9.75" customHeight="1">
      <c r="A1650" s="503"/>
      <c r="B1650" s="503"/>
      <c r="C1650" s="13"/>
      <c r="D1650" s="13" t="s">
        <v>198</v>
      </c>
      <c r="E1650" s="13">
        <v>67</v>
      </c>
      <c r="F1650" s="109">
        <v>30</v>
      </c>
      <c r="G1650" s="504">
        <v>12</v>
      </c>
      <c r="H1650" s="504">
        <v>1</v>
      </c>
      <c r="I1650" s="504">
        <v>0</v>
      </c>
      <c r="J1650" s="504">
        <v>0</v>
      </c>
      <c r="K1650" s="504">
        <v>0</v>
      </c>
      <c r="L1650" s="504">
        <v>0</v>
      </c>
      <c r="M1650" s="504">
        <v>0</v>
      </c>
      <c r="N1650" s="504">
        <v>21</v>
      </c>
      <c r="O1650" s="110">
        <v>25</v>
      </c>
      <c r="P1650" s="109">
        <f>MIN(F1650:O1650)</f>
        <v>0</v>
      </c>
      <c r="Q1650" s="504">
        <f>E1650-P1650</f>
        <v>67</v>
      </c>
      <c r="R1650" s="107">
        <f>Q1650/E1650</f>
        <v>1</v>
      </c>
      <c r="S1650" s="503"/>
    </row>
    <row r="1651" spans="1:19" ht="9.75" customHeight="1">
      <c r="A1651" s="503"/>
      <c r="B1651" s="503"/>
      <c r="C1651" s="13"/>
      <c r="D1651" s="13" t="s">
        <v>115</v>
      </c>
      <c r="E1651" s="13"/>
      <c r="F1651" s="109"/>
      <c r="G1651" s="504"/>
      <c r="H1651" s="504"/>
      <c r="I1651" s="504"/>
      <c r="J1651" s="504"/>
      <c r="K1651" s="504"/>
      <c r="L1651" s="504"/>
      <c r="M1651" s="504"/>
      <c r="N1651" s="504"/>
      <c r="O1651" s="110"/>
      <c r="P1651" s="109"/>
      <c r="Q1651" s="504"/>
      <c r="R1651" s="107"/>
      <c r="S1651" s="503"/>
    </row>
    <row r="1652" spans="1:19" ht="9.75" customHeight="1">
      <c r="A1652" s="503"/>
      <c r="B1652" s="503"/>
      <c r="C1652" s="13"/>
      <c r="D1652" s="13" t="s">
        <v>32</v>
      </c>
      <c r="E1652" s="13">
        <v>5</v>
      </c>
      <c r="F1652" s="109">
        <v>5</v>
      </c>
      <c r="G1652" s="504">
        <v>5</v>
      </c>
      <c r="H1652" s="504">
        <v>5</v>
      </c>
      <c r="I1652" s="504">
        <v>5</v>
      </c>
      <c r="J1652" s="504">
        <v>4</v>
      </c>
      <c r="K1652" s="504">
        <v>4</v>
      </c>
      <c r="L1652" s="504">
        <v>4</v>
      </c>
      <c r="M1652" s="504">
        <v>5</v>
      </c>
      <c r="N1652" s="504">
        <v>5</v>
      </c>
      <c r="O1652" s="110">
        <v>5</v>
      </c>
      <c r="P1652" s="109">
        <f t="shared" ref="P1652:P1657" si="311">MIN(F1652:O1652)</f>
        <v>4</v>
      </c>
      <c r="Q1652" s="504">
        <f t="shared" ref="Q1652:Q1657" si="312">E1652-P1652</f>
        <v>1</v>
      </c>
      <c r="R1652" s="107">
        <f t="shared" ref="R1652:R1657" si="313">Q1652/E1652</f>
        <v>0.2</v>
      </c>
      <c r="S1652" s="503"/>
    </row>
    <row r="1653" spans="1:19" ht="9.75" customHeight="1">
      <c r="A1653" s="503"/>
      <c r="B1653" s="503"/>
      <c r="C1653" s="13"/>
      <c r="D1653" s="13" t="s">
        <v>161</v>
      </c>
      <c r="E1653" s="13">
        <v>3</v>
      </c>
      <c r="F1653" s="109">
        <v>0</v>
      </c>
      <c r="G1653" s="504">
        <v>0</v>
      </c>
      <c r="H1653" s="504">
        <v>0</v>
      </c>
      <c r="I1653" s="504">
        <v>0</v>
      </c>
      <c r="J1653" s="504">
        <v>2</v>
      </c>
      <c r="K1653" s="504">
        <v>1</v>
      </c>
      <c r="L1653" s="504">
        <v>1</v>
      </c>
      <c r="M1653" s="504">
        <v>1</v>
      </c>
      <c r="N1653" s="504">
        <v>1</v>
      </c>
      <c r="O1653" s="110">
        <v>2</v>
      </c>
      <c r="P1653" s="109">
        <f t="shared" si="311"/>
        <v>0</v>
      </c>
      <c r="Q1653" s="504">
        <f t="shared" si="312"/>
        <v>3</v>
      </c>
      <c r="R1653" s="107">
        <f t="shared" si="313"/>
        <v>1</v>
      </c>
      <c r="S1653" s="503"/>
    </row>
    <row r="1654" spans="1:19" ht="9.75" customHeight="1">
      <c r="A1654" s="503"/>
      <c r="B1654" s="503"/>
      <c r="C1654" s="13"/>
      <c r="D1654" s="13" t="s">
        <v>118</v>
      </c>
      <c r="E1654" s="13">
        <v>7</v>
      </c>
      <c r="F1654" s="109">
        <v>5</v>
      </c>
      <c r="G1654" s="504">
        <v>4</v>
      </c>
      <c r="H1654" s="504">
        <v>2</v>
      </c>
      <c r="I1654" s="504">
        <v>2</v>
      </c>
      <c r="J1654" s="504">
        <v>2</v>
      </c>
      <c r="K1654" s="504">
        <v>2</v>
      </c>
      <c r="L1654" s="504">
        <v>2</v>
      </c>
      <c r="M1654" s="504">
        <v>1</v>
      </c>
      <c r="N1654" s="504">
        <v>1</v>
      </c>
      <c r="O1654" s="110">
        <v>4</v>
      </c>
      <c r="P1654" s="109">
        <f t="shared" si="311"/>
        <v>1</v>
      </c>
      <c r="Q1654" s="504">
        <f t="shared" si="312"/>
        <v>6</v>
      </c>
      <c r="R1654" s="107">
        <f t="shared" si="313"/>
        <v>0.8571428571428571</v>
      </c>
      <c r="S1654" s="503"/>
    </row>
    <row r="1655" spans="1:19" ht="9.75" customHeight="1">
      <c r="A1655" s="503"/>
      <c r="B1655" s="503"/>
      <c r="C1655" s="13"/>
      <c r="D1655" s="230" t="s">
        <v>299</v>
      </c>
      <c r="E1655" s="230">
        <v>6</v>
      </c>
      <c r="F1655" s="109"/>
      <c r="G1655" s="504"/>
      <c r="H1655" s="504"/>
      <c r="I1655" s="504"/>
      <c r="J1655" s="504"/>
      <c r="K1655" s="504"/>
      <c r="L1655" s="504"/>
      <c r="M1655" s="504"/>
      <c r="N1655" s="504"/>
      <c r="O1655" s="110"/>
      <c r="P1655" s="109">
        <f t="shared" si="311"/>
        <v>0</v>
      </c>
      <c r="Q1655" s="504">
        <f t="shared" si="312"/>
        <v>6</v>
      </c>
      <c r="R1655" s="107">
        <f t="shared" si="313"/>
        <v>1</v>
      </c>
      <c r="S1655" s="503"/>
    </row>
    <row r="1656" spans="1:19" ht="9.75" customHeight="1">
      <c r="A1656" s="503"/>
      <c r="B1656" s="503"/>
      <c r="C1656" s="13"/>
      <c r="D1656" s="13" t="s">
        <v>245</v>
      </c>
      <c r="E1656" s="13">
        <v>12</v>
      </c>
      <c r="F1656" s="109">
        <v>0</v>
      </c>
      <c r="G1656" s="504">
        <v>0</v>
      </c>
      <c r="H1656" s="504">
        <v>0</v>
      </c>
      <c r="I1656" s="504">
        <v>0</v>
      </c>
      <c r="J1656" s="504">
        <v>0</v>
      </c>
      <c r="K1656" s="504">
        <v>0</v>
      </c>
      <c r="L1656" s="504">
        <v>0</v>
      </c>
      <c r="M1656" s="504">
        <v>0</v>
      </c>
      <c r="N1656" s="504">
        <v>0</v>
      </c>
      <c r="O1656" s="504">
        <v>0</v>
      </c>
      <c r="P1656" s="109">
        <f t="shared" si="311"/>
        <v>0</v>
      </c>
      <c r="Q1656" s="504">
        <f t="shared" si="312"/>
        <v>12</v>
      </c>
      <c r="R1656" s="107">
        <f t="shared" si="313"/>
        <v>1</v>
      </c>
      <c r="S1656" s="503"/>
    </row>
    <row r="1657" spans="1:19" ht="9.75" customHeight="1">
      <c r="A1657" s="503"/>
      <c r="B1657" s="503"/>
      <c r="C1657" s="13"/>
      <c r="D1657" s="13" t="s">
        <v>300</v>
      </c>
      <c r="E1657" s="13">
        <v>6</v>
      </c>
      <c r="F1657" s="109">
        <v>5</v>
      </c>
      <c r="G1657" s="504">
        <v>5</v>
      </c>
      <c r="H1657" s="504">
        <v>5</v>
      </c>
      <c r="I1657" s="504">
        <v>5</v>
      </c>
      <c r="J1657" s="504">
        <v>5</v>
      </c>
      <c r="K1657" s="504">
        <v>4</v>
      </c>
      <c r="L1657" s="504">
        <v>4</v>
      </c>
      <c r="M1657" s="504">
        <v>4</v>
      </c>
      <c r="N1657" s="504">
        <v>4</v>
      </c>
      <c r="O1657" s="504">
        <v>5</v>
      </c>
      <c r="P1657" s="109">
        <f t="shared" si="311"/>
        <v>4</v>
      </c>
      <c r="Q1657" s="504">
        <f t="shared" si="312"/>
        <v>2</v>
      </c>
      <c r="R1657" s="107">
        <f t="shared" si="313"/>
        <v>0.33333333333333331</v>
      </c>
      <c r="S1657" s="503"/>
    </row>
    <row r="1658" spans="1:19" ht="9.75" customHeight="1">
      <c r="A1658" s="503"/>
      <c r="B1658" s="503"/>
      <c r="C1658" s="13"/>
      <c r="D1658" s="13" t="s">
        <v>191</v>
      </c>
      <c r="E1658" s="13"/>
      <c r="F1658" s="109"/>
      <c r="G1658" s="504"/>
      <c r="H1658" s="504"/>
      <c r="I1658" s="504"/>
      <c r="J1658" s="504"/>
      <c r="K1658" s="504"/>
      <c r="L1658" s="504"/>
      <c r="M1658" s="504"/>
      <c r="N1658" s="504"/>
      <c r="O1658" s="110"/>
      <c r="P1658" s="109"/>
      <c r="Q1658" s="504"/>
      <c r="R1658" s="107"/>
      <c r="S1658" s="503"/>
    </row>
    <row r="1659" spans="1:19" ht="9.75" customHeight="1">
      <c r="A1659" s="503"/>
      <c r="B1659" s="503"/>
      <c r="C1659" s="13"/>
      <c r="D1659" s="13" t="s">
        <v>191</v>
      </c>
      <c r="E1659" s="13"/>
      <c r="F1659" s="109"/>
      <c r="G1659" s="504"/>
      <c r="H1659" s="504"/>
      <c r="I1659" s="504"/>
      <c r="J1659" s="504"/>
      <c r="K1659" s="504"/>
      <c r="L1659" s="504"/>
      <c r="M1659" s="504"/>
      <c r="N1659" s="504"/>
      <c r="O1659" s="110"/>
      <c r="P1659" s="109"/>
      <c r="Q1659" s="504"/>
      <c r="R1659" s="107"/>
      <c r="S1659" s="503"/>
    </row>
    <row r="1660" spans="1:19" ht="9.75" customHeight="1">
      <c r="A1660" s="503"/>
      <c r="B1660" s="503"/>
      <c r="C1660" s="13"/>
      <c r="D1660" s="13" t="s">
        <v>191</v>
      </c>
      <c r="E1660" s="13"/>
      <c r="F1660" s="109"/>
      <c r="G1660" s="504"/>
      <c r="H1660" s="504"/>
      <c r="I1660" s="504"/>
      <c r="J1660" s="504"/>
      <c r="K1660" s="504"/>
      <c r="L1660" s="504"/>
      <c r="M1660" s="504"/>
      <c r="N1660" s="504"/>
      <c r="O1660" s="110"/>
      <c r="P1660" s="109"/>
      <c r="Q1660" s="504"/>
      <c r="R1660" s="107"/>
      <c r="S1660" s="503"/>
    </row>
    <row r="1661" spans="1:19" ht="9.75" customHeight="1">
      <c r="A1661" s="503"/>
      <c r="B1661" s="503"/>
      <c r="C1661" s="13"/>
      <c r="D1661" s="13" t="s">
        <v>34</v>
      </c>
      <c r="E1661" s="13">
        <v>13</v>
      </c>
      <c r="F1661" s="109">
        <v>9</v>
      </c>
      <c r="G1661" s="504">
        <v>9</v>
      </c>
      <c r="H1661" s="504">
        <v>9</v>
      </c>
      <c r="I1661" s="504">
        <v>9</v>
      </c>
      <c r="J1661" s="504">
        <v>8</v>
      </c>
      <c r="K1661" s="504">
        <v>8</v>
      </c>
      <c r="L1661" s="504">
        <v>8</v>
      </c>
      <c r="M1661" s="504">
        <v>7</v>
      </c>
      <c r="N1661" s="504">
        <v>7</v>
      </c>
      <c r="O1661" s="110">
        <v>7</v>
      </c>
      <c r="P1661" s="109">
        <f t="shared" ref="P1661:P1662" si="314">MIN(F1661:O1661)</f>
        <v>7</v>
      </c>
      <c r="Q1661" s="504">
        <f t="shared" ref="Q1661:Q1662" si="315">E1661-P1661</f>
        <v>6</v>
      </c>
      <c r="R1661" s="107">
        <f t="shared" ref="R1661:R1662" si="316">Q1661/E1661</f>
        <v>0.46153846153846156</v>
      </c>
      <c r="S1661" s="503"/>
    </row>
    <row r="1662" spans="1:19" ht="9.75" customHeight="1">
      <c r="A1662" s="503"/>
      <c r="B1662" s="503"/>
      <c r="C1662" s="13"/>
      <c r="D1662" s="13" t="s">
        <v>301</v>
      </c>
      <c r="E1662" s="13">
        <v>3</v>
      </c>
      <c r="F1662" s="109">
        <v>0</v>
      </c>
      <c r="G1662" s="504">
        <v>0</v>
      </c>
      <c r="H1662" s="504">
        <v>0</v>
      </c>
      <c r="I1662" s="504">
        <v>0</v>
      </c>
      <c r="J1662" s="504">
        <v>0</v>
      </c>
      <c r="K1662" s="504">
        <v>0</v>
      </c>
      <c r="L1662" s="504">
        <v>0</v>
      </c>
      <c r="M1662" s="504">
        <v>0</v>
      </c>
      <c r="N1662" s="504">
        <v>0</v>
      </c>
      <c r="O1662" s="110">
        <v>0</v>
      </c>
      <c r="P1662" s="109">
        <f t="shared" si="314"/>
        <v>0</v>
      </c>
      <c r="Q1662" s="504">
        <f t="shared" si="315"/>
        <v>3</v>
      </c>
      <c r="R1662" s="107">
        <f t="shared" si="316"/>
        <v>1</v>
      </c>
      <c r="S1662" s="503"/>
    </row>
    <row r="1663" spans="1:19" ht="9.75" customHeight="1">
      <c r="A1663" s="503"/>
      <c r="B1663" s="503"/>
      <c r="C1663" s="13"/>
      <c r="D1663" s="13" t="s">
        <v>36</v>
      </c>
      <c r="E1663" s="13"/>
      <c r="F1663" s="109"/>
      <c r="G1663" s="504"/>
      <c r="H1663" s="504"/>
      <c r="I1663" s="504"/>
      <c r="J1663" s="504"/>
      <c r="K1663" s="504"/>
      <c r="L1663" s="504"/>
      <c r="M1663" s="504"/>
      <c r="N1663" s="504"/>
      <c r="O1663" s="110"/>
      <c r="P1663" s="109"/>
      <c r="Q1663" s="504"/>
      <c r="R1663" s="107"/>
      <c r="S1663" s="503"/>
    </row>
    <row r="1664" spans="1:19" ht="9.75" customHeight="1">
      <c r="A1664" s="503"/>
      <c r="B1664" s="503"/>
      <c r="C1664" s="13"/>
      <c r="D1664" s="13" t="s">
        <v>37</v>
      </c>
      <c r="E1664" s="13"/>
      <c r="F1664" s="109"/>
      <c r="G1664" s="504"/>
      <c r="H1664" s="504"/>
      <c r="I1664" s="504"/>
      <c r="J1664" s="504"/>
      <c r="K1664" s="504"/>
      <c r="L1664" s="504"/>
      <c r="M1664" s="504"/>
      <c r="N1664" s="504"/>
      <c r="O1664" s="110"/>
      <c r="P1664" s="109"/>
      <c r="Q1664" s="504"/>
      <c r="R1664" s="107"/>
      <c r="S1664" s="503"/>
    </row>
    <row r="1665" spans="1:19" ht="9.75" customHeight="1">
      <c r="A1665" s="503"/>
      <c r="B1665" s="503" t="s">
        <v>127</v>
      </c>
      <c r="C1665" s="2"/>
      <c r="D1665" s="3" t="s">
        <v>38</v>
      </c>
      <c r="E1665" s="3">
        <f t="shared" ref="E1665:O1665" si="317">SUM(E1647:E1664)</f>
        <v>122</v>
      </c>
      <c r="F1665" s="21">
        <f t="shared" si="317"/>
        <v>54</v>
      </c>
      <c r="G1665" s="71">
        <f t="shared" si="317"/>
        <v>35</v>
      </c>
      <c r="H1665" s="71">
        <f t="shared" si="317"/>
        <v>22</v>
      </c>
      <c r="I1665" s="71">
        <f t="shared" si="317"/>
        <v>21</v>
      </c>
      <c r="J1665" s="71">
        <f t="shared" si="317"/>
        <v>21</v>
      </c>
      <c r="K1665" s="71">
        <f t="shared" si="317"/>
        <v>19</v>
      </c>
      <c r="L1665" s="71">
        <f t="shared" si="317"/>
        <v>19</v>
      </c>
      <c r="M1665" s="71">
        <f t="shared" si="317"/>
        <v>18</v>
      </c>
      <c r="N1665" s="71">
        <f t="shared" si="317"/>
        <v>39</v>
      </c>
      <c r="O1665" s="26">
        <f t="shared" si="317"/>
        <v>48</v>
      </c>
      <c r="P1665" s="21">
        <f t="shared" ref="P1665:P1666" si="318">MIN(F1665:O1665)</f>
        <v>18</v>
      </c>
      <c r="Q1665" s="71">
        <f t="shared" ref="Q1665:Q1666" si="319">E1665-P1665</f>
        <v>104</v>
      </c>
      <c r="R1665" s="7">
        <f t="shared" ref="R1665:R1666" si="320">Q1665/E1665</f>
        <v>0.85245901639344257</v>
      </c>
      <c r="S1665" s="503"/>
    </row>
    <row r="1666" spans="1:19" ht="9.75" customHeight="1">
      <c r="A1666" s="503"/>
      <c r="B1666" s="503"/>
      <c r="C1666" s="43" t="s">
        <v>302</v>
      </c>
      <c r="D1666" s="43" t="s">
        <v>23</v>
      </c>
      <c r="E1666" s="43">
        <v>87</v>
      </c>
      <c r="F1666" s="116">
        <v>50</v>
      </c>
      <c r="G1666" s="128">
        <v>39</v>
      </c>
      <c r="H1666" s="128">
        <v>27</v>
      </c>
      <c r="I1666" s="128">
        <v>20</v>
      </c>
      <c r="J1666" s="128">
        <v>11</v>
      </c>
      <c r="K1666" s="128">
        <v>12</v>
      </c>
      <c r="L1666" s="128">
        <v>15</v>
      </c>
      <c r="M1666" s="128">
        <v>17</v>
      </c>
      <c r="N1666" s="128">
        <v>19</v>
      </c>
      <c r="O1666" s="129">
        <v>19</v>
      </c>
      <c r="P1666" s="116">
        <f t="shared" si="318"/>
        <v>11</v>
      </c>
      <c r="Q1666" s="128">
        <f t="shared" si="319"/>
        <v>76</v>
      </c>
      <c r="R1666" s="141">
        <f t="shared" si="320"/>
        <v>0.87356321839080464</v>
      </c>
      <c r="S1666" s="503"/>
    </row>
    <row r="1667" spans="1:19" ht="9.75" customHeight="1">
      <c r="A1667" s="503"/>
      <c r="B1667" s="503"/>
      <c r="C1667" s="13"/>
      <c r="D1667" s="13" t="s">
        <v>25</v>
      </c>
      <c r="E1667" s="13"/>
      <c r="F1667" s="109"/>
      <c r="G1667" s="504"/>
      <c r="H1667" s="504"/>
      <c r="I1667" s="504"/>
      <c r="J1667" s="504"/>
      <c r="K1667" s="504"/>
      <c r="L1667" s="504"/>
      <c r="M1667" s="504"/>
      <c r="N1667" s="504"/>
      <c r="O1667" s="110"/>
      <c r="P1667" s="109"/>
      <c r="Q1667" s="504"/>
      <c r="R1667" s="107"/>
      <c r="S1667" s="503"/>
    </row>
    <row r="1668" spans="1:19" ht="9.75" customHeight="1">
      <c r="A1668" s="503"/>
      <c r="B1668" s="503"/>
      <c r="C1668" s="13"/>
      <c r="D1668" s="13" t="s">
        <v>27</v>
      </c>
      <c r="E1668" s="13"/>
      <c r="F1668" s="109"/>
      <c r="G1668" s="504"/>
      <c r="H1668" s="504"/>
      <c r="I1668" s="504"/>
      <c r="J1668" s="504"/>
      <c r="K1668" s="504"/>
      <c r="L1668" s="504"/>
      <c r="M1668" s="504"/>
      <c r="N1668" s="504"/>
      <c r="O1668" s="110"/>
      <c r="P1668" s="109"/>
      <c r="Q1668" s="504"/>
      <c r="R1668" s="107"/>
      <c r="S1668" s="503"/>
    </row>
    <row r="1669" spans="1:19" ht="9.75" customHeight="1">
      <c r="A1669" s="503"/>
      <c r="B1669" s="503"/>
      <c r="C1669" s="13"/>
      <c r="D1669" s="13" t="s">
        <v>198</v>
      </c>
      <c r="E1669" s="13">
        <f>52-8</f>
        <v>44</v>
      </c>
      <c r="F1669" s="109">
        <v>21</v>
      </c>
      <c r="G1669" s="504">
        <v>0</v>
      </c>
      <c r="H1669" s="504">
        <v>0</v>
      </c>
      <c r="I1669" s="504">
        <v>0</v>
      </c>
      <c r="J1669" s="504">
        <v>0</v>
      </c>
      <c r="K1669" s="504">
        <v>0</v>
      </c>
      <c r="L1669" s="504">
        <v>0</v>
      </c>
      <c r="M1669" s="504">
        <v>12</v>
      </c>
      <c r="N1669" s="504">
        <v>17</v>
      </c>
      <c r="O1669" s="110">
        <v>19</v>
      </c>
      <c r="P1669" s="109">
        <f>MIN(F1669:O1669)</f>
        <v>0</v>
      </c>
      <c r="Q1669" s="504">
        <f>E1669-P1669</f>
        <v>44</v>
      </c>
      <c r="R1669" s="107">
        <f>Q1669/E1669</f>
        <v>1</v>
      </c>
      <c r="S1669" s="503"/>
    </row>
    <row r="1670" spans="1:19" ht="9.75" customHeight="1">
      <c r="A1670" s="503"/>
      <c r="B1670" s="503"/>
      <c r="C1670" s="13"/>
      <c r="D1670" s="13" t="s">
        <v>115</v>
      </c>
      <c r="E1670" s="13"/>
      <c r="F1670" s="109"/>
      <c r="G1670" s="504"/>
      <c r="H1670" s="504"/>
      <c r="I1670" s="504"/>
      <c r="J1670" s="504"/>
      <c r="K1670" s="504"/>
      <c r="L1670" s="504"/>
      <c r="M1670" s="504"/>
      <c r="N1670" s="504"/>
      <c r="O1670" s="110"/>
      <c r="P1670" s="109"/>
      <c r="Q1670" s="504"/>
      <c r="R1670" s="107"/>
      <c r="S1670" s="503"/>
    </row>
    <row r="1671" spans="1:19" ht="9.75" customHeight="1">
      <c r="A1671" s="503"/>
      <c r="B1671" s="503"/>
      <c r="C1671" s="13"/>
      <c r="D1671" s="13" t="s">
        <v>32</v>
      </c>
      <c r="E1671" s="13"/>
      <c r="F1671" s="109"/>
      <c r="G1671" s="504"/>
      <c r="H1671" s="504"/>
      <c r="I1671" s="504"/>
      <c r="J1671" s="504"/>
      <c r="K1671" s="504"/>
      <c r="L1671" s="504"/>
      <c r="M1671" s="504"/>
      <c r="N1671" s="504"/>
      <c r="O1671" s="110"/>
      <c r="P1671" s="109"/>
      <c r="Q1671" s="504"/>
      <c r="R1671" s="107"/>
      <c r="S1671" s="503"/>
    </row>
    <row r="1672" spans="1:19" ht="9.75" customHeight="1">
      <c r="A1672" s="503"/>
      <c r="B1672" s="503"/>
      <c r="C1672" s="13"/>
      <c r="D1672" s="13" t="s">
        <v>118</v>
      </c>
      <c r="E1672" s="13">
        <v>20</v>
      </c>
      <c r="F1672" s="109">
        <v>18</v>
      </c>
      <c r="G1672" s="504">
        <v>19</v>
      </c>
      <c r="H1672" s="504">
        <v>19</v>
      </c>
      <c r="I1672" s="504">
        <v>18</v>
      </c>
      <c r="J1672" s="504">
        <v>18</v>
      </c>
      <c r="K1672" s="504">
        <v>18</v>
      </c>
      <c r="L1672" s="504">
        <v>19</v>
      </c>
      <c r="M1672" s="504">
        <v>17</v>
      </c>
      <c r="N1672" s="504">
        <v>16</v>
      </c>
      <c r="O1672" s="110">
        <v>18</v>
      </c>
      <c r="P1672" s="109">
        <f t="shared" ref="P1672:P1673" si="321">MIN(F1672:O1672)</f>
        <v>16</v>
      </c>
      <c r="Q1672" s="504">
        <f t="shared" ref="Q1672:Q1673" si="322">E1672-P1672</f>
        <v>4</v>
      </c>
      <c r="R1672" s="107">
        <f t="shared" ref="R1672:R1673" si="323">Q1672/E1672</f>
        <v>0.2</v>
      </c>
      <c r="S1672" s="503"/>
    </row>
    <row r="1673" spans="1:19" ht="9.75" customHeight="1">
      <c r="A1673" s="503"/>
      <c r="B1673" s="503"/>
      <c r="C1673" s="13"/>
      <c r="D1673" s="13" t="s">
        <v>303</v>
      </c>
      <c r="E1673" s="13">
        <v>4</v>
      </c>
      <c r="F1673" s="109">
        <v>3</v>
      </c>
      <c r="G1673" s="504">
        <v>3</v>
      </c>
      <c r="H1673" s="504">
        <v>3</v>
      </c>
      <c r="I1673" s="504">
        <v>3</v>
      </c>
      <c r="J1673" s="504">
        <v>3</v>
      </c>
      <c r="K1673" s="504">
        <v>3</v>
      </c>
      <c r="L1673" s="504">
        <v>3</v>
      </c>
      <c r="M1673" s="504">
        <v>3</v>
      </c>
      <c r="N1673" s="504">
        <v>3</v>
      </c>
      <c r="O1673" s="110">
        <v>3</v>
      </c>
      <c r="P1673" s="109">
        <f t="shared" si="321"/>
        <v>3</v>
      </c>
      <c r="Q1673" s="504">
        <f t="shared" si="322"/>
        <v>1</v>
      </c>
      <c r="R1673" s="107">
        <f t="shared" si="323"/>
        <v>0.25</v>
      </c>
      <c r="S1673" s="503"/>
    </row>
    <row r="1674" spans="1:19" ht="9.75" customHeight="1">
      <c r="A1674" s="503"/>
      <c r="B1674" s="503"/>
      <c r="C1674" s="13"/>
      <c r="D1674" s="13" t="s">
        <v>191</v>
      </c>
      <c r="E1674" s="13"/>
      <c r="F1674" s="109"/>
      <c r="G1674" s="504"/>
      <c r="H1674" s="504"/>
      <c r="I1674" s="504"/>
      <c r="J1674" s="504"/>
      <c r="K1674" s="504"/>
      <c r="L1674" s="504"/>
      <c r="M1674" s="504"/>
      <c r="N1674" s="504"/>
      <c r="O1674" s="110"/>
      <c r="P1674" s="109"/>
      <c r="Q1674" s="504"/>
      <c r="R1674" s="107"/>
      <c r="S1674" s="503"/>
    </row>
    <row r="1675" spans="1:19" ht="9.75" customHeight="1">
      <c r="A1675" s="503"/>
      <c r="B1675" s="503"/>
      <c r="C1675" s="13"/>
      <c r="D1675" s="13" t="s">
        <v>120</v>
      </c>
      <c r="E1675" s="13"/>
      <c r="F1675" s="109"/>
      <c r="G1675" s="504"/>
      <c r="H1675" s="504"/>
      <c r="I1675" s="504"/>
      <c r="J1675" s="504"/>
      <c r="K1675" s="504"/>
      <c r="L1675" s="504"/>
      <c r="M1675" s="504"/>
      <c r="N1675" s="504"/>
      <c r="O1675" s="110"/>
      <c r="P1675" s="109"/>
      <c r="Q1675" s="504"/>
      <c r="R1675" s="107"/>
      <c r="S1675" s="503"/>
    </row>
    <row r="1676" spans="1:19" ht="9.75" customHeight="1">
      <c r="A1676" s="503"/>
      <c r="B1676" s="503"/>
      <c r="C1676" s="13"/>
      <c r="D1676" s="13" t="s">
        <v>120</v>
      </c>
      <c r="E1676" s="13"/>
      <c r="F1676" s="109"/>
      <c r="G1676" s="504"/>
      <c r="H1676" s="504"/>
      <c r="I1676" s="504"/>
      <c r="J1676" s="504"/>
      <c r="K1676" s="504"/>
      <c r="L1676" s="504"/>
      <c r="M1676" s="504"/>
      <c r="N1676" s="504"/>
      <c r="O1676" s="110"/>
      <c r="P1676" s="109"/>
      <c r="Q1676" s="504"/>
      <c r="R1676" s="107"/>
      <c r="S1676" s="503"/>
    </row>
    <row r="1677" spans="1:19" ht="9.75" customHeight="1">
      <c r="A1677" s="503"/>
      <c r="B1677" s="503"/>
      <c r="C1677" s="13"/>
      <c r="D1677" s="13" t="s">
        <v>120</v>
      </c>
      <c r="E1677" s="13"/>
      <c r="F1677" s="109"/>
      <c r="G1677" s="504"/>
      <c r="H1677" s="504"/>
      <c r="I1677" s="504"/>
      <c r="J1677" s="504"/>
      <c r="K1677" s="504"/>
      <c r="L1677" s="504"/>
      <c r="M1677" s="504"/>
      <c r="N1677" s="504"/>
      <c r="O1677" s="110"/>
      <c r="P1677" s="109"/>
      <c r="Q1677" s="504"/>
      <c r="R1677" s="107"/>
      <c r="S1677" s="503"/>
    </row>
    <row r="1678" spans="1:19" ht="9.75" customHeight="1">
      <c r="A1678" s="503"/>
      <c r="B1678" s="503"/>
      <c r="C1678" s="13"/>
      <c r="D1678" s="13" t="s">
        <v>34</v>
      </c>
      <c r="E1678" s="13"/>
      <c r="F1678" s="109"/>
      <c r="G1678" s="504"/>
      <c r="H1678" s="504"/>
      <c r="I1678" s="504"/>
      <c r="J1678" s="504"/>
      <c r="K1678" s="504"/>
      <c r="L1678" s="504"/>
      <c r="M1678" s="504"/>
      <c r="N1678" s="504"/>
      <c r="O1678" s="110"/>
      <c r="P1678" s="109"/>
      <c r="Q1678" s="504"/>
      <c r="R1678" s="107"/>
      <c r="S1678" s="503"/>
    </row>
    <row r="1679" spans="1:19" ht="9.75" customHeight="1">
      <c r="A1679" s="503"/>
      <c r="B1679" s="503"/>
      <c r="C1679" s="13"/>
      <c r="D1679" s="13" t="s">
        <v>301</v>
      </c>
      <c r="E1679" s="13">
        <v>4</v>
      </c>
      <c r="F1679" s="109">
        <v>3</v>
      </c>
      <c r="G1679" s="504">
        <v>3</v>
      </c>
      <c r="H1679" s="504">
        <v>3</v>
      </c>
      <c r="I1679" s="504">
        <v>3</v>
      </c>
      <c r="J1679" s="504">
        <v>3</v>
      </c>
      <c r="K1679" s="504">
        <v>3</v>
      </c>
      <c r="L1679" s="504">
        <v>3</v>
      </c>
      <c r="M1679" s="504">
        <v>3</v>
      </c>
      <c r="N1679" s="504">
        <v>3</v>
      </c>
      <c r="O1679" s="110">
        <v>3</v>
      </c>
      <c r="P1679" s="109">
        <f>MIN(F1679:O1679)</f>
        <v>3</v>
      </c>
      <c r="Q1679" s="504">
        <f>E1679-P1679</f>
        <v>1</v>
      </c>
      <c r="R1679" s="107">
        <f>Q1679/E1679</f>
        <v>0.25</v>
      </c>
      <c r="S1679" s="503"/>
    </row>
    <row r="1680" spans="1:19" ht="9.75" customHeight="1">
      <c r="A1680" s="503"/>
      <c r="B1680" s="503"/>
      <c r="C1680" s="13"/>
      <c r="D1680" s="13" t="s">
        <v>36</v>
      </c>
      <c r="E1680" s="13"/>
      <c r="F1680" s="109"/>
      <c r="G1680" s="504"/>
      <c r="H1680" s="504"/>
      <c r="I1680" s="504"/>
      <c r="J1680" s="504"/>
      <c r="K1680" s="504"/>
      <c r="L1680" s="504"/>
      <c r="M1680" s="504"/>
      <c r="N1680" s="504"/>
      <c r="O1680" s="110"/>
      <c r="P1680" s="109"/>
      <c r="Q1680" s="504"/>
      <c r="R1680" s="107"/>
      <c r="S1680" s="503"/>
    </row>
    <row r="1681" spans="1:19" ht="9.75" customHeight="1">
      <c r="A1681" s="503"/>
      <c r="B1681" s="503"/>
      <c r="C1681" s="13"/>
      <c r="D1681" s="13" t="s">
        <v>37</v>
      </c>
      <c r="E1681" s="13"/>
      <c r="F1681" s="109"/>
      <c r="G1681" s="504"/>
      <c r="H1681" s="504"/>
      <c r="I1681" s="504"/>
      <c r="J1681" s="504"/>
      <c r="K1681" s="504"/>
      <c r="L1681" s="504"/>
      <c r="M1681" s="504"/>
      <c r="N1681" s="504"/>
      <c r="O1681" s="110"/>
      <c r="P1681" s="109"/>
      <c r="Q1681" s="504"/>
      <c r="R1681" s="107"/>
      <c r="S1681" s="503"/>
    </row>
    <row r="1682" spans="1:19" ht="9.75" customHeight="1">
      <c r="A1682" s="503"/>
      <c r="B1682" s="503" t="s">
        <v>127</v>
      </c>
      <c r="C1682" s="2"/>
      <c r="D1682" s="3" t="s">
        <v>38</v>
      </c>
      <c r="E1682" s="3">
        <f t="shared" ref="E1682:O1682" si="324">SUM(E1666:E1681)</f>
        <v>159</v>
      </c>
      <c r="F1682" s="21">
        <f>SUM(F1666:F1681)</f>
        <v>95</v>
      </c>
      <c r="G1682" s="71">
        <f>SUM(G1666:G1681)</f>
        <v>64</v>
      </c>
      <c r="H1682" s="71">
        <f>SUM(H1666:H1681)</f>
        <v>52</v>
      </c>
      <c r="I1682" s="71">
        <f>SUM(I1666:I1681)</f>
        <v>44</v>
      </c>
      <c r="J1682" s="71">
        <f>SUM(J1666:J1681)</f>
        <v>35</v>
      </c>
      <c r="K1682" s="71">
        <f t="shared" si="324"/>
        <v>36</v>
      </c>
      <c r="L1682" s="71">
        <f t="shared" si="324"/>
        <v>40</v>
      </c>
      <c r="M1682" s="71">
        <f t="shared" si="324"/>
        <v>52</v>
      </c>
      <c r="N1682" s="71">
        <f t="shared" si="324"/>
        <v>58</v>
      </c>
      <c r="O1682" s="26">
        <f t="shared" si="324"/>
        <v>62</v>
      </c>
      <c r="P1682" s="21">
        <f t="shared" ref="P1682:P1683" si="325">MIN(F1682:O1682)</f>
        <v>35</v>
      </c>
      <c r="Q1682" s="71">
        <f t="shared" ref="Q1682:Q1683" si="326">E1682-P1682</f>
        <v>124</v>
      </c>
      <c r="R1682" s="7">
        <f t="shared" ref="R1682:R1683" si="327">Q1682/E1682</f>
        <v>0.77987421383647804</v>
      </c>
      <c r="S1682" s="503"/>
    </row>
    <row r="1683" spans="1:19" ht="9.75" customHeight="1">
      <c r="A1683" s="503"/>
      <c r="B1683" s="503"/>
      <c r="C1683" s="43" t="s">
        <v>304</v>
      </c>
      <c r="D1683" s="43" t="s">
        <v>23</v>
      </c>
      <c r="E1683" s="13">
        <v>153</v>
      </c>
      <c r="F1683" s="109">
        <v>150</v>
      </c>
      <c r="G1683" s="504">
        <v>133</v>
      </c>
      <c r="H1683" s="504">
        <v>129</v>
      </c>
      <c r="I1683" s="91">
        <v>127</v>
      </c>
      <c r="J1683" s="504">
        <v>128</v>
      </c>
      <c r="K1683" s="504">
        <v>130</v>
      </c>
      <c r="L1683" s="504">
        <v>133</v>
      </c>
      <c r="M1683" s="504">
        <v>135</v>
      </c>
      <c r="N1683" s="504">
        <v>137</v>
      </c>
      <c r="O1683" s="110">
        <v>140</v>
      </c>
      <c r="P1683" s="109">
        <f t="shared" si="325"/>
        <v>127</v>
      </c>
      <c r="Q1683" s="504">
        <f t="shared" si="326"/>
        <v>26</v>
      </c>
      <c r="R1683" s="107">
        <f t="shared" si="327"/>
        <v>0.16993464052287582</v>
      </c>
      <c r="S1683" s="503"/>
    </row>
    <row r="1684" spans="1:19" ht="9.75" customHeight="1">
      <c r="A1684" s="503"/>
      <c r="B1684" s="503"/>
      <c r="C1684" s="13"/>
      <c r="D1684" s="13" t="s">
        <v>25</v>
      </c>
      <c r="E1684" s="13"/>
      <c r="F1684" s="109"/>
      <c r="G1684" s="504"/>
      <c r="H1684" s="504"/>
      <c r="I1684" s="504"/>
      <c r="J1684" s="504"/>
      <c r="K1684" s="504"/>
      <c r="L1684" s="504"/>
      <c r="M1684" s="504"/>
      <c r="N1684" s="504"/>
      <c r="O1684" s="110"/>
      <c r="P1684" s="109"/>
      <c r="Q1684" s="504"/>
      <c r="R1684" s="107"/>
      <c r="S1684" s="503"/>
    </row>
    <row r="1685" spans="1:19" ht="9.75" customHeight="1">
      <c r="A1685" s="503"/>
      <c r="B1685" s="503"/>
      <c r="C1685" s="13"/>
      <c r="D1685" s="13" t="s">
        <v>27</v>
      </c>
      <c r="E1685" s="13"/>
      <c r="F1685" s="109"/>
      <c r="G1685" s="504"/>
      <c r="H1685" s="504"/>
      <c r="I1685" s="504"/>
      <c r="J1685" s="504"/>
      <c r="K1685" s="504"/>
      <c r="L1685" s="504"/>
      <c r="M1685" s="504"/>
      <c r="N1685" s="504"/>
      <c r="O1685" s="110"/>
      <c r="P1685" s="109"/>
      <c r="Q1685" s="504"/>
      <c r="R1685" s="107"/>
      <c r="S1685" s="503"/>
    </row>
    <row r="1686" spans="1:19" ht="9.75" customHeight="1">
      <c r="A1686" s="503"/>
      <c r="B1686" s="503"/>
      <c r="C1686" s="13"/>
      <c r="D1686" s="13" t="s">
        <v>115</v>
      </c>
      <c r="E1686" s="13"/>
      <c r="F1686" s="109"/>
      <c r="G1686" s="504"/>
      <c r="H1686" s="504"/>
      <c r="I1686" s="504"/>
      <c r="J1686" s="504"/>
      <c r="K1686" s="504"/>
      <c r="L1686" s="504"/>
      <c r="M1686" s="504"/>
      <c r="N1686" s="504"/>
      <c r="O1686" s="110"/>
      <c r="P1686" s="109"/>
      <c r="Q1686" s="504"/>
      <c r="R1686" s="107"/>
      <c r="S1686" s="503"/>
    </row>
    <row r="1687" spans="1:19" ht="9.75" customHeight="1">
      <c r="A1687" s="503"/>
      <c r="B1687" s="503"/>
      <c r="C1687" s="13"/>
      <c r="D1687" s="13" t="s">
        <v>115</v>
      </c>
      <c r="E1687" s="13"/>
      <c r="F1687" s="109"/>
      <c r="G1687" s="504"/>
      <c r="H1687" s="504"/>
      <c r="I1687" s="504"/>
      <c r="J1687" s="504"/>
      <c r="K1687" s="504"/>
      <c r="L1687" s="504"/>
      <c r="M1687" s="504"/>
      <c r="N1687" s="504"/>
      <c r="O1687" s="110"/>
      <c r="P1687" s="109"/>
      <c r="Q1687" s="504"/>
      <c r="R1687" s="107"/>
      <c r="S1687" s="503"/>
    </row>
    <row r="1688" spans="1:19" ht="9.75" customHeight="1">
      <c r="A1688" s="503"/>
      <c r="B1688" s="503"/>
      <c r="C1688" s="13"/>
      <c r="D1688" s="13" t="s">
        <v>32</v>
      </c>
      <c r="E1688" s="13"/>
      <c r="F1688" s="109"/>
      <c r="G1688" s="504"/>
      <c r="H1688" s="504"/>
      <c r="I1688" s="504"/>
      <c r="J1688" s="504"/>
      <c r="K1688" s="504"/>
      <c r="L1688" s="504"/>
      <c r="M1688" s="504"/>
      <c r="N1688" s="504"/>
      <c r="O1688" s="110"/>
      <c r="P1688" s="109"/>
      <c r="Q1688" s="504"/>
      <c r="R1688" s="107"/>
      <c r="S1688" s="503"/>
    </row>
    <row r="1689" spans="1:19" ht="9.75" customHeight="1">
      <c r="A1689" s="503"/>
      <c r="B1689" s="503"/>
      <c r="C1689" s="13"/>
      <c r="D1689" s="13" t="s">
        <v>191</v>
      </c>
      <c r="E1689" s="13"/>
      <c r="F1689" s="109"/>
      <c r="G1689" s="504"/>
      <c r="H1689" s="504"/>
      <c r="I1689" s="504"/>
      <c r="J1689" s="504"/>
      <c r="K1689" s="504"/>
      <c r="L1689" s="504"/>
      <c r="M1689" s="504"/>
      <c r="N1689" s="504"/>
      <c r="O1689" s="110"/>
      <c r="P1689" s="109"/>
      <c r="Q1689" s="504"/>
      <c r="R1689" s="107"/>
      <c r="S1689" s="503"/>
    </row>
    <row r="1690" spans="1:19" ht="9.75" customHeight="1">
      <c r="A1690" s="503"/>
      <c r="B1690" s="503"/>
      <c r="C1690" s="13"/>
      <c r="D1690" s="13" t="s">
        <v>120</v>
      </c>
      <c r="E1690" s="13"/>
      <c r="F1690" s="109"/>
      <c r="G1690" s="504"/>
      <c r="H1690" s="504"/>
      <c r="I1690" s="504"/>
      <c r="J1690" s="504"/>
      <c r="K1690" s="504"/>
      <c r="L1690" s="504"/>
      <c r="M1690" s="504"/>
      <c r="N1690" s="504"/>
      <c r="O1690" s="110"/>
      <c r="P1690" s="109"/>
      <c r="Q1690" s="504"/>
      <c r="R1690" s="107"/>
      <c r="S1690" s="503"/>
    </row>
    <row r="1691" spans="1:19" ht="9.75" customHeight="1">
      <c r="A1691" s="503"/>
      <c r="B1691" s="503"/>
      <c r="C1691" s="13"/>
      <c r="D1691" s="13" t="s">
        <v>120</v>
      </c>
      <c r="E1691" s="13"/>
      <c r="F1691" s="109"/>
      <c r="G1691" s="504"/>
      <c r="H1691" s="504"/>
      <c r="I1691" s="504"/>
      <c r="J1691" s="504"/>
      <c r="K1691" s="504"/>
      <c r="L1691" s="504"/>
      <c r="M1691" s="504"/>
      <c r="N1691" s="504"/>
      <c r="O1691" s="110"/>
      <c r="P1691" s="109"/>
      <c r="Q1691" s="504"/>
      <c r="R1691" s="107"/>
      <c r="S1691" s="503"/>
    </row>
    <row r="1692" spans="1:19" ht="9.75" customHeight="1">
      <c r="A1692" s="503"/>
      <c r="B1692" s="503"/>
      <c r="C1692" s="13"/>
      <c r="D1692" s="13" t="s">
        <v>120</v>
      </c>
      <c r="E1692" s="13"/>
      <c r="F1692" s="109"/>
      <c r="G1692" s="504"/>
      <c r="H1692" s="504"/>
      <c r="I1692" s="504"/>
      <c r="J1692" s="504"/>
      <c r="K1692" s="504"/>
      <c r="L1692" s="504"/>
      <c r="M1692" s="504"/>
      <c r="N1692" s="504"/>
      <c r="O1692" s="110"/>
      <c r="P1692" s="109"/>
      <c r="Q1692" s="504"/>
      <c r="R1692" s="107"/>
      <c r="S1692" s="503"/>
    </row>
    <row r="1693" spans="1:19" ht="9.75" customHeight="1">
      <c r="A1693" s="503"/>
      <c r="B1693" s="503"/>
      <c r="C1693" s="13"/>
      <c r="D1693" s="13" t="s">
        <v>120</v>
      </c>
      <c r="E1693" s="13"/>
      <c r="F1693" s="109"/>
      <c r="G1693" s="504"/>
      <c r="H1693" s="504"/>
      <c r="I1693" s="504"/>
      <c r="J1693" s="504"/>
      <c r="K1693" s="504"/>
      <c r="L1693" s="504"/>
      <c r="M1693" s="504"/>
      <c r="N1693" s="504"/>
      <c r="O1693" s="110"/>
      <c r="P1693" s="109"/>
      <c r="Q1693" s="504"/>
      <c r="R1693" s="107"/>
      <c r="S1693" s="503"/>
    </row>
    <row r="1694" spans="1:19" ht="9.75" customHeight="1">
      <c r="A1694" s="503"/>
      <c r="B1694" s="503"/>
      <c r="C1694" s="13"/>
      <c r="D1694" s="13" t="s">
        <v>120</v>
      </c>
      <c r="E1694" s="13"/>
      <c r="F1694" s="109"/>
      <c r="G1694" s="504"/>
      <c r="H1694" s="504"/>
      <c r="I1694" s="504"/>
      <c r="J1694" s="504"/>
      <c r="K1694" s="504"/>
      <c r="L1694" s="504"/>
      <c r="M1694" s="504"/>
      <c r="N1694" s="504"/>
      <c r="O1694" s="110"/>
      <c r="P1694" s="109"/>
      <c r="Q1694" s="504"/>
      <c r="R1694" s="107"/>
      <c r="S1694" s="503"/>
    </row>
    <row r="1695" spans="1:19" ht="9.75" customHeight="1">
      <c r="A1695" s="503"/>
      <c r="B1695" s="503"/>
      <c r="C1695" s="13"/>
      <c r="D1695" s="13" t="s">
        <v>34</v>
      </c>
      <c r="E1695" s="13"/>
      <c r="F1695" s="109"/>
      <c r="G1695" s="504"/>
      <c r="H1695" s="504"/>
      <c r="I1695" s="504"/>
      <c r="J1695" s="504"/>
      <c r="K1695" s="504"/>
      <c r="L1695" s="504"/>
      <c r="M1695" s="504"/>
      <c r="N1695" s="504"/>
      <c r="O1695" s="110"/>
      <c r="P1695" s="109"/>
      <c r="Q1695" s="504"/>
      <c r="R1695" s="107"/>
      <c r="S1695" s="503"/>
    </row>
    <row r="1696" spans="1:19" ht="9.75" customHeight="1">
      <c r="A1696" s="503"/>
      <c r="B1696" s="503"/>
      <c r="C1696" s="13"/>
      <c r="D1696" s="13" t="s">
        <v>301</v>
      </c>
      <c r="E1696" s="13">
        <v>4</v>
      </c>
      <c r="F1696" s="109">
        <v>2</v>
      </c>
      <c r="G1696" s="504">
        <v>2</v>
      </c>
      <c r="H1696" s="504">
        <v>2</v>
      </c>
      <c r="I1696" s="504">
        <v>2</v>
      </c>
      <c r="J1696" s="504">
        <v>2</v>
      </c>
      <c r="K1696" s="504">
        <v>2</v>
      </c>
      <c r="L1696" s="504">
        <v>2</v>
      </c>
      <c r="M1696" s="504">
        <v>2</v>
      </c>
      <c r="N1696" s="504">
        <v>2</v>
      </c>
      <c r="O1696" s="110">
        <v>2</v>
      </c>
      <c r="P1696" s="109">
        <f>MIN(F1696:O1696)</f>
        <v>2</v>
      </c>
      <c r="Q1696" s="504">
        <f>E1696-P1696</f>
        <v>2</v>
      </c>
      <c r="R1696" s="107">
        <f>Q1696/E1696</f>
        <v>0.5</v>
      </c>
      <c r="S1696" s="503"/>
    </row>
    <row r="1697" spans="1:19" ht="9.75" customHeight="1">
      <c r="A1697" s="503"/>
      <c r="B1697" s="503"/>
      <c r="C1697" s="13"/>
      <c r="D1697" s="13" t="s">
        <v>36</v>
      </c>
      <c r="E1697" s="13"/>
      <c r="F1697" s="109"/>
      <c r="G1697" s="504"/>
      <c r="H1697" s="504"/>
      <c r="I1697" s="504"/>
      <c r="J1697" s="504"/>
      <c r="K1697" s="504"/>
      <c r="L1697" s="504"/>
      <c r="M1697" s="504"/>
      <c r="N1697" s="504"/>
      <c r="O1697" s="110"/>
      <c r="P1697" s="109"/>
      <c r="Q1697" s="504"/>
      <c r="R1697" s="107"/>
      <c r="S1697" s="503"/>
    </row>
    <row r="1698" spans="1:19" ht="9.75" customHeight="1">
      <c r="A1698" s="503"/>
      <c r="B1698" s="503"/>
      <c r="C1698" s="13"/>
      <c r="D1698" s="13" t="s">
        <v>37</v>
      </c>
      <c r="E1698" s="13"/>
      <c r="F1698" s="109"/>
      <c r="G1698" s="504"/>
      <c r="H1698" s="504"/>
      <c r="I1698" s="504"/>
      <c r="J1698" s="504"/>
      <c r="K1698" s="504"/>
      <c r="L1698" s="504"/>
      <c r="M1698" s="504"/>
      <c r="N1698" s="504"/>
      <c r="O1698" s="110"/>
      <c r="P1698" s="109"/>
      <c r="Q1698" s="504"/>
      <c r="R1698" s="107"/>
      <c r="S1698" s="503"/>
    </row>
    <row r="1699" spans="1:19" ht="9.75" customHeight="1">
      <c r="A1699" s="503"/>
      <c r="B1699" s="503" t="s">
        <v>127</v>
      </c>
      <c r="C1699" s="2"/>
      <c r="D1699" s="3" t="s">
        <v>38</v>
      </c>
      <c r="E1699" s="3">
        <f t="shared" ref="E1699:O1699" si="328">SUM(E1683:E1698)</f>
        <v>157</v>
      </c>
      <c r="F1699" s="21">
        <f>SUM(F1683:F1698)</f>
        <v>152</v>
      </c>
      <c r="G1699" s="71">
        <f>SUM(G1683:G1698)</f>
        <v>135</v>
      </c>
      <c r="H1699" s="71">
        <f>SUM(H1683:H1698)</f>
        <v>131</v>
      </c>
      <c r="I1699" s="70">
        <f>SUM(I1683:I1698)</f>
        <v>129</v>
      </c>
      <c r="J1699" s="71">
        <f>SUM(J1683:J1698)</f>
        <v>130</v>
      </c>
      <c r="K1699" s="71">
        <f t="shared" si="328"/>
        <v>132</v>
      </c>
      <c r="L1699" s="71">
        <f t="shared" si="328"/>
        <v>135</v>
      </c>
      <c r="M1699" s="71">
        <f t="shared" si="328"/>
        <v>137</v>
      </c>
      <c r="N1699" s="71">
        <f t="shared" si="328"/>
        <v>139</v>
      </c>
      <c r="O1699" s="26">
        <f t="shared" si="328"/>
        <v>142</v>
      </c>
      <c r="P1699" s="21">
        <f t="shared" ref="P1699:P1700" si="329">MIN(F1699:O1699)</f>
        <v>129</v>
      </c>
      <c r="Q1699" s="71">
        <f t="shared" ref="Q1699:Q1700" si="330">E1699-P1699</f>
        <v>28</v>
      </c>
      <c r="R1699" s="7">
        <f t="shared" ref="R1699:R1700" si="331">Q1699/E1699</f>
        <v>0.17834394904458598</v>
      </c>
      <c r="S1699" s="503"/>
    </row>
    <row r="1700" spans="1:19" ht="9.75" customHeight="1">
      <c r="A1700" s="503"/>
      <c r="B1700" s="503"/>
      <c r="C1700" s="43" t="s">
        <v>305</v>
      </c>
      <c r="D1700" s="43" t="s">
        <v>23</v>
      </c>
      <c r="E1700" s="13">
        <v>155</v>
      </c>
      <c r="F1700" s="109">
        <v>154</v>
      </c>
      <c r="G1700" s="504">
        <v>154</v>
      </c>
      <c r="H1700" s="504">
        <v>154</v>
      </c>
      <c r="I1700" s="504">
        <v>154</v>
      </c>
      <c r="J1700" s="504">
        <v>153</v>
      </c>
      <c r="K1700" s="504">
        <v>153</v>
      </c>
      <c r="L1700" s="504">
        <v>153</v>
      </c>
      <c r="M1700" s="504">
        <v>153</v>
      </c>
      <c r="N1700" s="504">
        <v>153</v>
      </c>
      <c r="O1700" s="110">
        <v>154</v>
      </c>
      <c r="P1700" s="109">
        <f t="shared" si="329"/>
        <v>153</v>
      </c>
      <c r="Q1700" s="504">
        <f t="shared" si="330"/>
        <v>2</v>
      </c>
      <c r="R1700" s="107">
        <f t="shared" si="331"/>
        <v>1.2903225806451613E-2</v>
      </c>
      <c r="S1700" s="503"/>
    </row>
    <row r="1701" spans="1:19" ht="9.75" customHeight="1">
      <c r="A1701" s="503"/>
      <c r="B1701" s="503"/>
      <c r="C1701" s="13"/>
      <c r="D1701" s="13" t="s">
        <v>25</v>
      </c>
      <c r="E1701" s="13"/>
      <c r="F1701" s="109"/>
      <c r="G1701" s="504"/>
      <c r="H1701" s="504"/>
      <c r="I1701" s="504"/>
      <c r="J1701" s="504"/>
      <c r="K1701" s="504"/>
      <c r="L1701" s="504"/>
      <c r="M1701" s="504"/>
      <c r="N1701" s="504"/>
      <c r="O1701" s="110"/>
      <c r="P1701" s="109"/>
      <c r="Q1701" s="504"/>
      <c r="R1701" s="107"/>
      <c r="S1701" s="503"/>
    </row>
    <row r="1702" spans="1:19" ht="9.75" customHeight="1">
      <c r="A1702" s="503"/>
      <c r="B1702" s="503"/>
      <c r="C1702" s="13"/>
      <c r="D1702" s="13" t="s">
        <v>27</v>
      </c>
      <c r="E1702" s="13"/>
      <c r="F1702" s="109"/>
      <c r="G1702" s="504"/>
      <c r="H1702" s="504"/>
      <c r="I1702" s="504"/>
      <c r="J1702" s="504"/>
      <c r="K1702" s="504"/>
      <c r="L1702" s="504"/>
      <c r="M1702" s="504"/>
      <c r="N1702" s="504"/>
      <c r="O1702" s="110"/>
      <c r="P1702" s="109"/>
      <c r="Q1702" s="504"/>
      <c r="R1702" s="107"/>
      <c r="S1702" s="503"/>
    </row>
    <row r="1703" spans="1:19" ht="9.75" customHeight="1">
      <c r="A1703" s="503"/>
      <c r="B1703" s="503"/>
      <c r="C1703" s="13"/>
      <c r="D1703" s="13" t="s">
        <v>115</v>
      </c>
      <c r="E1703" s="13"/>
      <c r="F1703" s="109"/>
      <c r="G1703" s="504"/>
      <c r="H1703" s="504"/>
      <c r="I1703" s="504"/>
      <c r="J1703" s="504"/>
      <c r="K1703" s="504"/>
      <c r="L1703" s="504"/>
      <c r="M1703" s="504"/>
      <c r="N1703" s="504"/>
      <c r="O1703" s="110"/>
      <c r="P1703" s="109"/>
      <c r="Q1703" s="504"/>
      <c r="R1703" s="107"/>
      <c r="S1703" s="503"/>
    </row>
    <row r="1704" spans="1:19" ht="9.75" customHeight="1">
      <c r="A1704" s="503"/>
      <c r="B1704" s="503"/>
      <c r="C1704" s="13"/>
      <c r="D1704" s="13" t="s">
        <v>115</v>
      </c>
      <c r="E1704" s="13"/>
      <c r="F1704" s="109"/>
      <c r="G1704" s="504"/>
      <c r="H1704" s="504"/>
      <c r="I1704" s="504"/>
      <c r="J1704" s="504"/>
      <c r="K1704" s="504"/>
      <c r="L1704" s="504"/>
      <c r="M1704" s="504"/>
      <c r="N1704" s="504"/>
      <c r="O1704" s="110"/>
      <c r="P1704" s="109"/>
      <c r="Q1704" s="504"/>
      <c r="R1704" s="107"/>
      <c r="S1704" s="503"/>
    </row>
    <row r="1705" spans="1:19" ht="9.75" customHeight="1">
      <c r="A1705" s="503"/>
      <c r="B1705" s="503"/>
      <c r="C1705" s="13"/>
      <c r="D1705" s="13" t="s">
        <v>32</v>
      </c>
      <c r="E1705" s="13"/>
      <c r="F1705" s="109"/>
      <c r="G1705" s="504"/>
      <c r="H1705" s="504"/>
      <c r="I1705" s="504"/>
      <c r="J1705" s="504"/>
      <c r="K1705" s="504"/>
      <c r="L1705" s="504"/>
      <c r="M1705" s="504"/>
      <c r="N1705" s="504"/>
      <c r="O1705" s="110"/>
      <c r="P1705" s="109"/>
      <c r="Q1705" s="504"/>
      <c r="R1705" s="107"/>
      <c r="S1705" s="503"/>
    </row>
    <row r="1706" spans="1:19" ht="9.75" customHeight="1">
      <c r="A1706" s="503"/>
      <c r="B1706" s="503"/>
      <c r="C1706" s="13"/>
      <c r="D1706" s="13" t="s">
        <v>191</v>
      </c>
      <c r="E1706" s="13"/>
      <c r="F1706" s="109"/>
      <c r="G1706" s="504"/>
      <c r="H1706" s="504"/>
      <c r="I1706" s="504"/>
      <c r="J1706" s="504"/>
      <c r="K1706" s="504"/>
      <c r="L1706" s="504"/>
      <c r="M1706" s="504"/>
      <c r="N1706" s="504"/>
      <c r="O1706" s="110"/>
      <c r="P1706" s="109"/>
      <c r="Q1706" s="504"/>
      <c r="R1706" s="107"/>
      <c r="S1706" s="503"/>
    </row>
    <row r="1707" spans="1:19" ht="9.75" customHeight="1">
      <c r="A1707" s="503"/>
      <c r="B1707" s="503"/>
      <c r="C1707" s="13"/>
      <c r="D1707" s="13" t="s">
        <v>120</v>
      </c>
      <c r="E1707" s="13"/>
      <c r="F1707" s="109"/>
      <c r="G1707" s="504"/>
      <c r="H1707" s="504"/>
      <c r="I1707" s="504"/>
      <c r="J1707" s="504"/>
      <c r="K1707" s="504"/>
      <c r="L1707" s="504"/>
      <c r="M1707" s="504"/>
      <c r="N1707" s="504"/>
      <c r="O1707" s="110"/>
      <c r="P1707" s="109"/>
      <c r="Q1707" s="504"/>
      <c r="R1707" s="107"/>
      <c r="S1707" s="503"/>
    </row>
    <row r="1708" spans="1:19" ht="9.75" customHeight="1">
      <c r="A1708" s="503"/>
      <c r="B1708" s="503"/>
      <c r="C1708" s="13"/>
      <c r="D1708" s="13" t="s">
        <v>120</v>
      </c>
      <c r="E1708" s="13"/>
      <c r="F1708" s="109"/>
      <c r="G1708" s="504"/>
      <c r="H1708" s="504"/>
      <c r="I1708" s="504"/>
      <c r="J1708" s="504"/>
      <c r="K1708" s="504"/>
      <c r="L1708" s="504"/>
      <c r="M1708" s="504"/>
      <c r="N1708" s="504"/>
      <c r="O1708" s="110"/>
      <c r="P1708" s="109"/>
      <c r="Q1708" s="504"/>
      <c r="R1708" s="107"/>
      <c r="S1708" s="503"/>
    </row>
    <row r="1709" spans="1:19" ht="9.75" customHeight="1">
      <c r="A1709" s="503"/>
      <c r="B1709" s="503"/>
      <c r="C1709" s="13"/>
      <c r="D1709" s="13" t="s">
        <v>120</v>
      </c>
      <c r="E1709" s="13"/>
      <c r="F1709" s="109"/>
      <c r="G1709" s="504"/>
      <c r="H1709" s="504"/>
      <c r="I1709" s="504"/>
      <c r="J1709" s="504"/>
      <c r="K1709" s="504"/>
      <c r="L1709" s="504"/>
      <c r="M1709" s="504"/>
      <c r="N1709" s="504"/>
      <c r="O1709" s="110"/>
      <c r="P1709" s="109"/>
      <c r="Q1709" s="504"/>
      <c r="R1709" s="107"/>
      <c r="S1709" s="503"/>
    </row>
    <row r="1710" spans="1:19" ht="9.75" customHeight="1">
      <c r="A1710" s="503"/>
      <c r="B1710" s="503"/>
      <c r="C1710" s="13"/>
      <c r="D1710" s="13" t="s">
        <v>120</v>
      </c>
      <c r="E1710" s="13"/>
      <c r="F1710" s="109"/>
      <c r="G1710" s="504"/>
      <c r="H1710" s="504"/>
      <c r="I1710" s="504"/>
      <c r="J1710" s="504"/>
      <c r="K1710" s="504"/>
      <c r="L1710" s="504"/>
      <c r="M1710" s="504"/>
      <c r="N1710" s="504"/>
      <c r="O1710" s="110"/>
      <c r="P1710" s="109"/>
      <c r="Q1710" s="504"/>
      <c r="R1710" s="107"/>
      <c r="S1710" s="503"/>
    </row>
    <row r="1711" spans="1:19" ht="9.75" customHeight="1">
      <c r="A1711" s="503"/>
      <c r="B1711" s="503"/>
      <c r="C1711" s="13"/>
      <c r="D1711" s="13" t="s">
        <v>120</v>
      </c>
      <c r="E1711" s="13"/>
      <c r="F1711" s="109"/>
      <c r="G1711" s="504"/>
      <c r="H1711" s="504"/>
      <c r="I1711" s="504"/>
      <c r="J1711" s="504"/>
      <c r="K1711" s="504"/>
      <c r="L1711" s="504"/>
      <c r="M1711" s="504"/>
      <c r="N1711" s="504"/>
      <c r="O1711" s="110"/>
      <c r="P1711" s="109"/>
      <c r="Q1711" s="504"/>
      <c r="R1711" s="107"/>
      <c r="S1711" s="503"/>
    </row>
    <row r="1712" spans="1:19" ht="9.75" customHeight="1">
      <c r="A1712" s="503"/>
      <c r="B1712" s="503"/>
      <c r="C1712" s="13"/>
      <c r="D1712" s="13" t="s">
        <v>34</v>
      </c>
      <c r="E1712" s="13"/>
      <c r="F1712" s="109"/>
      <c r="G1712" s="504"/>
      <c r="H1712" s="504"/>
      <c r="I1712" s="504"/>
      <c r="J1712" s="504"/>
      <c r="K1712" s="504"/>
      <c r="L1712" s="504"/>
      <c r="M1712" s="504"/>
      <c r="N1712" s="504"/>
      <c r="O1712" s="110"/>
      <c r="P1712" s="109"/>
      <c r="Q1712" s="504"/>
      <c r="R1712" s="107"/>
      <c r="S1712" s="503"/>
    </row>
    <row r="1713" spans="1:19" ht="9.75" customHeight="1">
      <c r="A1713" s="503"/>
      <c r="B1713" s="503"/>
      <c r="C1713" s="13"/>
      <c r="D1713" s="13" t="s">
        <v>301</v>
      </c>
      <c r="E1713" s="13">
        <v>3</v>
      </c>
      <c r="F1713" s="109">
        <v>2</v>
      </c>
      <c r="G1713" s="504">
        <v>2</v>
      </c>
      <c r="H1713" s="504">
        <v>2</v>
      </c>
      <c r="I1713" s="504">
        <v>2</v>
      </c>
      <c r="J1713" s="504">
        <v>2</v>
      </c>
      <c r="K1713" s="504">
        <v>2</v>
      </c>
      <c r="L1713" s="504">
        <v>2</v>
      </c>
      <c r="M1713" s="504">
        <v>2</v>
      </c>
      <c r="N1713" s="504">
        <v>2</v>
      </c>
      <c r="O1713" s="504">
        <v>2</v>
      </c>
      <c r="P1713" s="109">
        <f>MIN(F1713:O1713)</f>
        <v>2</v>
      </c>
      <c r="Q1713" s="504">
        <f>E1713-P1713</f>
        <v>1</v>
      </c>
      <c r="R1713" s="107">
        <f>Q1713/E1713</f>
        <v>0.33333333333333331</v>
      </c>
      <c r="S1713" s="503"/>
    </row>
    <row r="1714" spans="1:19" ht="9.75" customHeight="1">
      <c r="A1714" s="503"/>
      <c r="B1714" s="503"/>
      <c r="C1714" s="13"/>
      <c r="D1714" s="13" t="s">
        <v>36</v>
      </c>
      <c r="E1714" s="13"/>
      <c r="F1714" s="109"/>
      <c r="G1714" s="504"/>
      <c r="H1714" s="504"/>
      <c r="I1714" s="504"/>
      <c r="J1714" s="504"/>
      <c r="K1714" s="504"/>
      <c r="L1714" s="504"/>
      <c r="M1714" s="504"/>
      <c r="N1714" s="504"/>
      <c r="O1714" s="110"/>
      <c r="P1714" s="109"/>
      <c r="Q1714" s="504"/>
      <c r="R1714" s="107"/>
      <c r="S1714" s="503"/>
    </row>
    <row r="1715" spans="1:19" ht="9.75" customHeight="1">
      <c r="A1715" s="503"/>
      <c r="B1715" s="503"/>
      <c r="C1715" s="13"/>
      <c r="D1715" s="13" t="s">
        <v>37</v>
      </c>
      <c r="E1715" s="13"/>
      <c r="F1715" s="109"/>
      <c r="G1715" s="504"/>
      <c r="H1715" s="504"/>
      <c r="I1715" s="504"/>
      <c r="J1715" s="504"/>
      <c r="K1715" s="504"/>
      <c r="L1715" s="504"/>
      <c r="M1715" s="504"/>
      <c r="N1715" s="504"/>
      <c r="O1715" s="110"/>
      <c r="P1715" s="109"/>
      <c r="Q1715" s="504"/>
      <c r="R1715" s="107"/>
      <c r="S1715" s="503"/>
    </row>
    <row r="1716" spans="1:19" ht="9.75" customHeight="1">
      <c r="A1716" s="503"/>
      <c r="B1716" s="503" t="s">
        <v>127</v>
      </c>
      <c r="C1716" s="2"/>
      <c r="D1716" s="3" t="s">
        <v>38</v>
      </c>
      <c r="E1716" s="3">
        <f t="shared" ref="E1716:O1716" si="332">SUM(E1700:E1715)</f>
        <v>158</v>
      </c>
      <c r="F1716" s="21">
        <f t="shared" si="332"/>
        <v>156</v>
      </c>
      <c r="G1716" s="71">
        <f t="shared" si="332"/>
        <v>156</v>
      </c>
      <c r="H1716" s="71">
        <f t="shared" si="332"/>
        <v>156</v>
      </c>
      <c r="I1716" s="71">
        <f t="shared" si="332"/>
        <v>156</v>
      </c>
      <c r="J1716" s="71">
        <f t="shared" si="332"/>
        <v>155</v>
      </c>
      <c r="K1716" s="71">
        <f t="shared" si="332"/>
        <v>155</v>
      </c>
      <c r="L1716" s="71">
        <f t="shared" si="332"/>
        <v>155</v>
      </c>
      <c r="M1716" s="71">
        <f t="shared" si="332"/>
        <v>155</v>
      </c>
      <c r="N1716" s="71">
        <f t="shared" si="332"/>
        <v>155</v>
      </c>
      <c r="O1716" s="26">
        <f t="shared" si="332"/>
        <v>156</v>
      </c>
      <c r="P1716" s="21">
        <f>MIN(F1716:O1716)</f>
        <v>155</v>
      </c>
      <c r="Q1716" s="71">
        <f>E1716-P1716</f>
        <v>3</v>
      </c>
      <c r="R1716" s="7">
        <f>Q1716/E1716</f>
        <v>1.8987341772151899E-2</v>
      </c>
      <c r="S1716" s="503"/>
    </row>
    <row r="1717" spans="1:19" ht="9.75" customHeight="1">
      <c r="A1717" s="503"/>
      <c r="B1717" s="503"/>
      <c r="C1717" s="43" t="s">
        <v>306</v>
      </c>
      <c r="D1717" s="43" t="s">
        <v>23</v>
      </c>
      <c r="E1717" s="43"/>
      <c r="F1717" s="116"/>
      <c r="G1717" s="128"/>
      <c r="H1717" s="128"/>
      <c r="I1717" s="128"/>
      <c r="J1717" s="128"/>
      <c r="K1717" s="128"/>
      <c r="L1717" s="128"/>
      <c r="M1717" s="128"/>
      <c r="N1717" s="128"/>
      <c r="O1717" s="129"/>
      <c r="P1717" s="116"/>
      <c r="Q1717" s="128"/>
      <c r="R1717" s="141"/>
      <c r="S1717" s="503"/>
    </row>
    <row r="1718" spans="1:19" ht="9.75" customHeight="1">
      <c r="A1718" s="503"/>
      <c r="B1718" s="503"/>
      <c r="C1718" s="13"/>
      <c r="D1718" s="13" t="s">
        <v>25</v>
      </c>
      <c r="E1718" s="13">
        <v>123</v>
      </c>
      <c r="F1718" s="109">
        <v>91</v>
      </c>
      <c r="G1718" s="504">
        <v>50</v>
      </c>
      <c r="H1718" s="504">
        <v>25</v>
      </c>
      <c r="I1718" s="504">
        <v>5</v>
      </c>
      <c r="J1718" s="504">
        <v>5</v>
      </c>
      <c r="K1718" s="504">
        <v>6</v>
      </c>
      <c r="L1718" s="504">
        <v>7</v>
      </c>
      <c r="M1718" s="504">
        <v>12</v>
      </c>
      <c r="N1718" s="504">
        <v>17</v>
      </c>
      <c r="O1718" s="504">
        <v>19</v>
      </c>
      <c r="P1718" s="109">
        <f>MIN(F1718:O1718)</f>
        <v>5</v>
      </c>
      <c r="Q1718" s="504">
        <f>E1718-P1718</f>
        <v>118</v>
      </c>
      <c r="R1718" s="107">
        <f>Q1718/E1718</f>
        <v>0.95934959349593496</v>
      </c>
      <c r="S1718" s="503"/>
    </row>
    <row r="1719" spans="1:19" ht="9.75" customHeight="1">
      <c r="A1719" s="503"/>
      <c r="B1719" s="503"/>
      <c r="C1719" s="13"/>
      <c r="D1719" s="13" t="s">
        <v>27</v>
      </c>
      <c r="E1719" s="13"/>
      <c r="F1719" s="109"/>
      <c r="G1719" s="504"/>
      <c r="H1719" s="504"/>
      <c r="I1719" s="504"/>
      <c r="J1719" s="504"/>
      <c r="K1719" s="504"/>
      <c r="L1719" s="504"/>
      <c r="M1719" s="504"/>
      <c r="N1719" s="504"/>
      <c r="O1719" s="110"/>
      <c r="P1719" s="109"/>
      <c r="Q1719" s="504"/>
      <c r="R1719" s="107"/>
      <c r="S1719" s="503"/>
    </row>
    <row r="1720" spans="1:19" ht="9.75" customHeight="1">
      <c r="A1720" s="503"/>
      <c r="B1720" s="503"/>
      <c r="C1720" s="13"/>
      <c r="D1720" s="13" t="s">
        <v>115</v>
      </c>
      <c r="E1720" s="13"/>
      <c r="F1720" s="109"/>
      <c r="G1720" s="504"/>
      <c r="H1720" s="504"/>
      <c r="I1720" s="504"/>
      <c r="J1720" s="504"/>
      <c r="K1720" s="504"/>
      <c r="L1720" s="504"/>
      <c r="M1720" s="504"/>
      <c r="N1720" s="504"/>
      <c r="O1720" s="110"/>
      <c r="P1720" s="109"/>
      <c r="Q1720" s="504"/>
      <c r="R1720" s="107"/>
      <c r="S1720" s="503"/>
    </row>
    <row r="1721" spans="1:19" ht="9.75" customHeight="1">
      <c r="A1721" s="503"/>
      <c r="B1721" s="503"/>
      <c r="C1721" s="13"/>
      <c r="D1721" s="13" t="s">
        <v>115</v>
      </c>
      <c r="E1721" s="13"/>
      <c r="F1721" s="109"/>
      <c r="G1721" s="504"/>
      <c r="H1721" s="504"/>
      <c r="I1721" s="504"/>
      <c r="J1721" s="504"/>
      <c r="K1721" s="504"/>
      <c r="L1721" s="504"/>
      <c r="M1721" s="504"/>
      <c r="N1721" s="504"/>
      <c r="O1721" s="110"/>
      <c r="P1721" s="109"/>
      <c r="Q1721" s="504"/>
      <c r="R1721" s="107"/>
      <c r="S1721" s="503"/>
    </row>
    <row r="1722" spans="1:19" ht="9.75" customHeight="1">
      <c r="A1722" s="503"/>
      <c r="B1722" s="503"/>
      <c r="C1722" s="13"/>
      <c r="D1722" s="13" t="s">
        <v>32</v>
      </c>
      <c r="E1722" s="13"/>
      <c r="F1722" s="109"/>
      <c r="G1722" s="504"/>
      <c r="H1722" s="504"/>
      <c r="I1722" s="504"/>
      <c r="J1722" s="504"/>
      <c r="K1722" s="504"/>
      <c r="L1722" s="504"/>
      <c r="M1722" s="504"/>
      <c r="N1722" s="504"/>
      <c r="O1722" s="110"/>
      <c r="P1722" s="109"/>
      <c r="Q1722" s="504"/>
      <c r="R1722" s="107"/>
      <c r="S1722" s="503"/>
    </row>
    <row r="1723" spans="1:19" ht="9.75" customHeight="1">
      <c r="A1723" s="503"/>
      <c r="B1723" s="503"/>
      <c r="C1723" s="13"/>
      <c r="D1723" s="13" t="s">
        <v>120</v>
      </c>
      <c r="E1723" s="13"/>
      <c r="F1723" s="109"/>
      <c r="G1723" s="504"/>
      <c r="H1723" s="504"/>
      <c r="I1723" s="504"/>
      <c r="J1723" s="504"/>
      <c r="K1723" s="504"/>
      <c r="L1723" s="504"/>
      <c r="M1723" s="504"/>
      <c r="N1723" s="504"/>
      <c r="O1723" s="110"/>
      <c r="P1723" s="109"/>
      <c r="Q1723" s="504"/>
      <c r="R1723" s="107"/>
      <c r="S1723" s="503"/>
    </row>
    <row r="1724" spans="1:19" ht="9.75" customHeight="1">
      <c r="A1724" s="503"/>
      <c r="B1724" s="503"/>
      <c r="C1724" s="13"/>
      <c r="D1724" s="13" t="s">
        <v>120</v>
      </c>
      <c r="E1724" s="13"/>
      <c r="F1724" s="109"/>
      <c r="G1724" s="504"/>
      <c r="H1724" s="504"/>
      <c r="I1724" s="504"/>
      <c r="J1724" s="504"/>
      <c r="K1724" s="504"/>
      <c r="L1724" s="504"/>
      <c r="M1724" s="504"/>
      <c r="N1724" s="504"/>
      <c r="O1724" s="110"/>
      <c r="P1724" s="109"/>
      <c r="Q1724" s="504"/>
      <c r="R1724" s="107"/>
      <c r="S1724" s="503"/>
    </row>
    <row r="1725" spans="1:19" ht="9.75" customHeight="1">
      <c r="A1725" s="503"/>
      <c r="B1725" s="503"/>
      <c r="C1725" s="13"/>
      <c r="D1725" s="13" t="s">
        <v>120</v>
      </c>
      <c r="E1725" s="13"/>
      <c r="F1725" s="109"/>
      <c r="G1725" s="504"/>
      <c r="H1725" s="504"/>
      <c r="I1725" s="504"/>
      <c r="J1725" s="504"/>
      <c r="K1725" s="504"/>
      <c r="L1725" s="504"/>
      <c r="M1725" s="504"/>
      <c r="N1725" s="504"/>
      <c r="O1725" s="110"/>
      <c r="P1725" s="109"/>
      <c r="Q1725" s="504"/>
      <c r="R1725" s="107"/>
      <c r="S1725" s="503"/>
    </row>
    <row r="1726" spans="1:19" ht="9.75" customHeight="1">
      <c r="A1726" s="503"/>
      <c r="B1726" s="503"/>
      <c r="C1726" s="13"/>
      <c r="D1726" s="13" t="s">
        <v>120</v>
      </c>
      <c r="E1726" s="13"/>
      <c r="F1726" s="109"/>
      <c r="G1726" s="504"/>
      <c r="H1726" s="504"/>
      <c r="I1726" s="504"/>
      <c r="J1726" s="504"/>
      <c r="K1726" s="504"/>
      <c r="L1726" s="504"/>
      <c r="M1726" s="504"/>
      <c r="N1726" s="504"/>
      <c r="O1726" s="110"/>
      <c r="P1726" s="109"/>
      <c r="Q1726" s="504"/>
      <c r="R1726" s="107"/>
      <c r="S1726" s="503"/>
    </row>
    <row r="1727" spans="1:19" ht="9.75" customHeight="1">
      <c r="A1727" s="503"/>
      <c r="B1727" s="503"/>
      <c r="C1727" s="13"/>
      <c r="D1727" s="13" t="s">
        <v>120</v>
      </c>
      <c r="E1727" s="13"/>
      <c r="F1727" s="109"/>
      <c r="G1727" s="504"/>
      <c r="H1727" s="504"/>
      <c r="I1727" s="504"/>
      <c r="J1727" s="504"/>
      <c r="K1727" s="504"/>
      <c r="L1727" s="504"/>
      <c r="M1727" s="504"/>
      <c r="N1727" s="504"/>
      <c r="O1727" s="110"/>
      <c r="P1727" s="109"/>
      <c r="Q1727" s="504"/>
      <c r="R1727" s="107"/>
      <c r="S1727" s="503"/>
    </row>
    <row r="1728" spans="1:19" ht="9.75" customHeight="1">
      <c r="A1728" s="503"/>
      <c r="B1728" s="503"/>
      <c r="C1728" s="13"/>
      <c r="D1728" s="13" t="s">
        <v>120</v>
      </c>
      <c r="E1728" s="13"/>
      <c r="F1728" s="109"/>
      <c r="G1728" s="504"/>
      <c r="H1728" s="504"/>
      <c r="I1728" s="504"/>
      <c r="J1728" s="504"/>
      <c r="K1728" s="504"/>
      <c r="L1728" s="504"/>
      <c r="M1728" s="504"/>
      <c r="N1728" s="504"/>
      <c r="O1728" s="110"/>
      <c r="P1728" s="109"/>
      <c r="Q1728" s="504"/>
      <c r="R1728" s="107"/>
      <c r="S1728" s="503"/>
    </row>
    <row r="1729" spans="1:19" ht="9.75" customHeight="1">
      <c r="A1729" s="503"/>
      <c r="B1729" s="503"/>
      <c r="C1729" s="13"/>
      <c r="D1729" s="13" t="s">
        <v>34</v>
      </c>
      <c r="E1729" s="13"/>
      <c r="F1729" s="109"/>
      <c r="G1729" s="504"/>
      <c r="H1729" s="504"/>
      <c r="I1729" s="504"/>
      <c r="J1729" s="504"/>
      <c r="K1729" s="504"/>
      <c r="L1729" s="504"/>
      <c r="M1729" s="504"/>
      <c r="N1729" s="504"/>
      <c r="O1729" s="110"/>
      <c r="P1729" s="109"/>
      <c r="Q1729" s="504"/>
      <c r="R1729" s="107"/>
      <c r="S1729" s="503"/>
    </row>
    <row r="1730" spans="1:19" ht="9.75" customHeight="1">
      <c r="A1730" s="503"/>
      <c r="B1730" s="503"/>
      <c r="C1730" s="13"/>
      <c r="D1730" s="13" t="s">
        <v>35</v>
      </c>
      <c r="E1730" s="13"/>
      <c r="F1730" s="109"/>
      <c r="G1730" s="504"/>
      <c r="H1730" s="504"/>
      <c r="I1730" s="504"/>
      <c r="J1730" s="504"/>
      <c r="K1730" s="504"/>
      <c r="L1730" s="504"/>
      <c r="M1730" s="504"/>
      <c r="N1730" s="504"/>
      <c r="O1730" s="110"/>
      <c r="P1730" s="109"/>
      <c r="Q1730" s="504"/>
      <c r="R1730" s="107"/>
      <c r="S1730" s="503"/>
    </row>
    <row r="1731" spans="1:19" ht="9.75" customHeight="1">
      <c r="A1731" s="503"/>
      <c r="B1731" s="503"/>
      <c r="C1731" s="13"/>
      <c r="D1731" s="13" t="s">
        <v>36</v>
      </c>
      <c r="E1731" s="13"/>
      <c r="F1731" s="109"/>
      <c r="G1731" s="504"/>
      <c r="H1731" s="504"/>
      <c r="I1731" s="504"/>
      <c r="J1731" s="504"/>
      <c r="K1731" s="504"/>
      <c r="L1731" s="504"/>
      <c r="M1731" s="504"/>
      <c r="N1731" s="504"/>
      <c r="O1731" s="110"/>
      <c r="P1731" s="109"/>
      <c r="Q1731" s="504"/>
      <c r="R1731" s="107"/>
      <c r="S1731" s="503"/>
    </row>
    <row r="1732" spans="1:19" ht="9.75" customHeight="1">
      <c r="A1732" s="503"/>
      <c r="B1732" s="503"/>
      <c r="C1732" s="13"/>
      <c r="D1732" s="13" t="s">
        <v>37</v>
      </c>
      <c r="E1732" s="13"/>
      <c r="F1732" s="109"/>
      <c r="G1732" s="504"/>
      <c r="H1732" s="504"/>
      <c r="I1732" s="504"/>
      <c r="J1732" s="504"/>
      <c r="K1732" s="504"/>
      <c r="L1732" s="504"/>
      <c r="M1732" s="504"/>
      <c r="N1732" s="504"/>
      <c r="O1732" s="110"/>
      <c r="P1732" s="109"/>
      <c r="Q1732" s="504"/>
      <c r="R1732" s="107"/>
      <c r="S1732" s="503"/>
    </row>
    <row r="1733" spans="1:19" ht="9.75" customHeight="1">
      <c r="A1733" s="503"/>
      <c r="B1733" s="503" t="s">
        <v>127</v>
      </c>
      <c r="C1733" s="2"/>
      <c r="D1733" s="3" t="s">
        <v>38</v>
      </c>
      <c r="E1733" s="3">
        <f t="shared" ref="E1733:O1733" si="333">SUM(E1717:E1732)</f>
        <v>123</v>
      </c>
      <c r="F1733" s="21">
        <f>SUM(F1717:F1732)</f>
        <v>91</v>
      </c>
      <c r="G1733" s="71">
        <f>SUM(G1717:G1732)</f>
        <v>50</v>
      </c>
      <c r="H1733" s="71">
        <f>SUM(H1717:H1732)</f>
        <v>25</v>
      </c>
      <c r="I1733" s="71">
        <f>SUM(I1717:I1732)</f>
        <v>5</v>
      </c>
      <c r="J1733" s="71">
        <f>SUM(J1717:J1732)</f>
        <v>5</v>
      </c>
      <c r="K1733" s="71">
        <f t="shared" si="333"/>
        <v>6</v>
      </c>
      <c r="L1733" s="71">
        <f t="shared" si="333"/>
        <v>7</v>
      </c>
      <c r="M1733" s="71">
        <f t="shared" si="333"/>
        <v>12</v>
      </c>
      <c r="N1733" s="71">
        <f t="shared" si="333"/>
        <v>17</v>
      </c>
      <c r="O1733" s="26">
        <f t="shared" si="333"/>
        <v>19</v>
      </c>
      <c r="P1733" s="21">
        <f>MIN(F1733:O1733)</f>
        <v>5</v>
      </c>
      <c r="Q1733" s="71">
        <f>E1733-P1733</f>
        <v>118</v>
      </c>
      <c r="R1733" s="7">
        <f>Q1733/E1733</f>
        <v>0.95934959349593496</v>
      </c>
      <c r="S1733" s="503"/>
    </row>
    <row r="1734" spans="1:19" ht="9.75" customHeight="1">
      <c r="A1734" s="503"/>
      <c r="B1734" s="503"/>
      <c r="C1734" s="43" t="s">
        <v>307</v>
      </c>
      <c r="D1734" s="43" t="s">
        <v>23</v>
      </c>
      <c r="E1734" s="43"/>
      <c r="F1734" s="116"/>
      <c r="G1734" s="128"/>
      <c r="H1734" s="128"/>
      <c r="I1734" s="128"/>
      <c r="J1734" s="128"/>
      <c r="K1734" s="128"/>
      <c r="L1734" s="128"/>
      <c r="M1734" s="128"/>
      <c r="N1734" s="128"/>
      <c r="O1734" s="129"/>
      <c r="P1734" s="116"/>
      <c r="Q1734" s="128"/>
      <c r="R1734" s="141"/>
      <c r="S1734" s="503"/>
    </row>
    <row r="1735" spans="1:19" ht="9.75" customHeight="1">
      <c r="A1735" s="503"/>
      <c r="B1735" s="503"/>
      <c r="C1735" s="13"/>
      <c r="D1735" s="13" t="s">
        <v>25</v>
      </c>
      <c r="E1735" s="13"/>
      <c r="F1735" s="109"/>
      <c r="G1735" s="504"/>
      <c r="H1735" s="504"/>
      <c r="I1735" s="504"/>
      <c r="J1735" s="504"/>
      <c r="K1735" s="504"/>
      <c r="L1735" s="504"/>
      <c r="M1735" s="504"/>
      <c r="N1735" s="504"/>
      <c r="O1735" s="110"/>
      <c r="P1735" s="109"/>
      <c r="Q1735" s="504"/>
      <c r="R1735" s="107"/>
      <c r="S1735" s="503"/>
    </row>
    <row r="1736" spans="1:19" ht="9.75" customHeight="1">
      <c r="A1736" s="503"/>
      <c r="B1736" s="503"/>
      <c r="C1736" s="13"/>
      <c r="D1736" s="13" t="s">
        <v>27</v>
      </c>
      <c r="E1736" s="13"/>
      <c r="F1736" s="109"/>
      <c r="G1736" s="504"/>
      <c r="H1736" s="504"/>
      <c r="I1736" s="504"/>
      <c r="J1736" s="504"/>
      <c r="K1736" s="504"/>
      <c r="L1736" s="504"/>
      <c r="M1736" s="504"/>
      <c r="N1736" s="504"/>
      <c r="O1736" s="110"/>
      <c r="P1736" s="109"/>
      <c r="Q1736" s="504"/>
      <c r="R1736" s="107"/>
      <c r="S1736" s="503"/>
    </row>
    <row r="1737" spans="1:19" ht="9.75" customHeight="1">
      <c r="A1737" s="503"/>
      <c r="B1737" s="503"/>
      <c r="C1737" s="13"/>
      <c r="D1737" s="13" t="s">
        <v>115</v>
      </c>
      <c r="E1737" s="13"/>
      <c r="F1737" s="109"/>
      <c r="G1737" s="504"/>
      <c r="H1737" s="504"/>
      <c r="I1737" s="504"/>
      <c r="J1737" s="504"/>
      <c r="K1737" s="504"/>
      <c r="L1737" s="504"/>
      <c r="M1737" s="504"/>
      <c r="N1737" s="504"/>
      <c r="O1737" s="110"/>
      <c r="P1737" s="109"/>
      <c r="Q1737" s="504"/>
      <c r="R1737" s="107"/>
      <c r="S1737" s="503"/>
    </row>
    <row r="1738" spans="1:19" ht="9.75" customHeight="1">
      <c r="A1738" s="503"/>
      <c r="B1738" s="503"/>
      <c r="C1738" s="13"/>
      <c r="D1738" s="13" t="s">
        <v>115</v>
      </c>
      <c r="E1738" s="13"/>
      <c r="F1738" s="109"/>
      <c r="G1738" s="504"/>
      <c r="H1738" s="504"/>
      <c r="I1738" s="504"/>
      <c r="J1738" s="504"/>
      <c r="K1738" s="504"/>
      <c r="L1738" s="504"/>
      <c r="M1738" s="504"/>
      <c r="N1738" s="504"/>
      <c r="O1738" s="110"/>
      <c r="P1738" s="109"/>
      <c r="Q1738" s="504"/>
      <c r="R1738" s="107"/>
      <c r="S1738" s="503"/>
    </row>
    <row r="1739" spans="1:19" ht="9.75" customHeight="1">
      <c r="A1739" s="503"/>
      <c r="B1739" s="503"/>
      <c r="C1739" s="13"/>
      <c r="D1739" s="13" t="s">
        <v>32</v>
      </c>
      <c r="E1739" s="13"/>
      <c r="F1739" s="109"/>
      <c r="G1739" s="504"/>
      <c r="H1739" s="504"/>
      <c r="I1739" s="504"/>
      <c r="J1739" s="504"/>
      <c r="K1739" s="504"/>
      <c r="L1739" s="504"/>
      <c r="M1739" s="504"/>
      <c r="N1739" s="504"/>
      <c r="O1739" s="110"/>
      <c r="P1739" s="109"/>
      <c r="Q1739" s="504"/>
      <c r="R1739" s="107"/>
      <c r="S1739" s="503"/>
    </row>
    <row r="1740" spans="1:19" ht="9.75" customHeight="1">
      <c r="A1740" s="503"/>
      <c r="B1740" s="503"/>
      <c r="C1740" s="13"/>
      <c r="D1740" s="13" t="s">
        <v>120</v>
      </c>
      <c r="E1740" s="13"/>
      <c r="F1740" s="109"/>
      <c r="G1740" s="504"/>
      <c r="H1740" s="504"/>
      <c r="I1740" s="504"/>
      <c r="J1740" s="504"/>
      <c r="K1740" s="504"/>
      <c r="L1740" s="504"/>
      <c r="M1740" s="504"/>
      <c r="N1740" s="504"/>
      <c r="O1740" s="110"/>
      <c r="P1740" s="109"/>
      <c r="Q1740" s="504"/>
      <c r="R1740" s="107"/>
      <c r="S1740" s="503"/>
    </row>
    <row r="1741" spans="1:19" ht="9.75" customHeight="1">
      <c r="A1741" s="503"/>
      <c r="B1741" s="503"/>
      <c r="C1741" s="13"/>
      <c r="D1741" s="13" t="s">
        <v>120</v>
      </c>
      <c r="E1741" s="13"/>
      <c r="F1741" s="109"/>
      <c r="G1741" s="504"/>
      <c r="H1741" s="504"/>
      <c r="I1741" s="504"/>
      <c r="J1741" s="504"/>
      <c r="K1741" s="504"/>
      <c r="L1741" s="504"/>
      <c r="M1741" s="504"/>
      <c r="N1741" s="504"/>
      <c r="O1741" s="110"/>
      <c r="P1741" s="109"/>
      <c r="Q1741" s="504"/>
      <c r="R1741" s="107"/>
      <c r="S1741" s="503"/>
    </row>
    <row r="1742" spans="1:19" ht="9.75" customHeight="1">
      <c r="A1742" s="503"/>
      <c r="B1742" s="503"/>
      <c r="C1742" s="13"/>
      <c r="D1742" s="13" t="s">
        <v>120</v>
      </c>
      <c r="E1742" s="13"/>
      <c r="F1742" s="109"/>
      <c r="G1742" s="504"/>
      <c r="H1742" s="504"/>
      <c r="I1742" s="504"/>
      <c r="J1742" s="504"/>
      <c r="K1742" s="504"/>
      <c r="L1742" s="504"/>
      <c r="M1742" s="504"/>
      <c r="N1742" s="504"/>
      <c r="O1742" s="110"/>
      <c r="P1742" s="109"/>
      <c r="Q1742" s="504"/>
      <c r="R1742" s="107"/>
      <c r="S1742" s="503"/>
    </row>
    <row r="1743" spans="1:19" ht="9.75" customHeight="1">
      <c r="A1743" s="503"/>
      <c r="B1743" s="503"/>
      <c r="C1743" s="13"/>
      <c r="D1743" s="13" t="s">
        <v>120</v>
      </c>
      <c r="E1743" s="13"/>
      <c r="F1743" s="109"/>
      <c r="G1743" s="504"/>
      <c r="H1743" s="504"/>
      <c r="I1743" s="504"/>
      <c r="J1743" s="504"/>
      <c r="K1743" s="504"/>
      <c r="L1743" s="504"/>
      <c r="M1743" s="504"/>
      <c r="N1743" s="504"/>
      <c r="O1743" s="110"/>
      <c r="P1743" s="109"/>
      <c r="Q1743" s="504"/>
      <c r="R1743" s="107"/>
      <c r="S1743" s="503"/>
    </row>
    <row r="1744" spans="1:19" ht="9.75" customHeight="1">
      <c r="A1744" s="503"/>
      <c r="B1744" s="503"/>
      <c r="C1744" s="13"/>
      <c r="D1744" s="13" t="s">
        <v>120</v>
      </c>
      <c r="E1744" s="13"/>
      <c r="F1744" s="109"/>
      <c r="G1744" s="504"/>
      <c r="H1744" s="504"/>
      <c r="I1744" s="504"/>
      <c r="J1744" s="504"/>
      <c r="K1744" s="504"/>
      <c r="L1744" s="504"/>
      <c r="M1744" s="504"/>
      <c r="N1744" s="504"/>
      <c r="O1744" s="110"/>
      <c r="P1744" s="109"/>
      <c r="Q1744" s="504"/>
      <c r="R1744" s="107"/>
      <c r="S1744" s="503"/>
    </row>
    <row r="1745" spans="1:19" ht="9.75" customHeight="1">
      <c r="A1745" s="503"/>
      <c r="B1745" s="503"/>
      <c r="C1745" s="13"/>
      <c r="D1745" s="13" t="s">
        <v>120</v>
      </c>
      <c r="E1745" s="13"/>
      <c r="F1745" s="109"/>
      <c r="G1745" s="504"/>
      <c r="H1745" s="504"/>
      <c r="I1745" s="504"/>
      <c r="J1745" s="504"/>
      <c r="K1745" s="504"/>
      <c r="L1745" s="504"/>
      <c r="M1745" s="504"/>
      <c r="N1745" s="504"/>
      <c r="O1745" s="110"/>
      <c r="P1745" s="109"/>
      <c r="Q1745" s="504"/>
      <c r="R1745" s="107"/>
      <c r="S1745" s="503"/>
    </row>
    <row r="1746" spans="1:19" ht="9.75" customHeight="1">
      <c r="A1746" s="503"/>
      <c r="B1746" s="503"/>
      <c r="C1746" s="13"/>
      <c r="D1746" s="13" t="s">
        <v>34</v>
      </c>
      <c r="E1746" s="13">
        <v>5</v>
      </c>
      <c r="F1746" s="109">
        <v>5</v>
      </c>
      <c r="G1746" s="504">
        <v>5</v>
      </c>
      <c r="H1746" s="504">
        <v>5</v>
      </c>
      <c r="I1746" s="504">
        <v>5</v>
      </c>
      <c r="J1746" s="504">
        <v>5</v>
      </c>
      <c r="K1746" s="504">
        <v>5</v>
      </c>
      <c r="L1746" s="504">
        <v>5</v>
      </c>
      <c r="M1746" s="504">
        <v>5</v>
      </c>
      <c r="N1746" s="504">
        <v>5</v>
      </c>
      <c r="O1746" s="110">
        <v>5</v>
      </c>
      <c r="P1746" s="109">
        <f>MIN(F1746:O1746)</f>
        <v>5</v>
      </c>
      <c r="Q1746" s="504">
        <f>E1746-P1746</f>
        <v>0</v>
      </c>
      <c r="R1746" s="107">
        <f>Q1746/E1746</f>
        <v>0</v>
      </c>
      <c r="S1746" s="503"/>
    </row>
    <row r="1747" spans="1:19" ht="9.75" customHeight="1">
      <c r="A1747" s="503"/>
      <c r="B1747" s="503"/>
      <c r="C1747" s="13"/>
      <c r="D1747" s="13" t="s">
        <v>35</v>
      </c>
      <c r="E1747" s="13"/>
      <c r="F1747" s="109"/>
      <c r="G1747" s="504"/>
      <c r="H1747" s="504"/>
      <c r="I1747" s="504"/>
      <c r="J1747" s="504"/>
      <c r="K1747" s="504"/>
      <c r="L1747" s="504"/>
      <c r="M1747" s="504"/>
      <c r="N1747" s="504"/>
      <c r="O1747" s="110"/>
      <c r="P1747" s="109"/>
      <c r="Q1747" s="504"/>
      <c r="R1747" s="107"/>
      <c r="S1747" s="503"/>
    </row>
    <row r="1748" spans="1:19" ht="9.75" customHeight="1">
      <c r="A1748" s="503"/>
      <c r="B1748" s="503"/>
      <c r="C1748" s="13"/>
      <c r="D1748" s="13" t="s">
        <v>36</v>
      </c>
      <c r="E1748" s="13">
        <v>6</v>
      </c>
      <c r="F1748" s="109">
        <v>1</v>
      </c>
      <c r="G1748" s="504">
        <v>1</v>
      </c>
      <c r="H1748" s="504">
        <v>1</v>
      </c>
      <c r="I1748" s="504">
        <v>1</v>
      </c>
      <c r="J1748" s="504">
        <v>2</v>
      </c>
      <c r="K1748" s="504">
        <v>1</v>
      </c>
      <c r="L1748" s="504">
        <v>3</v>
      </c>
      <c r="M1748" s="504">
        <v>3</v>
      </c>
      <c r="N1748" s="504">
        <v>3</v>
      </c>
      <c r="O1748" s="110">
        <v>3</v>
      </c>
      <c r="P1748" s="109">
        <f>MIN(F1748:O1748)</f>
        <v>1</v>
      </c>
      <c r="Q1748" s="504">
        <f>E1748-P1748</f>
        <v>5</v>
      </c>
      <c r="R1748" s="107">
        <f>Q1748/E1748</f>
        <v>0.83333333333333337</v>
      </c>
      <c r="S1748" s="503"/>
    </row>
    <row r="1749" spans="1:19" ht="9.75" customHeight="1">
      <c r="A1749" s="503"/>
      <c r="B1749" s="503"/>
      <c r="C1749" s="13"/>
      <c r="D1749" s="13" t="s">
        <v>37</v>
      </c>
      <c r="E1749" s="13"/>
      <c r="F1749" s="109"/>
      <c r="G1749" s="504"/>
      <c r="H1749" s="504"/>
      <c r="I1749" s="504"/>
      <c r="J1749" s="504"/>
      <c r="K1749" s="504"/>
      <c r="L1749" s="504"/>
      <c r="M1749" s="504"/>
      <c r="N1749" s="504"/>
      <c r="O1749" s="110"/>
      <c r="P1749" s="109"/>
      <c r="Q1749" s="504"/>
      <c r="R1749" s="107"/>
      <c r="S1749" s="503"/>
    </row>
    <row r="1750" spans="1:19" ht="9.75" customHeight="1">
      <c r="A1750" s="503"/>
      <c r="B1750" s="503"/>
      <c r="C1750" s="2"/>
      <c r="D1750" s="3" t="s">
        <v>38</v>
      </c>
      <c r="E1750" s="3">
        <f t="shared" ref="E1750" si="334">SUM(E1734:E1749)</f>
        <v>11</v>
      </c>
      <c r="F1750" s="21">
        <f t="shared" ref="F1750:O1750" si="335">SUM(F1734:F1749)</f>
        <v>6</v>
      </c>
      <c r="G1750" s="71">
        <f t="shared" si="335"/>
        <v>6</v>
      </c>
      <c r="H1750" s="71">
        <f t="shared" si="335"/>
        <v>6</v>
      </c>
      <c r="I1750" s="71">
        <f t="shared" si="335"/>
        <v>6</v>
      </c>
      <c r="J1750" s="71">
        <f t="shared" si="335"/>
        <v>7</v>
      </c>
      <c r="K1750" s="71">
        <f t="shared" si="335"/>
        <v>6</v>
      </c>
      <c r="L1750" s="71">
        <f t="shared" si="335"/>
        <v>8</v>
      </c>
      <c r="M1750" s="71">
        <f t="shared" si="335"/>
        <v>8</v>
      </c>
      <c r="N1750" s="71">
        <f t="shared" si="335"/>
        <v>8</v>
      </c>
      <c r="O1750" s="26">
        <f t="shared" si="335"/>
        <v>8</v>
      </c>
      <c r="P1750" s="21">
        <f>MIN(F1750:O1750)</f>
        <v>6</v>
      </c>
      <c r="Q1750" s="71">
        <f>E1750-P1750</f>
        <v>5</v>
      </c>
      <c r="R1750" s="7">
        <f>Q1750/E1750</f>
        <v>0.45454545454545453</v>
      </c>
      <c r="S1750" s="503"/>
    </row>
    <row r="1751" spans="1:19" ht="9.75" customHeight="1">
      <c r="A1751" s="503"/>
      <c r="B1751" s="503"/>
      <c r="C1751" s="33" t="s">
        <v>308</v>
      </c>
      <c r="D1751" s="33" t="s">
        <v>23</v>
      </c>
      <c r="E1751" s="33"/>
      <c r="F1751" s="36"/>
      <c r="G1751" s="37"/>
      <c r="H1751" s="37"/>
      <c r="I1751" s="37"/>
      <c r="J1751" s="37"/>
      <c r="K1751" s="37"/>
      <c r="L1751" s="37"/>
      <c r="M1751" s="37"/>
      <c r="N1751" s="37"/>
      <c r="O1751" s="38"/>
      <c r="P1751" s="36"/>
      <c r="Q1751" s="37"/>
      <c r="R1751" s="39"/>
      <c r="S1751" s="503"/>
    </row>
    <row r="1752" spans="1:19" ht="9.75" customHeight="1">
      <c r="A1752" s="503"/>
      <c r="B1752" s="503"/>
      <c r="C1752" s="58" t="s">
        <v>66</v>
      </c>
      <c r="D1752" s="58" t="s">
        <v>25</v>
      </c>
      <c r="E1752" s="58"/>
      <c r="F1752" s="145"/>
      <c r="G1752" s="34"/>
      <c r="H1752" s="34"/>
      <c r="I1752" s="34"/>
      <c r="J1752" s="34"/>
      <c r="K1752" s="34"/>
      <c r="L1752" s="34"/>
      <c r="M1752" s="34"/>
      <c r="N1752" s="34"/>
      <c r="O1752" s="147"/>
      <c r="P1752" s="145"/>
      <c r="Q1752" s="34"/>
      <c r="R1752" s="148"/>
      <c r="S1752" s="503"/>
    </row>
    <row r="1753" spans="1:19" ht="9.75" customHeight="1">
      <c r="A1753" s="503"/>
      <c r="B1753" s="503"/>
      <c r="C1753" s="58" t="s">
        <v>228</v>
      </c>
      <c r="D1753" s="58" t="s">
        <v>27</v>
      </c>
      <c r="E1753" s="58"/>
      <c r="F1753" s="145"/>
      <c r="G1753" s="34"/>
      <c r="H1753" s="34"/>
      <c r="I1753" s="34"/>
      <c r="J1753" s="34"/>
      <c r="K1753" s="34"/>
      <c r="L1753" s="34"/>
      <c r="M1753" s="34"/>
      <c r="N1753" s="34"/>
      <c r="O1753" s="147"/>
      <c r="P1753" s="145"/>
      <c r="Q1753" s="34"/>
      <c r="R1753" s="148"/>
      <c r="S1753" s="503"/>
    </row>
    <row r="1754" spans="1:19" ht="9.75" customHeight="1">
      <c r="A1754" s="503"/>
      <c r="B1754" s="503"/>
      <c r="C1754" s="58" t="s">
        <v>74</v>
      </c>
      <c r="D1754" s="58" t="s">
        <v>198</v>
      </c>
      <c r="E1754" s="58"/>
      <c r="F1754" s="145"/>
      <c r="G1754" s="34"/>
      <c r="H1754" s="34"/>
      <c r="I1754" s="34"/>
      <c r="J1754" s="34"/>
      <c r="K1754" s="34"/>
      <c r="L1754" s="34"/>
      <c r="M1754" s="34"/>
      <c r="N1754" s="34"/>
      <c r="O1754" s="147"/>
      <c r="P1754" s="145"/>
      <c r="Q1754" s="34"/>
      <c r="R1754" s="148"/>
      <c r="S1754" s="503"/>
    </row>
    <row r="1755" spans="1:19" ht="9.75" customHeight="1">
      <c r="A1755" s="503"/>
      <c r="B1755" s="503"/>
      <c r="C1755" s="58"/>
      <c r="D1755" s="58" t="s">
        <v>115</v>
      </c>
      <c r="E1755" s="58"/>
      <c r="F1755" s="145"/>
      <c r="G1755" s="34"/>
      <c r="H1755" s="34"/>
      <c r="I1755" s="34"/>
      <c r="J1755" s="34"/>
      <c r="K1755" s="34"/>
      <c r="L1755" s="34"/>
      <c r="M1755" s="34"/>
      <c r="N1755" s="34"/>
      <c r="O1755" s="147"/>
      <c r="P1755" s="145"/>
      <c r="Q1755" s="34"/>
      <c r="R1755" s="148"/>
      <c r="S1755" s="503"/>
    </row>
    <row r="1756" spans="1:19" ht="9.75" customHeight="1">
      <c r="A1756" s="503"/>
      <c r="B1756" s="503"/>
      <c r="C1756" s="58"/>
      <c r="D1756" s="58" t="s">
        <v>32</v>
      </c>
      <c r="E1756" s="58"/>
      <c r="F1756" s="145"/>
      <c r="G1756" s="34"/>
      <c r="H1756" s="34"/>
      <c r="I1756" s="34"/>
      <c r="J1756" s="34"/>
      <c r="K1756" s="34"/>
      <c r="L1756" s="34"/>
      <c r="M1756" s="34"/>
      <c r="N1756" s="34"/>
      <c r="O1756" s="147"/>
      <c r="P1756" s="145"/>
      <c r="Q1756" s="34"/>
      <c r="R1756" s="148"/>
      <c r="S1756" s="503"/>
    </row>
    <row r="1757" spans="1:19" ht="9.75" customHeight="1">
      <c r="A1757" s="503"/>
      <c r="B1757" s="503"/>
      <c r="C1757" s="58"/>
      <c r="D1757" s="58" t="s">
        <v>120</v>
      </c>
      <c r="E1757" s="58"/>
      <c r="F1757" s="145"/>
      <c r="G1757" s="34"/>
      <c r="H1757" s="34"/>
      <c r="I1757" s="34"/>
      <c r="J1757" s="34"/>
      <c r="K1757" s="34"/>
      <c r="L1757" s="34"/>
      <c r="M1757" s="34"/>
      <c r="N1757" s="34"/>
      <c r="O1757" s="147"/>
      <c r="P1757" s="145"/>
      <c r="Q1757" s="34"/>
      <c r="R1757" s="148"/>
      <c r="S1757" s="503"/>
    </row>
    <row r="1758" spans="1:19" ht="9.75" customHeight="1">
      <c r="A1758" s="503"/>
      <c r="B1758" s="503"/>
      <c r="C1758" s="58"/>
      <c r="D1758" s="58" t="s">
        <v>120</v>
      </c>
      <c r="E1758" s="58"/>
      <c r="F1758" s="145"/>
      <c r="G1758" s="34"/>
      <c r="H1758" s="34"/>
      <c r="I1758" s="34"/>
      <c r="J1758" s="34"/>
      <c r="K1758" s="34"/>
      <c r="L1758" s="34"/>
      <c r="M1758" s="34"/>
      <c r="N1758" s="34"/>
      <c r="O1758" s="147"/>
      <c r="P1758" s="145"/>
      <c r="Q1758" s="34"/>
      <c r="R1758" s="148"/>
      <c r="S1758" s="503"/>
    </row>
    <row r="1759" spans="1:19" ht="9.75" customHeight="1">
      <c r="A1759" s="503"/>
      <c r="B1759" s="503"/>
      <c r="C1759" s="58"/>
      <c r="D1759" s="58" t="s">
        <v>120</v>
      </c>
      <c r="E1759" s="58"/>
      <c r="F1759" s="145"/>
      <c r="G1759" s="34"/>
      <c r="H1759" s="34"/>
      <c r="I1759" s="34"/>
      <c r="J1759" s="34"/>
      <c r="K1759" s="34"/>
      <c r="L1759" s="34"/>
      <c r="M1759" s="34"/>
      <c r="N1759" s="34"/>
      <c r="O1759" s="147"/>
      <c r="P1759" s="145"/>
      <c r="Q1759" s="34"/>
      <c r="R1759" s="148"/>
      <c r="S1759" s="503"/>
    </row>
    <row r="1760" spans="1:19" ht="9.75" customHeight="1">
      <c r="A1760" s="503"/>
      <c r="B1760" s="503"/>
      <c r="C1760" s="58"/>
      <c r="D1760" s="58" t="s">
        <v>120</v>
      </c>
      <c r="E1760" s="58"/>
      <c r="F1760" s="145"/>
      <c r="G1760" s="34"/>
      <c r="H1760" s="34"/>
      <c r="I1760" s="34"/>
      <c r="J1760" s="34"/>
      <c r="K1760" s="34"/>
      <c r="L1760" s="34"/>
      <c r="M1760" s="34"/>
      <c r="N1760" s="34"/>
      <c r="O1760" s="147"/>
      <c r="P1760" s="145"/>
      <c r="Q1760" s="34"/>
      <c r="R1760" s="148"/>
      <c r="S1760" s="503"/>
    </row>
    <row r="1761" spans="1:19" ht="9.75" customHeight="1">
      <c r="A1761" s="503"/>
      <c r="B1761" s="503"/>
      <c r="C1761" s="58"/>
      <c r="D1761" s="58" t="s">
        <v>120</v>
      </c>
      <c r="E1761" s="58"/>
      <c r="F1761" s="145"/>
      <c r="G1761" s="34"/>
      <c r="H1761" s="34"/>
      <c r="I1761" s="34"/>
      <c r="J1761" s="34"/>
      <c r="K1761" s="34"/>
      <c r="L1761" s="34"/>
      <c r="M1761" s="34"/>
      <c r="N1761" s="34"/>
      <c r="O1761" s="147"/>
      <c r="P1761" s="145"/>
      <c r="Q1761" s="34"/>
      <c r="R1761" s="148"/>
      <c r="S1761" s="503"/>
    </row>
    <row r="1762" spans="1:19" ht="9.75" customHeight="1">
      <c r="A1762" s="503"/>
      <c r="B1762" s="503"/>
      <c r="C1762" s="58"/>
      <c r="D1762" s="58" t="s">
        <v>120</v>
      </c>
      <c r="E1762" s="58"/>
      <c r="F1762" s="145"/>
      <c r="G1762" s="34"/>
      <c r="H1762" s="34"/>
      <c r="I1762" s="34"/>
      <c r="J1762" s="34"/>
      <c r="K1762" s="34"/>
      <c r="L1762" s="34"/>
      <c r="M1762" s="34"/>
      <c r="N1762" s="34"/>
      <c r="O1762" s="147"/>
      <c r="P1762" s="145"/>
      <c r="Q1762" s="34"/>
      <c r="R1762" s="148"/>
      <c r="S1762" s="503"/>
    </row>
    <row r="1763" spans="1:19" ht="9.75" customHeight="1">
      <c r="A1763" s="503"/>
      <c r="B1763" s="503"/>
      <c r="C1763" s="58"/>
      <c r="D1763" s="58" t="s">
        <v>34</v>
      </c>
      <c r="E1763" s="58"/>
      <c r="F1763" s="145"/>
      <c r="G1763" s="34"/>
      <c r="H1763" s="34"/>
      <c r="I1763" s="34"/>
      <c r="J1763" s="34"/>
      <c r="K1763" s="34"/>
      <c r="L1763" s="34"/>
      <c r="M1763" s="34"/>
      <c r="N1763" s="34"/>
      <c r="O1763" s="147"/>
      <c r="P1763" s="145"/>
      <c r="Q1763" s="34"/>
      <c r="R1763" s="148"/>
      <c r="S1763" s="503"/>
    </row>
    <row r="1764" spans="1:19" ht="9.75" customHeight="1">
      <c r="A1764" s="503"/>
      <c r="B1764" s="503"/>
      <c r="C1764" s="58"/>
      <c r="D1764" s="58" t="s">
        <v>35</v>
      </c>
      <c r="E1764" s="58"/>
      <c r="F1764" s="145"/>
      <c r="G1764" s="34"/>
      <c r="H1764" s="34"/>
      <c r="I1764" s="34"/>
      <c r="J1764" s="34"/>
      <c r="K1764" s="34"/>
      <c r="L1764" s="34"/>
      <c r="M1764" s="34"/>
      <c r="N1764" s="34"/>
      <c r="O1764" s="147"/>
      <c r="P1764" s="145"/>
      <c r="Q1764" s="34"/>
      <c r="R1764" s="148"/>
      <c r="S1764" s="503"/>
    </row>
    <row r="1765" spans="1:19" ht="9.75" customHeight="1">
      <c r="A1765" s="503"/>
      <c r="B1765" s="503"/>
      <c r="C1765" s="58"/>
      <c r="D1765" s="58" t="s">
        <v>36</v>
      </c>
      <c r="E1765" s="58"/>
      <c r="F1765" s="145"/>
      <c r="G1765" s="34"/>
      <c r="H1765" s="34"/>
      <c r="I1765" s="34"/>
      <c r="J1765" s="34"/>
      <c r="K1765" s="34"/>
      <c r="L1765" s="34"/>
      <c r="M1765" s="34"/>
      <c r="N1765" s="34"/>
      <c r="O1765" s="147"/>
      <c r="P1765" s="145"/>
      <c r="Q1765" s="34"/>
      <c r="R1765" s="148"/>
      <c r="S1765" s="503"/>
    </row>
    <row r="1766" spans="1:19" ht="9.75" customHeight="1">
      <c r="A1766" s="503"/>
      <c r="B1766" s="503"/>
      <c r="C1766" s="58"/>
      <c r="D1766" s="58" t="s">
        <v>37</v>
      </c>
      <c r="E1766" s="58"/>
      <c r="F1766" s="145"/>
      <c r="G1766" s="34"/>
      <c r="H1766" s="34"/>
      <c r="I1766" s="34"/>
      <c r="J1766" s="34"/>
      <c r="K1766" s="34"/>
      <c r="L1766" s="34"/>
      <c r="M1766" s="34"/>
      <c r="N1766" s="34"/>
      <c r="O1766" s="147"/>
      <c r="P1766" s="145"/>
      <c r="Q1766" s="34"/>
      <c r="R1766" s="148"/>
      <c r="S1766" s="503"/>
    </row>
    <row r="1767" spans="1:19" ht="9.75" customHeight="1">
      <c r="A1767" s="503"/>
      <c r="B1767" s="503"/>
      <c r="C1767" s="449"/>
      <c r="D1767" s="491" t="s">
        <v>38</v>
      </c>
      <c r="E1767" s="491"/>
      <c r="F1767" s="456"/>
      <c r="G1767" s="457"/>
      <c r="H1767" s="457"/>
      <c r="I1767" s="457"/>
      <c r="J1767" s="457"/>
      <c r="K1767" s="457"/>
      <c r="L1767" s="457"/>
      <c r="M1767" s="457"/>
      <c r="N1767" s="457"/>
      <c r="O1767" s="458"/>
      <c r="P1767" s="456"/>
      <c r="Q1767" s="457"/>
      <c r="R1767" s="459"/>
      <c r="S1767" s="503"/>
    </row>
    <row r="1768" spans="1:19" ht="9.75" customHeight="1">
      <c r="A1768" s="503"/>
      <c r="B1768" s="503"/>
      <c r="C1768" s="43" t="s">
        <v>309</v>
      </c>
      <c r="D1768" s="43" t="s">
        <v>310</v>
      </c>
      <c r="E1768" s="43">
        <v>8</v>
      </c>
      <c r="F1768" s="116">
        <v>0</v>
      </c>
      <c r="G1768" s="128">
        <v>0</v>
      </c>
      <c r="H1768" s="128">
        <v>0</v>
      </c>
      <c r="I1768" s="128">
        <v>0</v>
      </c>
      <c r="J1768" s="128">
        <v>1</v>
      </c>
      <c r="K1768" s="128">
        <v>0</v>
      </c>
      <c r="L1768" s="128">
        <v>1</v>
      </c>
      <c r="M1768" s="128">
        <v>1</v>
      </c>
      <c r="N1768" s="128">
        <v>3</v>
      </c>
      <c r="O1768" s="129">
        <v>3</v>
      </c>
      <c r="P1768" s="116">
        <f>MIN(F1768:O1768)</f>
        <v>0</v>
      </c>
      <c r="Q1768" s="128">
        <f>E1768-P1768</f>
        <v>8</v>
      </c>
      <c r="R1768" s="141">
        <f>Q1768/E1768</f>
        <v>1</v>
      </c>
      <c r="S1768" s="503"/>
    </row>
    <row r="1769" spans="1:19" ht="9.75" customHeight="1">
      <c r="A1769" s="503"/>
      <c r="B1769" s="503"/>
      <c r="C1769" s="13"/>
      <c r="D1769" s="13" t="s">
        <v>311</v>
      </c>
      <c r="E1769" s="13">
        <v>2</v>
      </c>
      <c r="F1769" s="109">
        <v>0</v>
      </c>
      <c r="G1769" s="504">
        <v>1</v>
      </c>
      <c r="H1769" s="504">
        <v>2</v>
      </c>
      <c r="I1769" s="504">
        <v>2</v>
      </c>
      <c r="J1769" s="504">
        <v>0</v>
      </c>
      <c r="K1769" s="504">
        <v>0</v>
      </c>
      <c r="L1769" s="504">
        <v>0</v>
      </c>
      <c r="M1769" s="504">
        <v>0</v>
      </c>
      <c r="N1769" s="504">
        <v>1</v>
      </c>
      <c r="O1769" s="110">
        <v>1</v>
      </c>
      <c r="P1769" s="109"/>
      <c r="Q1769" s="504"/>
      <c r="R1769" s="107"/>
      <c r="S1769" s="503"/>
    </row>
    <row r="1770" spans="1:19" ht="9.75" customHeight="1">
      <c r="A1770" s="503"/>
      <c r="B1770" s="503"/>
      <c r="C1770" s="13"/>
      <c r="D1770" s="13" t="s">
        <v>27</v>
      </c>
      <c r="E1770" s="13"/>
      <c r="F1770" s="109"/>
      <c r="G1770" s="504"/>
      <c r="H1770" s="504"/>
      <c r="I1770" s="504"/>
      <c r="J1770" s="504"/>
      <c r="K1770" s="504"/>
      <c r="L1770" s="504"/>
      <c r="M1770" s="504"/>
      <c r="N1770" s="504"/>
      <c r="O1770" s="110"/>
      <c r="P1770" s="109"/>
      <c r="Q1770" s="504"/>
      <c r="R1770" s="107"/>
      <c r="S1770" s="503"/>
    </row>
    <row r="1771" spans="1:19" ht="9.75" customHeight="1">
      <c r="A1771" s="503"/>
      <c r="B1771" s="503"/>
      <c r="C1771" s="13"/>
      <c r="D1771" s="13" t="s">
        <v>251</v>
      </c>
      <c r="E1771" s="13">
        <v>10</v>
      </c>
      <c r="F1771" s="109">
        <v>4</v>
      </c>
      <c r="G1771" s="504">
        <v>0</v>
      </c>
      <c r="H1771" s="504">
        <v>1</v>
      </c>
      <c r="I1771" s="504">
        <v>1</v>
      </c>
      <c r="J1771" s="504">
        <v>2</v>
      </c>
      <c r="K1771" s="504">
        <v>1</v>
      </c>
      <c r="L1771" s="504">
        <v>1</v>
      </c>
      <c r="M1771" s="504">
        <v>1</v>
      </c>
      <c r="N1771" s="504">
        <v>4</v>
      </c>
      <c r="O1771" s="110">
        <v>1</v>
      </c>
      <c r="P1771" s="109">
        <f>MIN(F1771:O1771)</f>
        <v>0</v>
      </c>
      <c r="Q1771" s="504">
        <f>E1771-P1771</f>
        <v>10</v>
      </c>
      <c r="R1771" s="107">
        <f>Q1771/E1771</f>
        <v>1</v>
      </c>
      <c r="S1771" s="503"/>
    </row>
    <row r="1772" spans="1:19" ht="9.75" customHeight="1">
      <c r="A1772" s="503"/>
      <c r="B1772" s="503"/>
      <c r="C1772" s="13"/>
      <c r="D1772" s="13" t="s">
        <v>115</v>
      </c>
      <c r="E1772" s="13"/>
      <c r="F1772" s="109"/>
      <c r="G1772" s="504"/>
      <c r="H1772" s="504"/>
      <c r="I1772" s="504"/>
      <c r="J1772" s="504"/>
      <c r="K1772" s="504"/>
      <c r="L1772" s="504"/>
      <c r="M1772" s="504"/>
      <c r="N1772" s="504"/>
      <c r="O1772" s="110"/>
      <c r="P1772" s="109"/>
      <c r="Q1772" s="504"/>
      <c r="R1772" s="107"/>
      <c r="S1772" s="503"/>
    </row>
    <row r="1773" spans="1:19" ht="9.75" customHeight="1">
      <c r="A1773" s="503"/>
      <c r="B1773" s="503"/>
      <c r="C1773" s="13"/>
      <c r="D1773" s="13" t="s">
        <v>32</v>
      </c>
      <c r="E1773" s="109">
        <v>23</v>
      </c>
      <c r="F1773" s="109">
        <f>E1773-6</f>
        <v>17</v>
      </c>
      <c r="G1773" s="504">
        <f>E1773-9</f>
        <v>14</v>
      </c>
      <c r="H1773" s="504">
        <f>E1773-9</f>
        <v>14</v>
      </c>
      <c r="I1773" s="504">
        <f>E1773-11</f>
        <v>12</v>
      </c>
      <c r="J1773" s="504">
        <f>E1773-9</f>
        <v>14</v>
      </c>
      <c r="K1773" s="504">
        <f>E1773-9</f>
        <v>14</v>
      </c>
      <c r="L1773" s="504">
        <f>E1773-11</f>
        <v>12</v>
      </c>
      <c r="M1773" s="504">
        <f>E1773-14</f>
        <v>9</v>
      </c>
      <c r="N1773" s="504">
        <f>E1773-12</f>
        <v>11</v>
      </c>
      <c r="O1773" s="110">
        <f>E1773-6</f>
        <v>17</v>
      </c>
      <c r="P1773" s="504">
        <f>MIN(F1773:O1773)</f>
        <v>9</v>
      </c>
      <c r="Q1773" s="504">
        <f>E1773-P1773</f>
        <v>14</v>
      </c>
      <c r="R1773" s="107">
        <f>Q1773/E1773</f>
        <v>0.60869565217391308</v>
      </c>
      <c r="S1773" s="503"/>
    </row>
    <row r="1774" spans="1:19" ht="9.75" customHeight="1">
      <c r="A1774" s="503"/>
      <c r="B1774" s="503"/>
      <c r="C1774" s="13"/>
      <c r="D1774" s="13" t="s">
        <v>120</v>
      </c>
      <c r="E1774" s="13"/>
      <c r="F1774" s="109"/>
      <c r="G1774" s="504"/>
      <c r="H1774" s="504"/>
      <c r="I1774" s="504"/>
      <c r="J1774" s="504"/>
      <c r="K1774" s="504"/>
      <c r="L1774" s="504"/>
      <c r="M1774" s="504"/>
      <c r="N1774" s="504"/>
      <c r="O1774" s="110"/>
      <c r="P1774" s="109"/>
      <c r="Q1774" s="504"/>
      <c r="R1774" s="107"/>
      <c r="S1774" s="503"/>
    </row>
    <row r="1775" spans="1:19" ht="9.75" customHeight="1">
      <c r="A1775" s="503"/>
      <c r="B1775" s="503"/>
      <c r="C1775" s="13"/>
      <c r="D1775" s="13" t="s">
        <v>120</v>
      </c>
      <c r="E1775" s="13"/>
      <c r="F1775" s="109"/>
      <c r="G1775" s="504"/>
      <c r="H1775" s="504"/>
      <c r="I1775" s="504"/>
      <c r="J1775" s="504"/>
      <c r="K1775" s="504"/>
      <c r="L1775" s="504"/>
      <c r="M1775" s="504"/>
      <c r="N1775" s="504"/>
      <c r="O1775" s="110"/>
      <c r="P1775" s="109"/>
      <c r="Q1775" s="504"/>
      <c r="R1775" s="107"/>
      <c r="S1775" s="503"/>
    </row>
    <row r="1776" spans="1:19" ht="9.75" customHeight="1">
      <c r="A1776" s="503"/>
      <c r="B1776" s="503"/>
      <c r="C1776" s="13"/>
      <c r="D1776" s="13" t="s">
        <v>120</v>
      </c>
      <c r="E1776" s="13"/>
      <c r="F1776" s="109"/>
      <c r="G1776" s="504"/>
      <c r="H1776" s="504"/>
      <c r="I1776" s="504"/>
      <c r="J1776" s="504"/>
      <c r="K1776" s="504"/>
      <c r="L1776" s="504"/>
      <c r="M1776" s="504"/>
      <c r="N1776" s="504"/>
      <c r="O1776" s="110"/>
      <c r="P1776" s="109"/>
      <c r="Q1776" s="504"/>
      <c r="R1776" s="107"/>
      <c r="S1776" s="503"/>
    </row>
    <row r="1777" spans="1:19" ht="9.75" customHeight="1">
      <c r="A1777" s="503"/>
      <c r="B1777" s="503"/>
      <c r="C1777" s="13"/>
      <c r="D1777" s="13" t="s">
        <v>120</v>
      </c>
      <c r="E1777" s="13"/>
      <c r="F1777" s="109"/>
      <c r="G1777" s="504"/>
      <c r="H1777" s="504"/>
      <c r="I1777" s="504"/>
      <c r="J1777" s="504"/>
      <c r="K1777" s="504"/>
      <c r="L1777" s="504"/>
      <c r="M1777" s="504"/>
      <c r="N1777" s="504"/>
      <c r="O1777" s="110"/>
      <c r="P1777" s="109"/>
      <c r="Q1777" s="504"/>
      <c r="R1777" s="107"/>
      <c r="S1777" s="503"/>
    </row>
    <row r="1778" spans="1:19" ht="9.75" customHeight="1">
      <c r="A1778" s="503"/>
      <c r="B1778" s="503"/>
      <c r="C1778" s="13"/>
      <c r="D1778" s="13" t="s">
        <v>120</v>
      </c>
      <c r="E1778" s="13"/>
      <c r="F1778" s="109"/>
      <c r="G1778" s="504"/>
      <c r="H1778" s="504"/>
      <c r="I1778" s="504"/>
      <c r="J1778" s="504"/>
      <c r="K1778" s="504"/>
      <c r="L1778" s="504"/>
      <c r="M1778" s="504"/>
      <c r="N1778" s="504"/>
      <c r="O1778" s="110"/>
      <c r="P1778" s="109"/>
      <c r="Q1778" s="504"/>
      <c r="R1778" s="107"/>
      <c r="S1778" s="503"/>
    </row>
    <row r="1779" spans="1:19" ht="9.75" customHeight="1">
      <c r="A1779" s="503"/>
      <c r="B1779" s="503"/>
      <c r="C1779" s="13"/>
      <c r="D1779" s="13" t="s">
        <v>120</v>
      </c>
      <c r="E1779" s="13"/>
      <c r="F1779" s="109"/>
      <c r="G1779" s="504"/>
      <c r="H1779" s="504"/>
      <c r="I1779" s="504"/>
      <c r="J1779" s="504"/>
      <c r="K1779" s="504"/>
      <c r="L1779" s="504"/>
      <c r="M1779" s="504"/>
      <c r="N1779" s="504"/>
      <c r="O1779" s="110"/>
      <c r="P1779" s="109"/>
      <c r="Q1779" s="504"/>
      <c r="R1779" s="107"/>
      <c r="S1779" s="503"/>
    </row>
    <row r="1780" spans="1:19" ht="9.75" customHeight="1">
      <c r="A1780" s="503"/>
      <c r="B1780" s="503"/>
      <c r="C1780" s="13"/>
      <c r="D1780" s="13" t="s">
        <v>34</v>
      </c>
      <c r="E1780" s="13">
        <v>6</v>
      </c>
      <c r="F1780" s="109">
        <v>3</v>
      </c>
      <c r="G1780" s="504">
        <v>3</v>
      </c>
      <c r="H1780" s="504">
        <v>3</v>
      </c>
      <c r="I1780" s="504">
        <v>3</v>
      </c>
      <c r="J1780" s="504">
        <v>4</v>
      </c>
      <c r="K1780" s="504">
        <v>5</v>
      </c>
      <c r="L1780" s="504">
        <v>5</v>
      </c>
      <c r="M1780" s="504">
        <v>6</v>
      </c>
      <c r="N1780" s="504">
        <v>6</v>
      </c>
      <c r="O1780" s="110">
        <v>6</v>
      </c>
      <c r="P1780" s="109">
        <f>MIN(F1780:O1780)</f>
        <v>3</v>
      </c>
      <c r="Q1780" s="504">
        <f>E1780-P1780</f>
        <v>3</v>
      </c>
      <c r="R1780" s="107">
        <f>Q1780/E1780</f>
        <v>0.5</v>
      </c>
      <c r="S1780" s="503"/>
    </row>
    <row r="1781" spans="1:19" ht="9.75" customHeight="1">
      <c r="A1781" s="503"/>
      <c r="B1781" s="503"/>
      <c r="C1781" s="13"/>
      <c r="D1781" s="13" t="s">
        <v>35</v>
      </c>
      <c r="E1781" s="13"/>
      <c r="F1781" s="109"/>
      <c r="G1781" s="504"/>
      <c r="H1781" s="504"/>
      <c r="I1781" s="504"/>
      <c r="J1781" s="504"/>
      <c r="K1781" s="504"/>
      <c r="L1781" s="504"/>
      <c r="M1781" s="504"/>
      <c r="N1781" s="504"/>
      <c r="O1781" s="110"/>
      <c r="P1781" s="109"/>
      <c r="Q1781" s="504"/>
      <c r="R1781" s="107"/>
      <c r="S1781" s="503"/>
    </row>
    <row r="1782" spans="1:19" ht="9.75" customHeight="1">
      <c r="A1782" s="503"/>
      <c r="B1782" s="503"/>
      <c r="C1782" s="13"/>
      <c r="D1782" s="13" t="s">
        <v>36</v>
      </c>
      <c r="E1782" s="13"/>
      <c r="F1782" s="109"/>
      <c r="G1782" s="504"/>
      <c r="H1782" s="504"/>
      <c r="I1782" s="504"/>
      <c r="J1782" s="504"/>
      <c r="K1782" s="504"/>
      <c r="L1782" s="504"/>
      <c r="M1782" s="504"/>
      <c r="N1782" s="504"/>
      <c r="O1782" s="110"/>
      <c r="P1782" s="109"/>
      <c r="Q1782" s="504"/>
      <c r="R1782" s="107"/>
      <c r="S1782" s="503"/>
    </row>
    <row r="1783" spans="1:19" ht="9.75" customHeight="1">
      <c r="A1783" s="503"/>
      <c r="B1783" s="503"/>
      <c r="C1783" s="13"/>
      <c r="D1783" s="13" t="s">
        <v>37</v>
      </c>
      <c r="E1783" s="13"/>
      <c r="F1783" s="109"/>
      <c r="G1783" s="504"/>
      <c r="H1783" s="504"/>
      <c r="I1783" s="504"/>
      <c r="J1783" s="504"/>
      <c r="K1783" s="504"/>
      <c r="L1783" s="504"/>
      <c r="M1783" s="504"/>
      <c r="N1783" s="504"/>
      <c r="O1783" s="110"/>
      <c r="P1783" s="109"/>
      <c r="Q1783" s="504"/>
      <c r="R1783" s="107"/>
      <c r="S1783" s="503"/>
    </row>
    <row r="1784" spans="1:19" ht="9.75" customHeight="1">
      <c r="A1784" s="503"/>
      <c r="B1784" s="503" t="s">
        <v>127</v>
      </c>
      <c r="C1784" s="2"/>
      <c r="D1784" s="3" t="s">
        <v>38</v>
      </c>
      <c r="E1784" s="3">
        <f t="shared" ref="E1784:O1784" si="336">SUM(E1768:E1783)</f>
        <v>49</v>
      </c>
      <c r="F1784" s="21">
        <f t="shared" si="336"/>
        <v>24</v>
      </c>
      <c r="G1784" s="71">
        <f t="shared" si="336"/>
        <v>18</v>
      </c>
      <c r="H1784" s="71">
        <f t="shared" si="336"/>
        <v>20</v>
      </c>
      <c r="I1784" s="71">
        <f t="shared" si="336"/>
        <v>18</v>
      </c>
      <c r="J1784" s="71">
        <f t="shared" si="336"/>
        <v>21</v>
      </c>
      <c r="K1784" s="71">
        <f t="shared" si="336"/>
        <v>20</v>
      </c>
      <c r="L1784" s="71">
        <f t="shared" si="336"/>
        <v>19</v>
      </c>
      <c r="M1784" s="71">
        <f t="shared" si="336"/>
        <v>17</v>
      </c>
      <c r="N1784" s="71">
        <f t="shared" si="336"/>
        <v>25</v>
      </c>
      <c r="O1784" s="26">
        <f t="shared" si="336"/>
        <v>28</v>
      </c>
      <c r="P1784" s="21">
        <f>MIN(F1784:O1784)</f>
        <v>17</v>
      </c>
      <c r="Q1784" s="71">
        <f>E1784-P1784</f>
        <v>32</v>
      </c>
      <c r="R1784" s="7">
        <f>Q1784/E1784</f>
        <v>0.65306122448979587</v>
      </c>
      <c r="S1784" s="503"/>
    </row>
    <row r="1785" spans="1:19" ht="9.75" customHeight="1">
      <c r="A1785" s="503"/>
      <c r="B1785" s="503"/>
      <c r="C1785" s="43" t="s">
        <v>312</v>
      </c>
      <c r="D1785" s="43" t="s">
        <v>23</v>
      </c>
      <c r="E1785" s="43"/>
      <c r="F1785" s="116"/>
      <c r="G1785" s="128"/>
      <c r="H1785" s="128"/>
      <c r="I1785" s="128"/>
      <c r="J1785" s="128"/>
      <c r="K1785" s="128"/>
      <c r="L1785" s="128"/>
      <c r="M1785" s="128"/>
      <c r="N1785" s="128"/>
      <c r="O1785" s="129"/>
      <c r="P1785" s="116"/>
      <c r="Q1785" s="128"/>
      <c r="R1785" s="141"/>
      <c r="S1785" s="503"/>
    </row>
    <row r="1786" spans="1:19" ht="9.75" customHeight="1">
      <c r="A1786" s="503"/>
      <c r="B1786" s="503"/>
      <c r="C1786" s="13"/>
      <c r="D1786" s="13" t="s">
        <v>25</v>
      </c>
      <c r="E1786" s="13"/>
      <c r="F1786" s="109"/>
      <c r="G1786" s="504"/>
      <c r="H1786" s="504"/>
      <c r="I1786" s="504"/>
      <c r="J1786" s="504"/>
      <c r="K1786" s="504"/>
      <c r="L1786" s="504"/>
      <c r="M1786" s="504"/>
      <c r="N1786" s="504"/>
      <c r="O1786" s="110"/>
      <c r="P1786" s="109"/>
      <c r="Q1786" s="504"/>
      <c r="R1786" s="107"/>
      <c r="S1786" s="503"/>
    </row>
    <row r="1787" spans="1:19" ht="9.75" customHeight="1">
      <c r="A1787" s="503"/>
      <c r="B1787" s="503"/>
      <c r="C1787" s="13"/>
      <c r="D1787" s="13" t="s">
        <v>27</v>
      </c>
      <c r="E1787" s="13">
        <v>26</v>
      </c>
      <c r="F1787" s="41">
        <v>1</v>
      </c>
      <c r="G1787" s="504">
        <v>0</v>
      </c>
      <c r="H1787" s="504">
        <v>0</v>
      </c>
      <c r="I1787" s="504">
        <v>0</v>
      </c>
      <c r="J1787" s="504">
        <v>0</v>
      </c>
      <c r="K1787" s="504">
        <v>1</v>
      </c>
      <c r="L1787" s="504">
        <v>0</v>
      </c>
      <c r="M1787" s="504">
        <v>0</v>
      </c>
      <c r="N1787" s="504">
        <v>0</v>
      </c>
      <c r="O1787" s="110">
        <v>0</v>
      </c>
      <c r="P1787" s="109">
        <f t="shared" ref="P1787:P1788" si="337">MIN(F1787:O1787)</f>
        <v>0</v>
      </c>
      <c r="Q1787" s="504">
        <f t="shared" ref="Q1787:Q1788" si="338">E1787-P1787</f>
        <v>26</v>
      </c>
      <c r="R1787" s="107">
        <f t="shared" ref="R1787:R1788" si="339">Q1787/E1787</f>
        <v>1</v>
      </c>
      <c r="S1787" s="503"/>
    </row>
    <row r="1788" spans="1:19" ht="9.75" customHeight="1">
      <c r="A1788" s="503"/>
      <c r="B1788" s="503"/>
      <c r="C1788" s="13"/>
      <c r="D1788" s="13" t="s">
        <v>198</v>
      </c>
      <c r="E1788" s="13">
        <v>12</v>
      </c>
      <c r="F1788" s="151">
        <v>2</v>
      </c>
      <c r="G1788" s="504">
        <v>3</v>
      </c>
      <c r="H1788" s="504">
        <v>0</v>
      </c>
      <c r="I1788" s="504">
        <v>1</v>
      </c>
      <c r="J1788" s="504">
        <v>0</v>
      </c>
      <c r="K1788" s="504">
        <v>0</v>
      </c>
      <c r="L1788" s="504">
        <v>0</v>
      </c>
      <c r="M1788" s="504">
        <v>0</v>
      </c>
      <c r="N1788" s="504">
        <v>0</v>
      </c>
      <c r="O1788" s="110">
        <v>0</v>
      </c>
      <c r="P1788" s="109">
        <f t="shared" si="337"/>
        <v>0</v>
      </c>
      <c r="Q1788" s="504">
        <f t="shared" si="338"/>
        <v>12</v>
      </c>
      <c r="R1788" s="107">
        <f t="shared" si="339"/>
        <v>1</v>
      </c>
      <c r="S1788" s="503"/>
    </row>
    <row r="1789" spans="1:19" ht="9.75" customHeight="1">
      <c r="A1789" s="503"/>
      <c r="B1789" s="503"/>
      <c r="C1789" s="13"/>
      <c r="D1789" s="13" t="s">
        <v>115</v>
      </c>
      <c r="E1789" s="13"/>
      <c r="F1789" s="151"/>
      <c r="G1789" s="504"/>
      <c r="H1789" s="504"/>
      <c r="I1789" s="504"/>
      <c r="J1789" s="504"/>
      <c r="K1789" s="504"/>
      <c r="L1789" s="504"/>
      <c r="M1789" s="504"/>
      <c r="N1789" s="504"/>
      <c r="O1789" s="110"/>
      <c r="P1789" s="109"/>
      <c r="Q1789" s="504"/>
      <c r="R1789" s="107"/>
      <c r="S1789" s="503"/>
    </row>
    <row r="1790" spans="1:19" ht="9.75" customHeight="1">
      <c r="A1790" s="503"/>
      <c r="B1790" s="503"/>
      <c r="C1790" s="13"/>
      <c r="D1790" s="13" t="s">
        <v>32</v>
      </c>
      <c r="E1790" s="13">
        <v>6</v>
      </c>
      <c r="F1790" s="151">
        <v>4</v>
      </c>
      <c r="G1790" s="504">
        <v>11</v>
      </c>
      <c r="H1790" s="504">
        <v>4</v>
      </c>
      <c r="I1790" s="504">
        <v>4</v>
      </c>
      <c r="J1790" s="504">
        <v>4</v>
      </c>
      <c r="K1790" s="504">
        <v>3</v>
      </c>
      <c r="L1790" s="504">
        <v>4</v>
      </c>
      <c r="M1790" s="504">
        <v>3</v>
      </c>
      <c r="N1790" s="504">
        <v>2</v>
      </c>
      <c r="O1790" s="110">
        <v>2</v>
      </c>
      <c r="P1790" s="109">
        <f>MIN(F1790:O1790)</f>
        <v>2</v>
      </c>
      <c r="Q1790" s="504">
        <f>E1790-P1790</f>
        <v>4</v>
      </c>
      <c r="R1790" s="107">
        <f>Q1790/E1790</f>
        <v>0.66666666666666663</v>
      </c>
      <c r="S1790" s="503"/>
    </row>
    <row r="1791" spans="1:19" ht="9.75" customHeight="1">
      <c r="A1791" s="503"/>
      <c r="B1791" s="503"/>
      <c r="C1791" s="13"/>
      <c r="D1791" s="13" t="s">
        <v>120</v>
      </c>
      <c r="E1791" s="13"/>
      <c r="F1791" s="151"/>
      <c r="G1791" s="504"/>
      <c r="H1791" s="504"/>
      <c r="I1791" s="504"/>
      <c r="J1791" s="504"/>
      <c r="K1791" s="504"/>
      <c r="L1791" s="504"/>
      <c r="M1791" s="504"/>
      <c r="N1791" s="504"/>
      <c r="O1791" s="110"/>
      <c r="P1791" s="109"/>
      <c r="Q1791" s="504"/>
      <c r="R1791" s="107"/>
      <c r="S1791" s="503"/>
    </row>
    <row r="1792" spans="1:19" ht="9.75" customHeight="1">
      <c r="A1792" s="503"/>
      <c r="B1792" s="503"/>
      <c r="C1792" s="13"/>
      <c r="D1792" s="13" t="s">
        <v>120</v>
      </c>
      <c r="E1792" s="13"/>
      <c r="F1792" s="151"/>
      <c r="G1792" s="504"/>
      <c r="H1792" s="504"/>
      <c r="I1792" s="504"/>
      <c r="J1792" s="504"/>
      <c r="K1792" s="504"/>
      <c r="L1792" s="504"/>
      <c r="M1792" s="504"/>
      <c r="N1792" s="504"/>
      <c r="O1792" s="110"/>
      <c r="P1792" s="109"/>
      <c r="Q1792" s="504"/>
      <c r="R1792" s="107"/>
      <c r="S1792" s="503"/>
    </row>
    <row r="1793" spans="1:19" ht="9.75" customHeight="1">
      <c r="A1793" s="503"/>
      <c r="B1793" s="503"/>
      <c r="C1793" s="13"/>
      <c r="D1793" s="13" t="s">
        <v>120</v>
      </c>
      <c r="E1793" s="13"/>
      <c r="F1793" s="151"/>
      <c r="G1793" s="504"/>
      <c r="H1793" s="504"/>
      <c r="I1793" s="504"/>
      <c r="J1793" s="504"/>
      <c r="K1793" s="504"/>
      <c r="L1793" s="504"/>
      <c r="M1793" s="504"/>
      <c r="N1793" s="504"/>
      <c r="O1793" s="110"/>
      <c r="P1793" s="109"/>
      <c r="Q1793" s="504"/>
      <c r="R1793" s="107"/>
      <c r="S1793" s="503"/>
    </row>
    <row r="1794" spans="1:19" ht="9.75" customHeight="1">
      <c r="A1794" s="503"/>
      <c r="B1794" s="503"/>
      <c r="C1794" s="13"/>
      <c r="D1794" s="13" t="s">
        <v>120</v>
      </c>
      <c r="E1794" s="13"/>
      <c r="F1794" s="151"/>
      <c r="G1794" s="504"/>
      <c r="H1794" s="504"/>
      <c r="I1794" s="504"/>
      <c r="J1794" s="504"/>
      <c r="K1794" s="504"/>
      <c r="L1794" s="504"/>
      <c r="M1794" s="504"/>
      <c r="N1794" s="504"/>
      <c r="O1794" s="110"/>
      <c r="P1794" s="109"/>
      <c r="Q1794" s="504"/>
      <c r="R1794" s="107"/>
      <c r="S1794" s="503"/>
    </row>
    <row r="1795" spans="1:19" ht="9.75" customHeight="1">
      <c r="A1795" s="503"/>
      <c r="B1795" s="503"/>
      <c r="C1795" s="13"/>
      <c r="D1795" s="13" t="s">
        <v>120</v>
      </c>
      <c r="E1795" s="13"/>
      <c r="F1795" s="151"/>
      <c r="G1795" s="504"/>
      <c r="H1795" s="504"/>
      <c r="I1795" s="504"/>
      <c r="J1795" s="504"/>
      <c r="K1795" s="504"/>
      <c r="L1795" s="504"/>
      <c r="M1795" s="504"/>
      <c r="N1795" s="504"/>
      <c r="O1795" s="110"/>
      <c r="P1795" s="109"/>
      <c r="Q1795" s="504"/>
      <c r="R1795" s="107"/>
      <c r="S1795" s="503"/>
    </row>
    <row r="1796" spans="1:19" ht="9.75" customHeight="1">
      <c r="A1796" s="503"/>
      <c r="B1796" s="503"/>
      <c r="C1796" s="13"/>
      <c r="D1796" s="13" t="s">
        <v>120</v>
      </c>
      <c r="E1796" s="13"/>
      <c r="F1796" s="151"/>
      <c r="G1796" s="504"/>
      <c r="H1796" s="504"/>
      <c r="I1796" s="504"/>
      <c r="J1796" s="504"/>
      <c r="K1796" s="504"/>
      <c r="L1796" s="504"/>
      <c r="M1796" s="504"/>
      <c r="N1796" s="504"/>
      <c r="O1796" s="110"/>
      <c r="P1796" s="109"/>
      <c r="Q1796" s="504"/>
      <c r="R1796" s="107"/>
      <c r="S1796" s="503"/>
    </row>
    <row r="1797" spans="1:19" ht="9.75" customHeight="1">
      <c r="A1797" s="503"/>
      <c r="B1797" s="503"/>
      <c r="C1797" s="13"/>
      <c r="D1797" s="13" t="s">
        <v>34</v>
      </c>
      <c r="E1797" s="13">
        <v>6</v>
      </c>
      <c r="F1797" s="151">
        <v>1</v>
      </c>
      <c r="G1797" s="504">
        <v>1</v>
      </c>
      <c r="H1797" s="504">
        <v>0</v>
      </c>
      <c r="I1797" s="504">
        <v>0</v>
      </c>
      <c r="J1797" s="504">
        <v>0</v>
      </c>
      <c r="K1797" s="504">
        <v>0</v>
      </c>
      <c r="L1797" s="504">
        <v>1</v>
      </c>
      <c r="M1797" s="504">
        <v>2</v>
      </c>
      <c r="N1797" s="504">
        <v>4</v>
      </c>
      <c r="O1797" s="110">
        <v>5</v>
      </c>
      <c r="P1797" s="109">
        <f>MIN(F1797:O1797)</f>
        <v>0</v>
      </c>
      <c r="Q1797" s="504">
        <f>E1797-P1797</f>
        <v>6</v>
      </c>
      <c r="R1797" s="107">
        <f>Q1797/E1797</f>
        <v>1</v>
      </c>
      <c r="S1797" s="503"/>
    </row>
    <row r="1798" spans="1:19" ht="9.75" customHeight="1">
      <c r="A1798" s="503"/>
      <c r="B1798" s="503"/>
      <c r="C1798" s="13"/>
      <c r="D1798" s="13" t="s">
        <v>35</v>
      </c>
      <c r="E1798" s="13"/>
      <c r="F1798" s="151"/>
      <c r="G1798" s="504"/>
      <c r="H1798" s="504"/>
      <c r="I1798" s="504"/>
      <c r="J1798" s="504"/>
      <c r="K1798" s="504"/>
      <c r="L1798" s="504"/>
      <c r="M1798" s="504"/>
      <c r="N1798" s="504"/>
      <c r="O1798" s="110"/>
      <c r="P1798" s="109"/>
      <c r="Q1798" s="504"/>
      <c r="R1798" s="107"/>
      <c r="S1798" s="503"/>
    </row>
    <row r="1799" spans="1:19" ht="9.75" customHeight="1">
      <c r="A1799" s="503"/>
      <c r="B1799" s="503"/>
      <c r="C1799" s="13"/>
      <c r="D1799" s="13" t="s">
        <v>36</v>
      </c>
      <c r="E1799" s="13"/>
      <c r="F1799" s="151"/>
      <c r="G1799" s="504"/>
      <c r="H1799" s="504"/>
      <c r="I1799" s="504"/>
      <c r="J1799" s="504"/>
      <c r="K1799" s="504"/>
      <c r="L1799" s="504"/>
      <c r="M1799" s="504"/>
      <c r="N1799" s="504"/>
      <c r="O1799" s="110"/>
      <c r="P1799" s="109"/>
      <c r="Q1799" s="504"/>
      <c r="R1799" s="107"/>
      <c r="S1799" s="503"/>
    </row>
    <row r="1800" spans="1:19" ht="9.75" customHeight="1">
      <c r="A1800" s="503"/>
      <c r="B1800" s="503"/>
      <c r="C1800" s="13"/>
      <c r="D1800" s="13" t="s">
        <v>37</v>
      </c>
      <c r="E1800" s="13">
        <v>3</v>
      </c>
      <c r="F1800" s="151">
        <v>3</v>
      </c>
      <c r="G1800" s="504">
        <v>2</v>
      </c>
      <c r="H1800" s="504">
        <v>3</v>
      </c>
      <c r="I1800" s="504">
        <v>0</v>
      </c>
      <c r="J1800" s="504">
        <v>1</v>
      </c>
      <c r="K1800" s="504">
        <v>1</v>
      </c>
      <c r="L1800" s="504">
        <v>1</v>
      </c>
      <c r="M1800" s="504">
        <v>1</v>
      </c>
      <c r="N1800" s="504">
        <v>0</v>
      </c>
      <c r="O1800" s="110">
        <v>1</v>
      </c>
      <c r="P1800" s="109">
        <f t="shared" ref="P1800:P1801" si="340">MIN(F1800:O1800)</f>
        <v>0</v>
      </c>
      <c r="Q1800" s="504">
        <f t="shared" ref="Q1800:Q1801" si="341">E1800-P1800</f>
        <v>3</v>
      </c>
      <c r="R1800" s="107">
        <f t="shared" ref="R1800:R1801" si="342">Q1800/E1800</f>
        <v>1</v>
      </c>
      <c r="S1800" s="503"/>
    </row>
    <row r="1801" spans="1:19" ht="9.75" customHeight="1">
      <c r="A1801" s="503"/>
      <c r="B1801" s="503" t="s">
        <v>127</v>
      </c>
      <c r="C1801" s="2"/>
      <c r="D1801" s="3" t="s">
        <v>38</v>
      </c>
      <c r="E1801" s="3">
        <f t="shared" ref="E1801:O1801" si="343">SUM(E1785:E1800)</f>
        <v>53</v>
      </c>
      <c r="F1801" s="21">
        <f t="shared" si="343"/>
        <v>11</v>
      </c>
      <c r="G1801" s="71">
        <f t="shared" si="343"/>
        <v>17</v>
      </c>
      <c r="H1801" s="71">
        <f t="shared" si="343"/>
        <v>7</v>
      </c>
      <c r="I1801" s="71">
        <f t="shared" si="343"/>
        <v>5</v>
      </c>
      <c r="J1801" s="71">
        <f t="shared" si="343"/>
        <v>5</v>
      </c>
      <c r="K1801" s="71">
        <f t="shared" si="343"/>
        <v>5</v>
      </c>
      <c r="L1801" s="71">
        <f t="shared" si="343"/>
        <v>6</v>
      </c>
      <c r="M1801" s="71">
        <f t="shared" si="343"/>
        <v>6</v>
      </c>
      <c r="N1801" s="71">
        <f t="shared" si="343"/>
        <v>6</v>
      </c>
      <c r="O1801" s="26">
        <f t="shared" si="343"/>
        <v>8</v>
      </c>
      <c r="P1801" s="21">
        <f t="shared" si="340"/>
        <v>5</v>
      </c>
      <c r="Q1801" s="71">
        <f t="shared" si="341"/>
        <v>48</v>
      </c>
      <c r="R1801" s="7">
        <f t="shared" si="342"/>
        <v>0.90566037735849059</v>
      </c>
      <c r="S1801" s="503"/>
    </row>
    <row r="1802" spans="1:19" ht="9.75" customHeight="1">
      <c r="A1802" s="503"/>
      <c r="B1802" s="503"/>
      <c r="C1802" s="43" t="s">
        <v>313</v>
      </c>
      <c r="D1802" s="43" t="s">
        <v>23</v>
      </c>
      <c r="E1802" s="43"/>
      <c r="F1802" s="116"/>
      <c r="G1802" s="128"/>
      <c r="H1802" s="128"/>
      <c r="I1802" s="128"/>
      <c r="J1802" s="128"/>
      <c r="K1802" s="128"/>
      <c r="L1802" s="128"/>
      <c r="M1802" s="128"/>
      <c r="N1802" s="128"/>
      <c r="O1802" s="129"/>
      <c r="P1802" s="116"/>
      <c r="Q1802" s="128"/>
      <c r="R1802" s="141"/>
      <c r="S1802" s="503"/>
    </row>
    <row r="1803" spans="1:19" ht="9.75" customHeight="1">
      <c r="A1803" s="503"/>
      <c r="B1803" s="503"/>
      <c r="C1803" s="13"/>
      <c r="D1803" s="13" t="s">
        <v>25</v>
      </c>
      <c r="E1803" s="13"/>
      <c r="F1803" s="151"/>
      <c r="G1803" s="504"/>
      <c r="H1803" s="504"/>
      <c r="I1803" s="504"/>
      <c r="J1803" s="504"/>
      <c r="K1803" s="504"/>
      <c r="L1803" s="504"/>
      <c r="M1803" s="504"/>
      <c r="N1803" s="504"/>
      <c r="O1803" s="110"/>
      <c r="P1803" s="109"/>
      <c r="Q1803" s="504"/>
      <c r="R1803" s="107"/>
      <c r="S1803" s="503"/>
    </row>
    <row r="1804" spans="1:19" ht="9.75" customHeight="1">
      <c r="A1804" s="503"/>
      <c r="B1804" s="503"/>
      <c r="C1804" s="13"/>
      <c r="D1804" s="13" t="s">
        <v>27</v>
      </c>
      <c r="E1804" s="13"/>
      <c r="F1804" s="151"/>
      <c r="G1804" s="504"/>
      <c r="H1804" s="504"/>
      <c r="I1804" s="504"/>
      <c r="J1804" s="504"/>
      <c r="K1804" s="504"/>
      <c r="L1804" s="504"/>
      <c r="M1804" s="504"/>
      <c r="N1804" s="504"/>
      <c r="O1804" s="110"/>
      <c r="P1804" s="109"/>
      <c r="Q1804" s="504"/>
      <c r="R1804" s="107"/>
      <c r="S1804" s="503"/>
    </row>
    <row r="1805" spans="1:19" ht="9.75" customHeight="1">
      <c r="A1805" s="503"/>
      <c r="B1805" s="503"/>
      <c r="C1805" s="13"/>
      <c r="D1805" s="13" t="s">
        <v>115</v>
      </c>
      <c r="E1805" s="13"/>
      <c r="F1805" s="151"/>
      <c r="G1805" s="504"/>
      <c r="H1805" s="504"/>
      <c r="I1805" s="504"/>
      <c r="J1805" s="504"/>
      <c r="K1805" s="504"/>
      <c r="L1805" s="504"/>
      <c r="M1805" s="504"/>
      <c r="N1805" s="504"/>
      <c r="O1805" s="110"/>
      <c r="P1805" s="109"/>
      <c r="Q1805" s="504"/>
      <c r="R1805" s="107"/>
      <c r="S1805" s="503"/>
    </row>
    <row r="1806" spans="1:19" ht="9.75" customHeight="1">
      <c r="A1806" s="503"/>
      <c r="B1806" s="503"/>
      <c r="C1806" s="13"/>
      <c r="D1806" s="13" t="s">
        <v>115</v>
      </c>
      <c r="E1806" s="13"/>
      <c r="F1806" s="151"/>
      <c r="G1806" s="504"/>
      <c r="H1806" s="504"/>
      <c r="I1806" s="504"/>
      <c r="J1806" s="504"/>
      <c r="K1806" s="504"/>
      <c r="L1806" s="504"/>
      <c r="M1806" s="504"/>
      <c r="N1806" s="504"/>
      <c r="O1806" s="110"/>
      <c r="P1806" s="109"/>
      <c r="Q1806" s="504"/>
      <c r="R1806" s="107"/>
      <c r="S1806" s="503"/>
    </row>
    <row r="1807" spans="1:19" ht="9.75" customHeight="1">
      <c r="A1807" s="503"/>
      <c r="B1807" s="503"/>
      <c r="C1807" s="13"/>
      <c r="D1807" s="13" t="s">
        <v>32</v>
      </c>
      <c r="E1807" s="13">
        <v>4</v>
      </c>
      <c r="F1807" s="151">
        <v>3</v>
      </c>
      <c r="G1807" s="504">
        <v>3</v>
      </c>
      <c r="H1807" s="504">
        <v>3</v>
      </c>
      <c r="I1807" s="504">
        <v>3</v>
      </c>
      <c r="J1807" s="504">
        <v>3</v>
      </c>
      <c r="K1807" s="504">
        <v>2</v>
      </c>
      <c r="L1807" s="504">
        <v>3</v>
      </c>
      <c r="M1807" s="504">
        <v>3</v>
      </c>
      <c r="N1807" s="504">
        <v>3</v>
      </c>
      <c r="O1807" s="110">
        <v>2</v>
      </c>
      <c r="P1807" s="109">
        <f>MIN(F1807:O1807)</f>
        <v>2</v>
      </c>
      <c r="Q1807" s="504">
        <f>E1807-P1807</f>
        <v>2</v>
      </c>
      <c r="R1807" s="107">
        <f>Q1807/E1807</f>
        <v>0.5</v>
      </c>
      <c r="S1807" s="503"/>
    </row>
    <row r="1808" spans="1:19" ht="9.75" customHeight="1">
      <c r="A1808" s="503"/>
      <c r="B1808" s="503"/>
      <c r="C1808" s="13"/>
      <c r="D1808" s="13" t="s">
        <v>120</v>
      </c>
      <c r="E1808" s="13"/>
      <c r="F1808" s="151"/>
      <c r="G1808" s="504"/>
      <c r="H1808" s="504"/>
      <c r="I1808" s="504"/>
      <c r="J1808" s="504"/>
      <c r="K1808" s="504"/>
      <c r="L1808" s="504"/>
      <c r="M1808" s="504"/>
      <c r="N1808" s="504"/>
      <c r="O1808" s="110"/>
      <c r="P1808" s="109"/>
      <c r="Q1808" s="504"/>
      <c r="R1808" s="107"/>
      <c r="S1808" s="503"/>
    </row>
    <row r="1809" spans="1:19" ht="9.75" customHeight="1">
      <c r="A1809" s="503"/>
      <c r="B1809" s="503"/>
      <c r="C1809" s="13"/>
      <c r="D1809" s="13" t="s">
        <v>120</v>
      </c>
      <c r="E1809" s="13"/>
      <c r="F1809" s="151"/>
      <c r="G1809" s="504"/>
      <c r="H1809" s="504"/>
      <c r="I1809" s="504"/>
      <c r="J1809" s="504"/>
      <c r="K1809" s="504"/>
      <c r="L1809" s="504"/>
      <c r="M1809" s="504"/>
      <c r="N1809" s="504"/>
      <c r="O1809" s="110"/>
      <c r="P1809" s="109"/>
      <c r="Q1809" s="504"/>
      <c r="R1809" s="107"/>
      <c r="S1809" s="503"/>
    </row>
    <row r="1810" spans="1:19" ht="9.75" customHeight="1">
      <c r="A1810" s="503"/>
      <c r="B1810" s="503"/>
      <c r="C1810" s="13"/>
      <c r="D1810" s="13" t="s">
        <v>120</v>
      </c>
      <c r="E1810" s="13"/>
      <c r="F1810" s="151"/>
      <c r="G1810" s="504"/>
      <c r="H1810" s="504"/>
      <c r="I1810" s="504"/>
      <c r="J1810" s="504"/>
      <c r="K1810" s="504"/>
      <c r="L1810" s="504"/>
      <c r="M1810" s="504"/>
      <c r="N1810" s="504"/>
      <c r="O1810" s="110"/>
      <c r="P1810" s="109"/>
      <c r="Q1810" s="504"/>
      <c r="R1810" s="107"/>
      <c r="S1810" s="503"/>
    </row>
    <row r="1811" spans="1:19" ht="9.75" customHeight="1">
      <c r="A1811" s="503"/>
      <c r="B1811" s="503"/>
      <c r="C1811" s="13"/>
      <c r="D1811" s="13" t="s">
        <v>120</v>
      </c>
      <c r="E1811" s="13"/>
      <c r="F1811" s="151"/>
      <c r="G1811" s="504"/>
      <c r="H1811" s="504"/>
      <c r="I1811" s="504"/>
      <c r="J1811" s="504"/>
      <c r="K1811" s="504"/>
      <c r="L1811" s="504"/>
      <c r="M1811" s="504"/>
      <c r="N1811" s="504"/>
      <c r="O1811" s="110"/>
      <c r="P1811" s="109"/>
      <c r="Q1811" s="504"/>
      <c r="R1811" s="107"/>
      <c r="S1811" s="503"/>
    </row>
    <row r="1812" spans="1:19" ht="9.75" customHeight="1">
      <c r="A1812" s="503"/>
      <c r="B1812" s="503"/>
      <c r="C1812" s="13"/>
      <c r="D1812" s="13" t="s">
        <v>120</v>
      </c>
      <c r="E1812" s="13"/>
      <c r="F1812" s="151"/>
      <c r="G1812" s="504"/>
      <c r="H1812" s="504"/>
      <c r="I1812" s="504"/>
      <c r="J1812" s="504"/>
      <c r="K1812" s="504"/>
      <c r="L1812" s="504"/>
      <c r="M1812" s="504"/>
      <c r="N1812" s="504"/>
      <c r="O1812" s="110"/>
      <c r="P1812" s="109"/>
      <c r="Q1812" s="504"/>
      <c r="R1812" s="107"/>
      <c r="S1812" s="503"/>
    </row>
    <row r="1813" spans="1:19" ht="9.75" customHeight="1">
      <c r="A1813" s="503"/>
      <c r="B1813" s="503"/>
      <c r="C1813" s="13"/>
      <c r="D1813" s="13" t="s">
        <v>120</v>
      </c>
      <c r="E1813" s="13"/>
      <c r="F1813" s="151"/>
      <c r="G1813" s="504"/>
      <c r="H1813" s="504"/>
      <c r="I1813" s="504"/>
      <c r="J1813" s="504"/>
      <c r="K1813" s="504"/>
      <c r="L1813" s="504"/>
      <c r="M1813" s="504"/>
      <c r="N1813" s="504"/>
      <c r="O1813" s="110"/>
      <c r="P1813" s="109"/>
      <c r="Q1813" s="504"/>
      <c r="R1813" s="107"/>
      <c r="S1813" s="503"/>
    </row>
    <row r="1814" spans="1:19" ht="9.75" customHeight="1">
      <c r="A1814" s="503"/>
      <c r="B1814" s="503"/>
      <c r="C1814" s="13"/>
      <c r="D1814" s="13" t="s">
        <v>34</v>
      </c>
      <c r="E1814" s="13"/>
      <c r="F1814" s="151"/>
      <c r="G1814" s="504"/>
      <c r="H1814" s="504"/>
      <c r="I1814" s="504"/>
      <c r="J1814" s="504"/>
      <c r="K1814" s="504"/>
      <c r="L1814" s="504"/>
      <c r="M1814" s="504"/>
      <c r="N1814" s="504"/>
      <c r="O1814" s="110"/>
      <c r="P1814" s="109"/>
      <c r="Q1814" s="504"/>
      <c r="R1814" s="107"/>
      <c r="S1814" s="503"/>
    </row>
    <row r="1815" spans="1:19" ht="9.75" customHeight="1">
      <c r="A1815" s="503"/>
      <c r="B1815" s="503"/>
      <c r="C1815" s="13"/>
      <c r="D1815" s="13" t="s">
        <v>35</v>
      </c>
      <c r="E1815" s="13"/>
      <c r="F1815" s="151"/>
      <c r="G1815" s="504"/>
      <c r="H1815" s="504"/>
      <c r="I1815" s="504"/>
      <c r="J1815" s="504"/>
      <c r="K1815" s="504"/>
      <c r="L1815" s="504"/>
      <c r="M1815" s="504"/>
      <c r="N1815" s="504"/>
      <c r="O1815" s="110"/>
      <c r="P1815" s="109"/>
      <c r="Q1815" s="504"/>
      <c r="R1815" s="107"/>
      <c r="S1815" s="503"/>
    </row>
    <row r="1816" spans="1:19" ht="9.75" customHeight="1">
      <c r="A1816" s="503"/>
      <c r="B1816" s="503"/>
      <c r="C1816" s="13"/>
      <c r="D1816" s="13" t="s">
        <v>36</v>
      </c>
      <c r="E1816" s="13">
        <v>1</v>
      </c>
      <c r="F1816" s="151">
        <v>1</v>
      </c>
      <c r="G1816" s="504">
        <v>1</v>
      </c>
      <c r="H1816" s="504">
        <v>1</v>
      </c>
      <c r="I1816" s="504">
        <v>1</v>
      </c>
      <c r="J1816" s="504">
        <v>1</v>
      </c>
      <c r="K1816" s="504">
        <v>0</v>
      </c>
      <c r="L1816" s="504">
        <v>1</v>
      </c>
      <c r="M1816" s="504">
        <v>1</v>
      </c>
      <c r="N1816" s="504">
        <v>1</v>
      </c>
      <c r="O1816" s="110">
        <v>1</v>
      </c>
      <c r="P1816" s="109">
        <f>MIN(F1816:O1816)</f>
        <v>0</v>
      </c>
      <c r="Q1816" s="504">
        <f>E1816-P1816</f>
        <v>1</v>
      </c>
      <c r="R1816" s="107">
        <f>Q1816/E1816</f>
        <v>1</v>
      </c>
      <c r="S1816" s="503"/>
    </row>
    <row r="1817" spans="1:19" ht="9.75" customHeight="1">
      <c r="A1817" s="503"/>
      <c r="B1817" s="503"/>
      <c r="C1817" s="13"/>
      <c r="D1817" s="13" t="s">
        <v>37</v>
      </c>
      <c r="E1817" s="13"/>
      <c r="F1817" s="151"/>
      <c r="G1817" s="504"/>
      <c r="H1817" s="504"/>
      <c r="I1817" s="504"/>
      <c r="J1817" s="504"/>
      <c r="K1817" s="504"/>
      <c r="L1817" s="504"/>
      <c r="M1817" s="504"/>
      <c r="N1817" s="504"/>
      <c r="O1817" s="110"/>
      <c r="P1817" s="109"/>
      <c r="Q1817" s="504"/>
      <c r="R1817" s="107"/>
      <c r="S1817" s="503"/>
    </row>
    <row r="1818" spans="1:19" ht="9.75" customHeight="1">
      <c r="A1818" s="503"/>
      <c r="B1818" s="503" t="s">
        <v>127</v>
      </c>
      <c r="C1818" s="2"/>
      <c r="D1818" s="3" t="s">
        <v>38</v>
      </c>
      <c r="E1818" s="3">
        <f t="shared" ref="E1818:O1818" si="344">SUM(E1802:E1817)</f>
        <v>5</v>
      </c>
      <c r="F1818" s="21">
        <f t="shared" si="344"/>
        <v>4</v>
      </c>
      <c r="G1818" s="71">
        <f t="shared" si="344"/>
        <v>4</v>
      </c>
      <c r="H1818" s="71">
        <f t="shared" si="344"/>
        <v>4</v>
      </c>
      <c r="I1818" s="71">
        <f t="shared" si="344"/>
        <v>4</v>
      </c>
      <c r="J1818" s="71">
        <f t="shared" si="344"/>
        <v>4</v>
      </c>
      <c r="K1818" s="71">
        <f t="shared" si="344"/>
        <v>2</v>
      </c>
      <c r="L1818" s="71">
        <f t="shared" si="344"/>
        <v>4</v>
      </c>
      <c r="M1818" s="71">
        <f t="shared" si="344"/>
        <v>4</v>
      </c>
      <c r="N1818" s="71">
        <f t="shared" si="344"/>
        <v>4</v>
      </c>
      <c r="O1818" s="26">
        <f t="shared" si="344"/>
        <v>3</v>
      </c>
      <c r="P1818" s="21">
        <f>MIN(F1818:O1818)</f>
        <v>2</v>
      </c>
      <c r="Q1818" s="71">
        <f>E1818-P1818</f>
        <v>3</v>
      </c>
      <c r="R1818" s="7">
        <f>Q1818/E1818</f>
        <v>0.6</v>
      </c>
      <c r="S1818" s="503"/>
    </row>
    <row r="1819" spans="1:19" ht="9.75" customHeight="1">
      <c r="A1819" s="503"/>
      <c r="B1819" s="503"/>
      <c r="C1819" s="43" t="s">
        <v>314</v>
      </c>
      <c r="D1819" s="43" t="s">
        <v>23</v>
      </c>
      <c r="E1819" s="13">
        <v>3</v>
      </c>
      <c r="F1819" s="109">
        <v>0</v>
      </c>
      <c r="G1819" s="504">
        <v>1</v>
      </c>
      <c r="H1819" s="504">
        <v>0</v>
      </c>
      <c r="I1819" s="504">
        <v>0</v>
      </c>
      <c r="J1819" s="504">
        <v>0</v>
      </c>
      <c r="K1819" s="504">
        <v>0</v>
      </c>
      <c r="L1819" s="504">
        <v>1</v>
      </c>
      <c r="M1819" s="504">
        <v>0</v>
      </c>
      <c r="N1819" s="504">
        <v>0</v>
      </c>
      <c r="O1819" s="110">
        <v>0</v>
      </c>
      <c r="P1819" s="109">
        <f>MIN(F1819:O1819)</f>
        <v>0</v>
      </c>
      <c r="Q1819" s="504">
        <f>E1819-P1819</f>
        <v>3</v>
      </c>
      <c r="R1819" s="107">
        <f>Q1819/E1819</f>
        <v>1</v>
      </c>
      <c r="S1819" s="503"/>
    </row>
    <row r="1820" spans="1:19" ht="9.75" customHeight="1">
      <c r="A1820" s="503"/>
      <c r="B1820" s="503"/>
      <c r="C1820" s="13"/>
      <c r="D1820" s="13" t="s">
        <v>25</v>
      </c>
      <c r="E1820" s="13"/>
      <c r="F1820" s="109"/>
      <c r="G1820" s="504"/>
      <c r="H1820" s="504"/>
      <c r="I1820" s="504"/>
      <c r="J1820" s="504"/>
      <c r="K1820" s="504"/>
      <c r="L1820" s="504"/>
      <c r="M1820" s="504"/>
      <c r="N1820" s="504"/>
      <c r="O1820" s="110"/>
      <c r="P1820" s="109"/>
      <c r="Q1820" s="504"/>
      <c r="R1820" s="107"/>
      <c r="S1820" s="503"/>
    </row>
    <row r="1821" spans="1:19" ht="9.75" customHeight="1">
      <c r="A1821" s="503"/>
      <c r="B1821" s="503"/>
      <c r="C1821" s="13"/>
      <c r="D1821" s="13" t="s">
        <v>27</v>
      </c>
      <c r="E1821" s="13"/>
      <c r="F1821" s="109"/>
      <c r="G1821" s="504"/>
      <c r="H1821" s="504"/>
      <c r="I1821" s="504"/>
      <c r="J1821" s="504"/>
      <c r="K1821" s="504"/>
      <c r="L1821" s="504"/>
      <c r="M1821" s="504"/>
      <c r="N1821" s="504"/>
      <c r="O1821" s="110"/>
      <c r="P1821" s="109"/>
      <c r="Q1821" s="504"/>
      <c r="R1821" s="107"/>
      <c r="S1821" s="503"/>
    </row>
    <row r="1822" spans="1:19" ht="9.75" customHeight="1">
      <c r="A1822" s="503"/>
      <c r="B1822" s="503"/>
      <c r="C1822" s="13"/>
      <c r="D1822" s="13" t="s">
        <v>198</v>
      </c>
      <c r="E1822" s="13">
        <v>12</v>
      </c>
      <c r="F1822" s="109">
        <v>1</v>
      </c>
      <c r="G1822" s="504">
        <v>2</v>
      </c>
      <c r="H1822" s="504">
        <v>0</v>
      </c>
      <c r="I1822" s="504">
        <v>0</v>
      </c>
      <c r="J1822" s="504">
        <v>1</v>
      </c>
      <c r="K1822" s="504">
        <v>0</v>
      </c>
      <c r="L1822" s="504">
        <v>0</v>
      </c>
      <c r="M1822" s="504">
        <v>1</v>
      </c>
      <c r="N1822" s="504">
        <v>0</v>
      </c>
      <c r="O1822" s="110">
        <v>0</v>
      </c>
      <c r="P1822" s="109">
        <f>MIN(F1822:O1822)</f>
        <v>0</v>
      </c>
      <c r="Q1822" s="504">
        <f>E1822-P1822</f>
        <v>12</v>
      </c>
      <c r="R1822" s="107">
        <f>Q1822/E1822</f>
        <v>1</v>
      </c>
      <c r="S1822" s="503"/>
    </row>
    <row r="1823" spans="1:19" ht="9.75" customHeight="1">
      <c r="A1823" s="503"/>
      <c r="B1823" s="503"/>
      <c r="C1823" s="13"/>
      <c r="D1823" s="13" t="s">
        <v>115</v>
      </c>
      <c r="E1823" s="13"/>
      <c r="F1823" s="109"/>
      <c r="G1823" s="504"/>
      <c r="H1823" s="504"/>
      <c r="I1823" s="504"/>
      <c r="J1823" s="504"/>
      <c r="K1823" s="504"/>
      <c r="L1823" s="504"/>
      <c r="M1823" s="504"/>
      <c r="N1823" s="504"/>
      <c r="O1823" s="110"/>
      <c r="P1823" s="109"/>
      <c r="Q1823" s="504"/>
      <c r="R1823" s="107"/>
      <c r="S1823" s="503"/>
    </row>
    <row r="1824" spans="1:19" ht="9.75" customHeight="1">
      <c r="A1824" s="503"/>
      <c r="B1824" s="503"/>
      <c r="C1824" s="13"/>
      <c r="D1824" s="13" t="s">
        <v>32</v>
      </c>
      <c r="E1824" s="13"/>
      <c r="F1824" s="109"/>
      <c r="G1824" s="504"/>
      <c r="H1824" s="504"/>
      <c r="I1824" s="504"/>
      <c r="J1824" s="504"/>
      <c r="K1824" s="504"/>
      <c r="L1824" s="504"/>
      <c r="M1824" s="504"/>
      <c r="N1824" s="504"/>
      <c r="O1824" s="110"/>
      <c r="P1824" s="109"/>
      <c r="Q1824" s="504"/>
      <c r="R1824" s="107"/>
      <c r="S1824" s="503"/>
    </row>
    <row r="1825" spans="1:19" ht="9.75" customHeight="1">
      <c r="A1825" s="503"/>
      <c r="B1825" s="503"/>
      <c r="C1825" s="13"/>
      <c r="D1825" s="13" t="s">
        <v>120</v>
      </c>
      <c r="E1825" s="13"/>
      <c r="F1825" s="109"/>
      <c r="G1825" s="504"/>
      <c r="H1825" s="504"/>
      <c r="I1825" s="504"/>
      <c r="J1825" s="504"/>
      <c r="K1825" s="504"/>
      <c r="L1825" s="504"/>
      <c r="M1825" s="504"/>
      <c r="N1825" s="504"/>
      <c r="O1825" s="110"/>
      <c r="P1825" s="109"/>
      <c r="Q1825" s="504"/>
      <c r="R1825" s="107"/>
      <c r="S1825" s="503"/>
    </row>
    <row r="1826" spans="1:19" ht="9.75" customHeight="1">
      <c r="A1826" s="503"/>
      <c r="B1826" s="503"/>
      <c r="C1826" s="13"/>
      <c r="D1826" s="13" t="s">
        <v>120</v>
      </c>
      <c r="E1826" s="13"/>
      <c r="F1826" s="109"/>
      <c r="G1826" s="504"/>
      <c r="H1826" s="504"/>
      <c r="I1826" s="504"/>
      <c r="J1826" s="504"/>
      <c r="K1826" s="504"/>
      <c r="L1826" s="504"/>
      <c r="M1826" s="504"/>
      <c r="N1826" s="504"/>
      <c r="O1826" s="110"/>
      <c r="P1826" s="109"/>
      <c r="Q1826" s="504"/>
      <c r="R1826" s="107"/>
      <c r="S1826" s="503"/>
    </row>
    <row r="1827" spans="1:19" ht="9.75" customHeight="1">
      <c r="A1827" s="503"/>
      <c r="B1827" s="503"/>
      <c r="C1827" s="13"/>
      <c r="D1827" s="13" t="s">
        <v>120</v>
      </c>
      <c r="E1827" s="13"/>
      <c r="F1827" s="109"/>
      <c r="G1827" s="504"/>
      <c r="H1827" s="504"/>
      <c r="I1827" s="504"/>
      <c r="J1827" s="504"/>
      <c r="K1827" s="504"/>
      <c r="L1827" s="504"/>
      <c r="M1827" s="504"/>
      <c r="N1827" s="504"/>
      <c r="O1827" s="110"/>
      <c r="P1827" s="109"/>
      <c r="Q1827" s="504"/>
      <c r="R1827" s="107"/>
      <c r="S1827" s="503"/>
    </row>
    <row r="1828" spans="1:19" ht="9.75" customHeight="1">
      <c r="A1828" s="503"/>
      <c r="B1828" s="503"/>
      <c r="C1828" s="13"/>
      <c r="D1828" s="13" t="s">
        <v>120</v>
      </c>
      <c r="E1828" s="13"/>
      <c r="F1828" s="109"/>
      <c r="G1828" s="504"/>
      <c r="H1828" s="504"/>
      <c r="I1828" s="504"/>
      <c r="J1828" s="504"/>
      <c r="K1828" s="504"/>
      <c r="L1828" s="504"/>
      <c r="M1828" s="504"/>
      <c r="N1828" s="504"/>
      <c r="O1828" s="110"/>
      <c r="P1828" s="109"/>
      <c r="Q1828" s="504"/>
      <c r="R1828" s="107"/>
      <c r="S1828" s="503"/>
    </row>
    <row r="1829" spans="1:19" ht="9.75" customHeight="1">
      <c r="A1829" s="503"/>
      <c r="B1829" s="503"/>
      <c r="C1829" s="13"/>
      <c r="D1829" s="13" t="s">
        <v>120</v>
      </c>
      <c r="E1829" s="13"/>
      <c r="F1829" s="109"/>
      <c r="G1829" s="504"/>
      <c r="H1829" s="504"/>
      <c r="I1829" s="504"/>
      <c r="J1829" s="504"/>
      <c r="K1829" s="504"/>
      <c r="L1829" s="504"/>
      <c r="M1829" s="504"/>
      <c r="N1829" s="504"/>
      <c r="O1829" s="110"/>
      <c r="P1829" s="109"/>
      <c r="Q1829" s="504"/>
      <c r="R1829" s="107"/>
      <c r="S1829" s="503"/>
    </row>
    <row r="1830" spans="1:19" ht="9.75" customHeight="1">
      <c r="A1830" s="503"/>
      <c r="B1830" s="503"/>
      <c r="C1830" s="13"/>
      <c r="D1830" s="13" t="s">
        <v>120</v>
      </c>
      <c r="E1830" s="13"/>
      <c r="F1830" s="109"/>
      <c r="G1830" s="504"/>
      <c r="H1830" s="504"/>
      <c r="I1830" s="504"/>
      <c r="J1830" s="504"/>
      <c r="K1830" s="504"/>
      <c r="L1830" s="504"/>
      <c r="M1830" s="504"/>
      <c r="N1830" s="504"/>
      <c r="O1830" s="110"/>
      <c r="P1830" s="109"/>
      <c r="Q1830" s="504"/>
      <c r="R1830" s="107"/>
      <c r="S1830" s="503"/>
    </row>
    <row r="1831" spans="1:19" ht="9.75" customHeight="1">
      <c r="A1831" s="503"/>
      <c r="B1831" s="503"/>
      <c r="C1831" s="13"/>
      <c r="D1831" s="13" t="s">
        <v>34</v>
      </c>
      <c r="E1831" s="13">
        <v>2</v>
      </c>
      <c r="F1831" s="109">
        <v>1</v>
      </c>
      <c r="G1831" s="504">
        <v>1</v>
      </c>
      <c r="H1831" s="504">
        <v>2</v>
      </c>
      <c r="I1831" s="504">
        <v>2</v>
      </c>
      <c r="J1831" s="504">
        <v>2</v>
      </c>
      <c r="K1831" s="504">
        <v>2</v>
      </c>
      <c r="L1831" s="504">
        <v>2</v>
      </c>
      <c r="M1831" s="504">
        <v>2</v>
      </c>
      <c r="N1831" s="504">
        <v>2</v>
      </c>
      <c r="O1831" s="110">
        <v>1</v>
      </c>
      <c r="P1831" s="109">
        <f t="shared" ref="P1831:P1833" si="345">MIN(F1831:O1831)</f>
        <v>1</v>
      </c>
      <c r="Q1831" s="504">
        <f t="shared" ref="Q1831:Q1833" si="346">E1831-P1831</f>
        <v>1</v>
      </c>
      <c r="R1831" s="107">
        <f t="shared" ref="R1831:R1833" si="347">Q1831/E1831</f>
        <v>0.5</v>
      </c>
      <c r="S1831" s="503"/>
    </row>
    <row r="1832" spans="1:19" ht="9.75" customHeight="1">
      <c r="A1832" s="503"/>
      <c r="B1832" s="503"/>
      <c r="C1832" s="13"/>
      <c r="D1832" s="13" t="s">
        <v>35</v>
      </c>
      <c r="E1832" s="13">
        <v>2</v>
      </c>
      <c r="F1832" s="109">
        <v>0</v>
      </c>
      <c r="G1832" s="504">
        <v>1</v>
      </c>
      <c r="H1832" s="504">
        <v>1</v>
      </c>
      <c r="I1832" s="504">
        <v>0</v>
      </c>
      <c r="J1832" s="504">
        <v>0</v>
      </c>
      <c r="K1832" s="504">
        <v>0</v>
      </c>
      <c r="L1832" s="504">
        <v>0</v>
      </c>
      <c r="M1832" s="504">
        <v>1</v>
      </c>
      <c r="N1832" s="504">
        <v>1</v>
      </c>
      <c r="O1832" s="110">
        <v>1</v>
      </c>
      <c r="P1832" s="109">
        <f t="shared" si="345"/>
        <v>0</v>
      </c>
      <c r="Q1832" s="504">
        <f t="shared" si="346"/>
        <v>2</v>
      </c>
      <c r="R1832" s="107">
        <f t="shared" si="347"/>
        <v>1</v>
      </c>
      <c r="S1832" s="503"/>
    </row>
    <row r="1833" spans="1:19" ht="9.75" customHeight="1">
      <c r="A1833" s="503"/>
      <c r="B1833" s="503"/>
      <c r="C1833" s="13"/>
      <c r="D1833" s="13" t="s">
        <v>36</v>
      </c>
      <c r="E1833" s="13">
        <v>1</v>
      </c>
      <c r="F1833" s="109">
        <v>2</v>
      </c>
      <c r="G1833" s="504">
        <v>1</v>
      </c>
      <c r="H1833" s="504">
        <v>0</v>
      </c>
      <c r="I1833" s="504">
        <v>0</v>
      </c>
      <c r="J1833" s="504">
        <v>0</v>
      </c>
      <c r="K1833" s="504">
        <v>0</v>
      </c>
      <c r="L1833" s="504">
        <v>1</v>
      </c>
      <c r="M1833" s="504">
        <v>1</v>
      </c>
      <c r="N1833" s="504">
        <v>1</v>
      </c>
      <c r="O1833" s="110">
        <v>0</v>
      </c>
      <c r="P1833" s="109">
        <f t="shared" si="345"/>
        <v>0</v>
      </c>
      <c r="Q1833" s="504">
        <f t="shared" si="346"/>
        <v>1</v>
      </c>
      <c r="R1833" s="107">
        <f t="shared" si="347"/>
        <v>1</v>
      </c>
      <c r="S1833" s="503"/>
    </row>
    <row r="1834" spans="1:19" ht="9.75" customHeight="1">
      <c r="A1834" s="503"/>
      <c r="B1834" s="503"/>
      <c r="C1834" s="13"/>
      <c r="D1834" s="13" t="s">
        <v>37</v>
      </c>
      <c r="E1834" s="13"/>
      <c r="F1834" s="109"/>
      <c r="G1834" s="504"/>
      <c r="H1834" s="504"/>
      <c r="I1834" s="504"/>
      <c r="J1834" s="504"/>
      <c r="K1834" s="504"/>
      <c r="L1834" s="504"/>
      <c r="M1834" s="504"/>
      <c r="N1834" s="504"/>
      <c r="O1834" s="110"/>
      <c r="P1834" s="109"/>
      <c r="Q1834" s="504"/>
      <c r="R1834" s="107"/>
      <c r="S1834" s="503"/>
    </row>
    <row r="1835" spans="1:19" ht="9.75" customHeight="1">
      <c r="A1835" s="503"/>
      <c r="B1835" s="503" t="s">
        <v>127</v>
      </c>
      <c r="C1835" s="2"/>
      <c r="D1835" s="3" t="s">
        <v>38</v>
      </c>
      <c r="E1835" s="3">
        <f t="shared" ref="E1835:O1835" si="348">SUM(E1819:E1834)</f>
        <v>20</v>
      </c>
      <c r="F1835" s="21">
        <f t="shared" si="348"/>
        <v>4</v>
      </c>
      <c r="G1835" s="71">
        <f t="shared" si="348"/>
        <v>6</v>
      </c>
      <c r="H1835" s="71">
        <f t="shared" si="348"/>
        <v>3</v>
      </c>
      <c r="I1835" s="71">
        <f t="shared" si="348"/>
        <v>2</v>
      </c>
      <c r="J1835" s="71">
        <f t="shared" si="348"/>
        <v>3</v>
      </c>
      <c r="K1835" s="71">
        <f t="shared" si="348"/>
        <v>2</v>
      </c>
      <c r="L1835" s="71">
        <f t="shared" si="348"/>
        <v>4</v>
      </c>
      <c r="M1835" s="71">
        <f t="shared" si="348"/>
        <v>5</v>
      </c>
      <c r="N1835" s="71">
        <f t="shared" si="348"/>
        <v>4</v>
      </c>
      <c r="O1835" s="26">
        <f t="shared" si="348"/>
        <v>2</v>
      </c>
      <c r="P1835" s="21">
        <f>MIN(F1835:O1835)</f>
        <v>2</v>
      </c>
      <c r="Q1835" s="71">
        <f>E1835-P1835</f>
        <v>18</v>
      </c>
      <c r="R1835" s="7">
        <f>Q1835/E1835</f>
        <v>0.9</v>
      </c>
      <c r="S1835" s="503"/>
    </row>
    <row r="1836" spans="1:19" ht="9.75" customHeight="1">
      <c r="A1836" s="503"/>
      <c r="B1836" s="503"/>
      <c r="C1836" s="43" t="s">
        <v>315</v>
      </c>
      <c r="D1836" s="43" t="s">
        <v>23</v>
      </c>
      <c r="E1836" s="43"/>
      <c r="F1836" s="152"/>
      <c r="G1836" s="128"/>
      <c r="H1836" s="128"/>
      <c r="I1836" s="128"/>
      <c r="J1836" s="128"/>
      <c r="K1836" s="128"/>
      <c r="L1836" s="128"/>
      <c r="M1836" s="128"/>
      <c r="N1836" s="128"/>
      <c r="O1836" s="129"/>
      <c r="P1836" s="116"/>
      <c r="Q1836" s="128"/>
      <c r="R1836" s="141"/>
      <c r="S1836" s="503"/>
    </row>
    <row r="1837" spans="1:19" ht="9.75" customHeight="1">
      <c r="A1837" s="503"/>
      <c r="B1837" s="503"/>
      <c r="C1837" s="13"/>
      <c r="D1837" s="13" t="s">
        <v>25</v>
      </c>
      <c r="E1837" s="13">
        <v>62</v>
      </c>
      <c r="F1837" s="151">
        <v>19</v>
      </c>
      <c r="G1837" s="504">
        <v>9</v>
      </c>
      <c r="H1837" s="504">
        <v>4</v>
      </c>
      <c r="I1837" s="504">
        <v>5</v>
      </c>
      <c r="J1837" s="504">
        <v>6</v>
      </c>
      <c r="K1837" s="504">
        <v>6</v>
      </c>
      <c r="L1837" s="504">
        <v>10</v>
      </c>
      <c r="M1837" s="504">
        <f>E1837-28</f>
        <v>34</v>
      </c>
      <c r="N1837" s="504">
        <f>E1837-17</f>
        <v>45</v>
      </c>
      <c r="O1837" s="110">
        <f>E1837-13</f>
        <v>49</v>
      </c>
      <c r="P1837" s="109">
        <f>MIN(F1837:O1837)</f>
        <v>4</v>
      </c>
      <c r="Q1837" s="504">
        <f>E1837-P1837</f>
        <v>58</v>
      </c>
      <c r="R1837" s="107">
        <f>Q1837/E1837</f>
        <v>0.93548387096774188</v>
      </c>
      <c r="S1837" s="503"/>
    </row>
    <row r="1838" spans="1:19" ht="9.75" customHeight="1">
      <c r="A1838" s="503"/>
      <c r="B1838" s="503"/>
      <c r="C1838" s="13"/>
      <c r="D1838" s="13" t="s">
        <v>27</v>
      </c>
      <c r="E1838" s="13"/>
      <c r="F1838" s="151"/>
      <c r="G1838" s="504"/>
      <c r="H1838" s="504"/>
      <c r="I1838" s="504"/>
      <c r="J1838" s="504"/>
      <c r="K1838" s="504"/>
      <c r="L1838" s="504"/>
      <c r="M1838" s="504"/>
      <c r="N1838" s="504"/>
      <c r="O1838" s="110"/>
      <c r="P1838" s="109"/>
      <c r="Q1838" s="504"/>
      <c r="R1838" s="107"/>
      <c r="S1838" s="503"/>
    </row>
    <row r="1839" spans="1:19" ht="9.75" customHeight="1">
      <c r="A1839" s="503"/>
      <c r="B1839" s="503"/>
      <c r="C1839" s="13"/>
      <c r="D1839" s="13" t="s">
        <v>198</v>
      </c>
      <c r="E1839" s="13">
        <v>16</v>
      </c>
      <c r="F1839" s="151">
        <v>8</v>
      </c>
      <c r="G1839" s="504">
        <v>9</v>
      </c>
      <c r="H1839" s="504">
        <v>9</v>
      </c>
      <c r="I1839" s="504">
        <v>8</v>
      </c>
      <c r="J1839" s="504">
        <v>10</v>
      </c>
      <c r="K1839" s="504">
        <v>8</v>
      </c>
      <c r="L1839" s="504">
        <v>8</v>
      </c>
      <c r="M1839" s="504">
        <v>9</v>
      </c>
      <c r="N1839" s="504">
        <v>10</v>
      </c>
      <c r="O1839" s="110">
        <v>10</v>
      </c>
      <c r="P1839" s="109">
        <f>MIN(F1839:O1839)</f>
        <v>8</v>
      </c>
      <c r="Q1839" s="504">
        <f>E1839-P1839</f>
        <v>8</v>
      </c>
      <c r="R1839" s="107">
        <f>Q1839/E1839</f>
        <v>0.5</v>
      </c>
      <c r="S1839" s="503"/>
    </row>
    <row r="1840" spans="1:19" ht="9.75" customHeight="1">
      <c r="A1840" s="503"/>
      <c r="B1840" s="503"/>
      <c r="C1840" s="13"/>
      <c r="D1840" s="13" t="s">
        <v>115</v>
      </c>
      <c r="E1840" s="13"/>
      <c r="F1840" s="151"/>
      <c r="G1840" s="504"/>
      <c r="H1840" s="504"/>
      <c r="I1840" s="504"/>
      <c r="J1840" s="504"/>
      <c r="K1840" s="504"/>
      <c r="L1840" s="504"/>
      <c r="M1840" s="504"/>
      <c r="N1840" s="504"/>
      <c r="O1840" s="110"/>
      <c r="P1840" s="109"/>
      <c r="Q1840" s="504"/>
      <c r="R1840" s="107"/>
      <c r="S1840" s="503"/>
    </row>
    <row r="1841" spans="1:19" ht="9.75" customHeight="1">
      <c r="A1841" s="503"/>
      <c r="B1841" s="503"/>
      <c r="C1841" s="13"/>
      <c r="D1841" s="13" t="s">
        <v>32</v>
      </c>
      <c r="E1841" s="13"/>
      <c r="F1841" s="151"/>
      <c r="G1841" s="504"/>
      <c r="H1841" s="504"/>
      <c r="I1841" s="504"/>
      <c r="J1841" s="504"/>
      <c r="K1841" s="504"/>
      <c r="L1841" s="504"/>
      <c r="M1841" s="504"/>
      <c r="N1841" s="504"/>
      <c r="O1841" s="110"/>
      <c r="P1841" s="109"/>
      <c r="Q1841" s="504"/>
      <c r="R1841" s="107"/>
      <c r="S1841" s="503"/>
    </row>
    <row r="1842" spans="1:19" ht="9.75" customHeight="1">
      <c r="A1842" s="503"/>
      <c r="B1842" s="503"/>
      <c r="C1842" s="13"/>
      <c r="D1842" s="13" t="s">
        <v>316</v>
      </c>
      <c r="E1842" s="13">
        <v>1</v>
      </c>
      <c r="F1842" s="151">
        <v>1</v>
      </c>
      <c r="G1842" s="504">
        <v>1</v>
      </c>
      <c r="H1842" s="504">
        <v>1</v>
      </c>
      <c r="I1842" s="504">
        <v>1</v>
      </c>
      <c r="J1842" s="504">
        <v>1</v>
      </c>
      <c r="K1842" s="504">
        <v>1</v>
      </c>
      <c r="L1842" s="504">
        <v>1</v>
      </c>
      <c r="M1842" s="504">
        <v>1</v>
      </c>
      <c r="N1842" s="504">
        <v>1</v>
      </c>
      <c r="O1842" s="110">
        <v>1</v>
      </c>
      <c r="P1842" s="109">
        <f>MIN(F1842:O1842)</f>
        <v>1</v>
      </c>
      <c r="Q1842" s="504">
        <f>E1842-P1842</f>
        <v>0</v>
      </c>
      <c r="R1842" s="107">
        <f>Q1842/E1842</f>
        <v>0</v>
      </c>
      <c r="S1842" s="503"/>
    </row>
    <row r="1843" spans="1:19" ht="9.75" customHeight="1">
      <c r="A1843" s="503"/>
      <c r="B1843" s="503"/>
      <c r="C1843" s="13"/>
      <c r="D1843" s="13" t="s">
        <v>317</v>
      </c>
      <c r="E1843" s="13"/>
      <c r="F1843" s="151"/>
      <c r="G1843" s="504"/>
      <c r="H1843" s="504"/>
      <c r="I1843" s="504"/>
      <c r="J1843" s="504"/>
      <c r="K1843" s="504"/>
      <c r="L1843" s="504"/>
      <c r="M1843" s="504"/>
      <c r="N1843" s="504"/>
      <c r="O1843" s="110"/>
      <c r="P1843" s="109"/>
      <c r="Q1843" s="504"/>
      <c r="R1843" s="107"/>
      <c r="S1843" s="503"/>
    </row>
    <row r="1844" spans="1:19" ht="9.75" customHeight="1">
      <c r="A1844" s="503"/>
      <c r="B1844" s="503"/>
      <c r="C1844" s="13"/>
      <c r="D1844" s="13" t="s">
        <v>318</v>
      </c>
      <c r="E1844" s="13">
        <v>4</v>
      </c>
      <c r="F1844" s="151">
        <v>1</v>
      </c>
      <c r="G1844" s="504">
        <v>1</v>
      </c>
      <c r="H1844" s="504">
        <v>1</v>
      </c>
      <c r="I1844" s="504">
        <v>1</v>
      </c>
      <c r="J1844" s="504">
        <v>1</v>
      </c>
      <c r="K1844" s="504">
        <v>3</v>
      </c>
      <c r="L1844" s="504">
        <v>3</v>
      </c>
      <c r="M1844" s="504">
        <v>2</v>
      </c>
      <c r="N1844" s="504">
        <v>3</v>
      </c>
      <c r="O1844" s="110">
        <v>3</v>
      </c>
      <c r="P1844" s="109">
        <f t="shared" ref="P1844:P1853" si="349">MIN(F1844:O1844)</f>
        <v>1</v>
      </c>
      <c r="Q1844" s="504">
        <f t="shared" ref="Q1844:Q1853" si="350">E1844-P1844</f>
        <v>3</v>
      </c>
      <c r="R1844" s="107">
        <f t="shared" ref="R1844:R1853" si="351">Q1844/E1844</f>
        <v>0.75</v>
      </c>
      <c r="S1844" s="503"/>
    </row>
    <row r="1845" spans="1:19" ht="9.75" customHeight="1">
      <c r="A1845" s="503"/>
      <c r="B1845" s="503"/>
      <c r="C1845" s="13"/>
      <c r="D1845" s="13" t="s">
        <v>319</v>
      </c>
      <c r="E1845" s="13"/>
      <c r="F1845" s="151"/>
      <c r="G1845" s="504"/>
      <c r="H1845" s="504"/>
      <c r="I1845" s="504"/>
      <c r="J1845" s="504"/>
      <c r="K1845" s="504"/>
      <c r="L1845" s="504"/>
      <c r="M1845" s="504"/>
      <c r="N1845" s="504"/>
      <c r="O1845" s="110"/>
      <c r="P1845" s="109"/>
      <c r="Q1845" s="504"/>
      <c r="R1845" s="107"/>
      <c r="S1845" s="503"/>
    </row>
    <row r="1846" spans="1:19" ht="9.75" customHeight="1">
      <c r="A1846" s="503"/>
      <c r="B1846" s="503"/>
      <c r="C1846" s="13"/>
      <c r="D1846" s="13" t="s">
        <v>320</v>
      </c>
      <c r="E1846" s="13"/>
      <c r="F1846" s="151"/>
      <c r="G1846" s="504"/>
      <c r="H1846" s="504"/>
      <c r="I1846" s="504"/>
      <c r="J1846" s="504"/>
      <c r="K1846" s="504"/>
      <c r="L1846" s="504"/>
      <c r="M1846" s="504"/>
      <c r="N1846" s="504"/>
      <c r="O1846" s="110"/>
      <c r="P1846" s="109"/>
      <c r="Q1846" s="504"/>
      <c r="R1846" s="107"/>
      <c r="S1846" s="503"/>
    </row>
    <row r="1847" spans="1:19" ht="9.75" customHeight="1">
      <c r="A1847" s="503"/>
      <c r="B1847" s="503"/>
      <c r="C1847" s="13"/>
      <c r="D1847" s="13" t="s">
        <v>118</v>
      </c>
      <c r="E1847" s="13">
        <v>2</v>
      </c>
      <c r="F1847" s="151">
        <v>1</v>
      </c>
      <c r="G1847" s="504">
        <v>1</v>
      </c>
      <c r="H1847" s="504">
        <v>1</v>
      </c>
      <c r="I1847" s="504">
        <v>1</v>
      </c>
      <c r="J1847" s="504">
        <v>1</v>
      </c>
      <c r="K1847" s="504">
        <v>1</v>
      </c>
      <c r="L1847" s="504">
        <v>1</v>
      </c>
      <c r="M1847" s="504">
        <v>1</v>
      </c>
      <c r="N1847" s="504">
        <v>1</v>
      </c>
      <c r="O1847" s="110">
        <v>1</v>
      </c>
      <c r="P1847" s="109">
        <f t="shared" si="349"/>
        <v>1</v>
      </c>
      <c r="Q1847" s="504">
        <f t="shared" si="350"/>
        <v>1</v>
      </c>
      <c r="R1847" s="107">
        <f t="shared" si="351"/>
        <v>0.5</v>
      </c>
      <c r="S1847" s="503"/>
    </row>
    <row r="1848" spans="1:19" ht="9.75" customHeight="1">
      <c r="A1848" s="503"/>
      <c r="B1848" s="503"/>
      <c r="C1848" s="13"/>
      <c r="D1848" s="13" t="s">
        <v>34</v>
      </c>
      <c r="E1848" s="13">
        <v>9</v>
      </c>
      <c r="F1848" s="151">
        <v>2</v>
      </c>
      <c r="G1848" s="504">
        <v>2</v>
      </c>
      <c r="H1848" s="504">
        <v>2</v>
      </c>
      <c r="I1848" s="504">
        <v>1</v>
      </c>
      <c r="J1848" s="504">
        <v>0</v>
      </c>
      <c r="K1848" s="504">
        <v>0</v>
      </c>
      <c r="L1848" s="504">
        <v>1</v>
      </c>
      <c r="M1848" s="504">
        <v>6</v>
      </c>
      <c r="N1848" s="504">
        <v>7</v>
      </c>
      <c r="O1848" s="110">
        <v>6</v>
      </c>
      <c r="P1848" s="109">
        <f t="shared" si="349"/>
        <v>0</v>
      </c>
      <c r="Q1848" s="504">
        <f t="shared" si="350"/>
        <v>9</v>
      </c>
      <c r="R1848" s="107">
        <f t="shared" si="351"/>
        <v>1</v>
      </c>
      <c r="S1848" s="503"/>
    </row>
    <row r="1849" spans="1:19" ht="9.75" customHeight="1">
      <c r="A1849" s="503"/>
      <c r="B1849" s="503"/>
      <c r="C1849" s="13"/>
      <c r="D1849" s="13" t="s">
        <v>35</v>
      </c>
      <c r="E1849" s="13">
        <v>133</v>
      </c>
      <c r="F1849" s="151">
        <f>E1849-104</f>
        <v>29</v>
      </c>
      <c r="G1849" s="504">
        <f>E1849-97</f>
        <v>36</v>
      </c>
      <c r="H1849" s="504">
        <f>E1849-107</f>
        <v>26</v>
      </c>
      <c r="I1849" s="504">
        <f>E1849-92</f>
        <v>41</v>
      </c>
      <c r="J1849" s="504">
        <f>E1849-108</f>
        <v>25</v>
      </c>
      <c r="K1849" s="504">
        <f>E1849-107</f>
        <v>26</v>
      </c>
      <c r="L1849" s="504">
        <f>E1849-124</f>
        <v>9</v>
      </c>
      <c r="M1849" s="504">
        <v>0</v>
      </c>
      <c r="N1849" s="504">
        <v>0</v>
      </c>
      <c r="O1849" s="110">
        <v>0</v>
      </c>
      <c r="P1849" s="109">
        <f t="shared" si="349"/>
        <v>0</v>
      </c>
      <c r="Q1849" s="504">
        <f t="shared" si="350"/>
        <v>133</v>
      </c>
      <c r="R1849" s="107">
        <f t="shared" si="351"/>
        <v>1</v>
      </c>
      <c r="S1849" s="503"/>
    </row>
    <row r="1850" spans="1:19" ht="9.75" customHeight="1">
      <c r="A1850" s="503"/>
      <c r="B1850" s="503"/>
      <c r="C1850" s="13"/>
      <c r="D1850" s="13" t="s">
        <v>36</v>
      </c>
      <c r="E1850" s="13">
        <v>8</v>
      </c>
      <c r="F1850" s="151">
        <v>2</v>
      </c>
      <c r="G1850" s="504">
        <v>2</v>
      </c>
      <c r="H1850" s="504">
        <v>2</v>
      </c>
      <c r="I1850" s="504">
        <v>2</v>
      </c>
      <c r="J1850" s="504">
        <v>1</v>
      </c>
      <c r="K1850" s="504">
        <v>1</v>
      </c>
      <c r="L1850" s="504">
        <v>2</v>
      </c>
      <c r="M1850" s="504">
        <v>3</v>
      </c>
      <c r="N1850" s="504">
        <v>2</v>
      </c>
      <c r="O1850" s="504">
        <v>3</v>
      </c>
      <c r="P1850" s="109">
        <f t="shared" si="349"/>
        <v>1</v>
      </c>
      <c r="Q1850" s="504">
        <f t="shared" si="350"/>
        <v>7</v>
      </c>
      <c r="R1850" s="107">
        <f t="shared" si="351"/>
        <v>0.875</v>
      </c>
      <c r="S1850" s="503"/>
    </row>
    <row r="1851" spans="1:19" ht="9.75" customHeight="1">
      <c r="A1851" s="503"/>
      <c r="B1851" s="503"/>
      <c r="C1851" s="13"/>
      <c r="D1851" s="13" t="s">
        <v>37</v>
      </c>
      <c r="E1851" s="13">
        <v>4</v>
      </c>
      <c r="F1851" s="151">
        <v>3</v>
      </c>
      <c r="G1851" s="504">
        <v>3</v>
      </c>
      <c r="H1851" s="504">
        <v>3</v>
      </c>
      <c r="I1851" s="504">
        <v>3</v>
      </c>
      <c r="J1851" s="504">
        <v>2</v>
      </c>
      <c r="K1851" s="504">
        <v>3</v>
      </c>
      <c r="L1851" s="504">
        <v>4</v>
      </c>
      <c r="M1851" s="504">
        <v>4</v>
      </c>
      <c r="N1851" s="504">
        <v>4</v>
      </c>
      <c r="O1851" s="110">
        <v>3</v>
      </c>
      <c r="P1851" s="109">
        <f t="shared" si="349"/>
        <v>2</v>
      </c>
      <c r="Q1851" s="504">
        <f t="shared" si="350"/>
        <v>2</v>
      </c>
      <c r="R1851" s="107">
        <f t="shared" si="351"/>
        <v>0.5</v>
      </c>
      <c r="S1851" s="503"/>
    </row>
    <row r="1852" spans="1:19" ht="9.75" customHeight="1">
      <c r="A1852" s="503"/>
      <c r="B1852" s="503" t="s">
        <v>127</v>
      </c>
      <c r="C1852" s="13"/>
      <c r="D1852" s="3" t="s">
        <v>38</v>
      </c>
      <c r="E1852" s="3">
        <f t="shared" ref="E1852:O1852" si="352">SUM(E1836:E1851)</f>
        <v>239</v>
      </c>
      <c r="F1852" s="21">
        <f t="shared" si="352"/>
        <v>66</v>
      </c>
      <c r="G1852" s="71">
        <f t="shared" si="352"/>
        <v>64</v>
      </c>
      <c r="H1852" s="71">
        <f t="shared" si="352"/>
        <v>49</v>
      </c>
      <c r="I1852" s="71">
        <f t="shared" si="352"/>
        <v>63</v>
      </c>
      <c r="J1852" s="71">
        <f t="shared" si="352"/>
        <v>47</v>
      </c>
      <c r="K1852" s="71">
        <f t="shared" si="352"/>
        <v>49</v>
      </c>
      <c r="L1852" s="71">
        <f t="shared" si="352"/>
        <v>39</v>
      </c>
      <c r="M1852" s="71">
        <f t="shared" si="352"/>
        <v>60</v>
      </c>
      <c r="N1852" s="71">
        <f t="shared" si="352"/>
        <v>73</v>
      </c>
      <c r="O1852" s="26">
        <f t="shared" si="352"/>
        <v>76</v>
      </c>
      <c r="P1852" s="21">
        <f t="shared" si="349"/>
        <v>39</v>
      </c>
      <c r="Q1852" s="71">
        <f t="shared" si="350"/>
        <v>200</v>
      </c>
      <c r="R1852" s="7">
        <f t="shared" si="351"/>
        <v>0.83682008368200833</v>
      </c>
      <c r="S1852" s="503"/>
    </row>
    <row r="1853" spans="1:19" ht="9.75" customHeight="1">
      <c r="A1853" s="503"/>
      <c r="B1853" s="393"/>
      <c r="C1853" s="116" t="s">
        <v>321</v>
      </c>
      <c r="D1853" s="43" t="s">
        <v>23</v>
      </c>
      <c r="E1853" s="43">
        <v>9</v>
      </c>
      <c r="F1853" s="152">
        <v>4</v>
      </c>
      <c r="G1853" s="128">
        <v>1</v>
      </c>
      <c r="H1853" s="128">
        <v>0</v>
      </c>
      <c r="I1853" s="128">
        <v>0</v>
      </c>
      <c r="J1853" s="128">
        <v>0</v>
      </c>
      <c r="K1853" s="128">
        <v>2</v>
      </c>
      <c r="L1853" s="128">
        <v>2</v>
      </c>
      <c r="M1853" s="128">
        <v>2</v>
      </c>
      <c r="N1853" s="128">
        <v>1</v>
      </c>
      <c r="O1853" s="129">
        <v>3</v>
      </c>
      <c r="P1853" s="116">
        <f t="shared" si="349"/>
        <v>0</v>
      </c>
      <c r="Q1853" s="128">
        <f t="shared" si="350"/>
        <v>9</v>
      </c>
      <c r="R1853" s="141">
        <f t="shared" si="351"/>
        <v>1</v>
      </c>
      <c r="S1853" s="503"/>
    </row>
    <row r="1854" spans="1:19" ht="9.75" customHeight="1">
      <c r="A1854" s="503"/>
      <c r="B1854" s="503"/>
      <c r="C1854" s="13"/>
      <c r="D1854" s="13" t="s">
        <v>25</v>
      </c>
      <c r="E1854" s="13"/>
      <c r="F1854" s="151"/>
      <c r="G1854" s="42"/>
      <c r="H1854" s="42"/>
      <c r="I1854" s="42"/>
      <c r="J1854" s="42"/>
      <c r="K1854" s="42"/>
      <c r="L1854" s="42"/>
      <c r="M1854" s="42"/>
      <c r="N1854" s="42"/>
      <c r="O1854" s="42"/>
      <c r="P1854" s="109"/>
      <c r="Q1854" s="504"/>
      <c r="R1854" s="107"/>
      <c r="S1854" s="503"/>
    </row>
    <row r="1855" spans="1:19" ht="9.75" customHeight="1">
      <c r="A1855" s="503"/>
      <c r="B1855" s="503"/>
      <c r="C1855" s="13"/>
      <c r="D1855" s="13" t="s">
        <v>27</v>
      </c>
      <c r="E1855" s="13"/>
      <c r="F1855" s="151"/>
      <c r="G1855" s="504"/>
      <c r="H1855" s="504"/>
      <c r="I1855" s="504"/>
      <c r="J1855" s="504"/>
      <c r="K1855" s="504"/>
      <c r="L1855" s="504"/>
      <c r="M1855" s="504"/>
      <c r="N1855" s="504"/>
      <c r="O1855" s="110"/>
      <c r="P1855" s="109"/>
      <c r="Q1855" s="504"/>
      <c r="R1855" s="107"/>
      <c r="S1855" s="503"/>
    </row>
    <row r="1856" spans="1:19" ht="9.75" customHeight="1">
      <c r="A1856" s="503"/>
      <c r="B1856" s="503"/>
      <c r="C1856" s="13"/>
      <c r="D1856" s="13" t="s">
        <v>115</v>
      </c>
      <c r="E1856" s="13">
        <v>3</v>
      </c>
      <c r="F1856" s="151">
        <v>2</v>
      </c>
      <c r="G1856" s="504">
        <v>1</v>
      </c>
      <c r="H1856" s="504">
        <v>1</v>
      </c>
      <c r="I1856" s="504">
        <v>1</v>
      </c>
      <c r="J1856" s="504">
        <v>0</v>
      </c>
      <c r="K1856" s="504">
        <v>0</v>
      </c>
      <c r="L1856" s="504">
        <v>0</v>
      </c>
      <c r="M1856" s="504">
        <v>1</v>
      </c>
      <c r="N1856" s="504">
        <v>0</v>
      </c>
      <c r="O1856" s="110">
        <v>0</v>
      </c>
      <c r="P1856" s="109">
        <f>MIN(F1856:O1856)</f>
        <v>0</v>
      </c>
      <c r="Q1856" s="504">
        <f>E1856-P1856</f>
        <v>3</v>
      </c>
      <c r="R1856" s="107">
        <f>Q1856/E1856</f>
        <v>1</v>
      </c>
      <c r="S1856" s="503"/>
    </row>
    <row r="1857" spans="1:19" ht="9.75" customHeight="1">
      <c r="A1857" s="503"/>
      <c r="B1857" s="503"/>
      <c r="C1857" s="13"/>
      <c r="D1857" s="13" t="s">
        <v>115</v>
      </c>
      <c r="E1857" s="13"/>
      <c r="F1857" s="151"/>
      <c r="G1857" s="504"/>
      <c r="H1857" s="504"/>
      <c r="I1857" s="504"/>
      <c r="J1857" s="504"/>
      <c r="K1857" s="504"/>
      <c r="L1857" s="504"/>
      <c r="M1857" s="504"/>
      <c r="N1857" s="504"/>
      <c r="O1857" s="110"/>
      <c r="P1857" s="109"/>
      <c r="Q1857" s="504"/>
      <c r="R1857" s="107"/>
      <c r="S1857" s="503"/>
    </row>
    <row r="1858" spans="1:19" ht="9.75" customHeight="1">
      <c r="A1858" s="503"/>
      <c r="B1858" s="503"/>
      <c r="C1858" s="13"/>
      <c r="D1858" s="13" t="s">
        <v>32</v>
      </c>
      <c r="E1858" s="109">
        <v>10</v>
      </c>
      <c r="F1858" s="151">
        <v>8</v>
      </c>
      <c r="G1858" s="504">
        <v>8</v>
      </c>
      <c r="H1858" s="504">
        <v>8</v>
      </c>
      <c r="I1858" s="504">
        <v>8</v>
      </c>
      <c r="J1858" s="504">
        <v>8</v>
      </c>
      <c r="K1858" s="504">
        <v>8</v>
      </c>
      <c r="L1858" s="504">
        <v>9</v>
      </c>
      <c r="M1858" s="504">
        <v>8</v>
      </c>
      <c r="N1858" s="504">
        <v>7</v>
      </c>
      <c r="O1858" s="110">
        <v>6</v>
      </c>
      <c r="P1858" s="504">
        <f>MIN(F1858:O1858)</f>
        <v>6</v>
      </c>
      <c r="Q1858" s="504">
        <f>E1858-P1858</f>
        <v>4</v>
      </c>
      <c r="R1858" s="107">
        <f>Q1858/E1858</f>
        <v>0.4</v>
      </c>
      <c r="S1858" s="503"/>
    </row>
    <row r="1859" spans="1:19" ht="9.75" customHeight="1">
      <c r="A1859" s="503"/>
      <c r="B1859" s="503"/>
      <c r="C1859" s="13"/>
      <c r="D1859" s="13" t="s">
        <v>120</v>
      </c>
      <c r="E1859" s="13"/>
      <c r="F1859" s="151"/>
      <c r="G1859" s="504"/>
      <c r="H1859" s="504"/>
      <c r="I1859" s="504"/>
      <c r="J1859" s="504"/>
      <c r="K1859" s="504"/>
      <c r="L1859" s="504"/>
      <c r="M1859" s="504"/>
      <c r="N1859" s="504"/>
      <c r="O1859" s="110"/>
      <c r="P1859" s="109"/>
      <c r="Q1859" s="504"/>
      <c r="R1859" s="107"/>
      <c r="S1859" s="503"/>
    </row>
    <row r="1860" spans="1:19" ht="9.75" customHeight="1">
      <c r="A1860" s="503"/>
      <c r="B1860" s="503"/>
      <c r="C1860" s="13"/>
      <c r="D1860" s="13" t="s">
        <v>120</v>
      </c>
      <c r="E1860" s="13"/>
      <c r="F1860" s="151"/>
      <c r="G1860" s="504"/>
      <c r="H1860" s="504"/>
      <c r="I1860" s="504"/>
      <c r="J1860" s="504"/>
      <c r="K1860" s="504"/>
      <c r="L1860" s="504"/>
      <c r="M1860" s="504"/>
      <c r="N1860" s="504"/>
      <c r="O1860" s="110"/>
      <c r="P1860" s="109"/>
      <c r="Q1860" s="504"/>
      <c r="R1860" s="107"/>
      <c r="S1860" s="503"/>
    </row>
    <row r="1861" spans="1:19" ht="9.75" customHeight="1">
      <c r="A1861" s="503"/>
      <c r="B1861" s="503"/>
      <c r="C1861" s="13"/>
      <c r="D1861" s="13" t="s">
        <v>120</v>
      </c>
      <c r="E1861" s="13"/>
      <c r="F1861" s="151"/>
      <c r="G1861" s="504"/>
      <c r="H1861" s="504"/>
      <c r="I1861" s="504"/>
      <c r="J1861" s="504"/>
      <c r="K1861" s="504"/>
      <c r="L1861" s="504"/>
      <c r="M1861" s="504"/>
      <c r="N1861" s="504"/>
      <c r="O1861" s="110"/>
      <c r="P1861" s="109"/>
      <c r="Q1861" s="504"/>
      <c r="R1861" s="107"/>
      <c r="S1861" s="503"/>
    </row>
    <row r="1862" spans="1:19" ht="9.75" customHeight="1">
      <c r="A1862" s="503"/>
      <c r="B1862" s="503"/>
      <c r="C1862" s="13"/>
      <c r="D1862" s="13" t="s">
        <v>120</v>
      </c>
      <c r="E1862" s="13"/>
      <c r="F1862" s="151"/>
      <c r="G1862" s="504"/>
      <c r="H1862" s="504"/>
      <c r="I1862" s="504"/>
      <c r="J1862" s="504"/>
      <c r="K1862" s="504"/>
      <c r="L1862" s="504"/>
      <c r="M1862" s="504"/>
      <c r="N1862" s="504"/>
      <c r="O1862" s="110"/>
      <c r="P1862" s="109"/>
      <c r="Q1862" s="504"/>
      <c r="R1862" s="107"/>
      <c r="S1862" s="503"/>
    </row>
    <row r="1863" spans="1:19" ht="9.75" customHeight="1">
      <c r="A1863" s="503"/>
      <c r="B1863" s="503"/>
      <c r="C1863" s="13"/>
      <c r="D1863" s="13" t="s">
        <v>120</v>
      </c>
      <c r="E1863" s="13"/>
      <c r="F1863" s="151"/>
      <c r="G1863" s="504"/>
      <c r="H1863" s="504"/>
      <c r="I1863" s="504"/>
      <c r="J1863" s="504"/>
      <c r="K1863" s="504"/>
      <c r="L1863" s="504"/>
      <c r="M1863" s="504"/>
      <c r="N1863" s="504"/>
      <c r="O1863" s="110"/>
      <c r="P1863" s="109"/>
      <c r="Q1863" s="504"/>
      <c r="R1863" s="107"/>
      <c r="S1863" s="503"/>
    </row>
    <row r="1864" spans="1:19" ht="9.75" customHeight="1">
      <c r="A1864" s="503"/>
      <c r="B1864" s="503"/>
      <c r="C1864" s="13"/>
      <c r="D1864" s="13" t="s">
        <v>120</v>
      </c>
      <c r="E1864" s="13"/>
      <c r="F1864" s="151"/>
      <c r="G1864" s="504"/>
      <c r="H1864" s="504"/>
      <c r="I1864" s="504"/>
      <c r="J1864" s="504"/>
      <c r="K1864" s="504"/>
      <c r="L1864" s="504"/>
      <c r="M1864" s="504"/>
      <c r="N1864" s="504"/>
      <c r="O1864" s="110"/>
      <c r="P1864" s="109"/>
      <c r="Q1864" s="504"/>
      <c r="R1864" s="107"/>
      <c r="S1864" s="503"/>
    </row>
    <row r="1865" spans="1:19" ht="9.75" customHeight="1">
      <c r="A1865" s="503"/>
      <c r="B1865" s="503"/>
      <c r="C1865" s="13"/>
      <c r="D1865" s="13" t="s">
        <v>34</v>
      </c>
      <c r="E1865" s="13">
        <v>10</v>
      </c>
      <c r="F1865" s="151">
        <v>9</v>
      </c>
      <c r="G1865" s="504">
        <v>9</v>
      </c>
      <c r="H1865" s="504">
        <v>8</v>
      </c>
      <c r="I1865" s="504">
        <v>8</v>
      </c>
      <c r="J1865" s="504">
        <v>8</v>
      </c>
      <c r="K1865" s="504">
        <v>8</v>
      </c>
      <c r="L1865" s="504">
        <v>7</v>
      </c>
      <c r="M1865" s="504">
        <v>7</v>
      </c>
      <c r="N1865" s="504">
        <v>6</v>
      </c>
      <c r="O1865" s="110">
        <v>9</v>
      </c>
      <c r="P1865" s="109">
        <f>MIN(F1865:O1865)</f>
        <v>6</v>
      </c>
      <c r="Q1865" s="504">
        <f>E1865-P1865</f>
        <v>4</v>
      </c>
      <c r="R1865" s="107">
        <f>Q1865/E1865</f>
        <v>0.4</v>
      </c>
      <c r="S1865" s="503"/>
    </row>
    <row r="1866" spans="1:19" ht="9.75" customHeight="1">
      <c r="A1866" s="503"/>
      <c r="B1866" s="503"/>
      <c r="C1866" s="13"/>
      <c r="D1866" s="13" t="s">
        <v>35</v>
      </c>
      <c r="E1866" s="13"/>
      <c r="F1866" s="151"/>
      <c r="G1866" s="504"/>
      <c r="H1866" s="504"/>
      <c r="I1866" s="504"/>
      <c r="J1866" s="504"/>
      <c r="K1866" s="504"/>
      <c r="L1866" s="504"/>
      <c r="M1866" s="504"/>
      <c r="N1866" s="504"/>
      <c r="O1866" s="110"/>
      <c r="P1866" s="109"/>
      <c r="Q1866" s="504"/>
      <c r="R1866" s="107"/>
      <c r="S1866" s="503"/>
    </row>
    <row r="1867" spans="1:19" ht="9.75" customHeight="1">
      <c r="A1867" s="503"/>
      <c r="B1867" s="503"/>
      <c r="C1867" s="13"/>
      <c r="D1867" s="13" t="s">
        <v>36</v>
      </c>
      <c r="E1867" s="13"/>
      <c r="F1867" s="151"/>
      <c r="G1867" s="504"/>
      <c r="H1867" s="504"/>
      <c r="I1867" s="504"/>
      <c r="J1867" s="504"/>
      <c r="K1867" s="504"/>
      <c r="L1867" s="504"/>
      <c r="M1867" s="504"/>
      <c r="N1867" s="504"/>
      <c r="O1867" s="110"/>
      <c r="P1867" s="109"/>
      <c r="Q1867" s="504"/>
      <c r="R1867" s="107"/>
      <c r="S1867" s="503"/>
    </row>
    <row r="1868" spans="1:19" ht="9.75" customHeight="1">
      <c r="A1868" s="503"/>
      <c r="B1868" s="503"/>
      <c r="C1868" s="13"/>
      <c r="D1868" s="13" t="s">
        <v>37</v>
      </c>
      <c r="E1868" s="13">
        <v>3</v>
      </c>
      <c r="F1868" s="151">
        <v>2</v>
      </c>
      <c r="G1868" s="504">
        <v>1</v>
      </c>
      <c r="H1868" s="504">
        <v>1</v>
      </c>
      <c r="I1868" s="504">
        <v>0</v>
      </c>
      <c r="J1868" s="504">
        <v>1</v>
      </c>
      <c r="K1868" s="504">
        <v>0</v>
      </c>
      <c r="L1868" s="504">
        <v>1</v>
      </c>
      <c r="M1868" s="504">
        <v>1</v>
      </c>
      <c r="N1868" s="504">
        <v>0</v>
      </c>
      <c r="O1868" s="110">
        <v>0</v>
      </c>
      <c r="P1868" s="109">
        <f t="shared" ref="P1868:P1869" si="353">MIN(F1868:O1868)</f>
        <v>0</v>
      </c>
      <c r="Q1868" s="504">
        <f t="shared" ref="Q1868:Q1869" si="354">E1868-P1868</f>
        <v>3</v>
      </c>
      <c r="R1868" s="107">
        <f t="shared" ref="R1868:R1869" si="355">Q1868/E1868</f>
        <v>1</v>
      </c>
      <c r="S1868" s="503"/>
    </row>
    <row r="1869" spans="1:19" ht="9.75" customHeight="1">
      <c r="A1869" s="503"/>
      <c r="B1869" s="503" t="s">
        <v>127</v>
      </c>
      <c r="C1869" s="2"/>
      <c r="D1869" s="3" t="s">
        <v>38</v>
      </c>
      <c r="E1869" s="3">
        <f t="shared" ref="E1869:O1869" si="356">SUM(E1853:E1868)</f>
        <v>35</v>
      </c>
      <c r="F1869" s="21">
        <f t="shared" si="356"/>
        <v>25</v>
      </c>
      <c r="G1869" s="71">
        <f t="shared" si="356"/>
        <v>20</v>
      </c>
      <c r="H1869" s="71">
        <f t="shared" si="356"/>
        <v>18</v>
      </c>
      <c r="I1869" s="71">
        <f t="shared" si="356"/>
        <v>17</v>
      </c>
      <c r="J1869" s="71">
        <f t="shared" si="356"/>
        <v>17</v>
      </c>
      <c r="K1869" s="71">
        <f t="shared" si="356"/>
        <v>18</v>
      </c>
      <c r="L1869" s="71">
        <f t="shared" si="356"/>
        <v>19</v>
      </c>
      <c r="M1869" s="71">
        <f t="shared" si="356"/>
        <v>19</v>
      </c>
      <c r="N1869" s="71">
        <f t="shared" si="356"/>
        <v>14</v>
      </c>
      <c r="O1869" s="26">
        <f t="shared" si="356"/>
        <v>18</v>
      </c>
      <c r="P1869" s="21">
        <f t="shared" si="353"/>
        <v>14</v>
      </c>
      <c r="Q1869" s="71">
        <f t="shared" si="354"/>
        <v>21</v>
      </c>
      <c r="R1869" s="7">
        <f t="shared" si="355"/>
        <v>0.6</v>
      </c>
      <c r="S1869" s="503"/>
    </row>
    <row r="1870" spans="1:19" ht="9.75" customHeight="1">
      <c r="A1870" s="503"/>
      <c r="B1870" s="503"/>
      <c r="C1870" s="43" t="s">
        <v>322</v>
      </c>
      <c r="D1870" s="43" t="s">
        <v>23</v>
      </c>
      <c r="E1870" s="43"/>
      <c r="F1870" s="152"/>
      <c r="G1870" s="128"/>
      <c r="H1870" s="128"/>
      <c r="I1870" s="128"/>
      <c r="J1870" s="128"/>
      <c r="K1870" s="128"/>
      <c r="L1870" s="128"/>
      <c r="M1870" s="128"/>
      <c r="N1870" s="128"/>
      <c r="O1870" s="129"/>
      <c r="P1870" s="116"/>
      <c r="Q1870" s="128"/>
      <c r="R1870" s="141"/>
      <c r="S1870" s="503"/>
    </row>
    <row r="1871" spans="1:19" ht="9.75" customHeight="1">
      <c r="A1871" s="503"/>
      <c r="B1871" s="503"/>
      <c r="C1871" s="13"/>
      <c r="D1871" s="13" t="s">
        <v>25</v>
      </c>
      <c r="E1871" s="13"/>
      <c r="F1871" s="151"/>
      <c r="G1871" s="504"/>
      <c r="H1871" s="504"/>
      <c r="I1871" s="504"/>
      <c r="J1871" s="504"/>
      <c r="K1871" s="504"/>
      <c r="L1871" s="504"/>
      <c r="M1871" s="504"/>
      <c r="N1871" s="504"/>
      <c r="O1871" s="110"/>
      <c r="P1871" s="109"/>
      <c r="Q1871" s="504"/>
      <c r="R1871" s="107"/>
      <c r="S1871" s="503"/>
    </row>
    <row r="1872" spans="1:19" ht="9.75" customHeight="1">
      <c r="A1872" s="503"/>
      <c r="B1872" s="503"/>
      <c r="C1872" s="13"/>
      <c r="D1872" s="13" t="s">
        <v>27</v>
      </c>
      <c r="E1872" s="13"/>
      <c r="F1872" s="151"/>
      <c r="G1872" s="504"/>
      <c r="H1872" s="504"/>
      <c r="I1872" s="504"/>
      <c r="J1872" s="504"/>
      <c r="K1872" s="504"/>
      <c r="L1872" s="504"/>
      <c r="M1872" s="504"/>
      <c r="N1872" s="504"/>
      <c r="O1872" s="110"/>
      <c r="P1872" s="109"/>
      <c r="Q1872" s="504"/>
      <c r="R1872" s="107"/>
      <c r="S1872" s="503"/>
    </row>
    <row r="1873" spans="1:19" ht="9.75" customHeight="1">
      <c r="A1873" s="503"/>
      <c r="B1873" s="503"/>
      <c r="C1873" s="13"/>
      <c r="D1873" s="13" t="s">
        <v>115</v>
      </c>
      <c r="E1873" s="13"/>
      <c r="F1873" s="151"/>
      <c r="G1873" s="504"/>
      <c r="H1873" s="504"/>
      <c r="I1873" s="504"/>
      <c r="J1873" s="504"/>
      <c r="K1873" s="504"/>
      <c r="L1873" s="504"/>
      <c r="M1873" s="504"/>
      <c r="N1873" s="504"/>
      <c r="O1873" s="110"/>
      <c r="P1873" s="109"/>
      <c r="Q1873" s="504"/>
      <c r="R1873" s="107"/>
      <c r="S1873" s="503"/>
    </row>
    <row r="1874" spans="1:19" ht="9.75" customHeight="1">
      <c r="A1874" s="503"/>
      <c r="B1874" s="503"/>
      <c r="C1874" s="13"/>
      <c r="D1874" s="13" t="s">
        <v>115</v>
      </c>
      <c r="E1874" s="13"/>
      <c r="F1874" s="151"/>
      <c r="G1874" s="504"/>
      <c r="H1874" s="504"/>
      <c r="I1874" s="504"/>
      <c r="J1874" s="504"/>
      <c r="K1874" s="504"/>
      <c r="L1874" s="504"/>
      <c r="M1874" s="504"/>
      <c r="N1874" s="504"/>
      <c r="O1874" s="110"/>
      <c r="P1874" s="109"/>
      <c r="Q1874" s="504"/>
      <c r="R1874" s="107"/>
      <c r="S1874" s="503"/>
    </row>
    <row r="1875" spans="1:19" ht="9.75" customHeight="1">
      <c r="A1875" s="503"/>
      <c r="B1875" s="503"/>
      <c r="C1875" s="13"/>
      <c r="D1875" s="13" t="s">
        <v>32</v>
      </c>
      <c r="E1875" s="13">
        <v>1</v>
      </c>
      <c r="F1875" s="151">
        <v>1</v>
      </c>
      <c r="G1875" s="504">
        <v>1</v>
      </c>
      <c r="H1875" s="504">
        <v>1</v>
      </c>
      <c r="I1875" s="504">
        <v>0</v>
      </c>
      <c r="J1875" s="504">
        <v>0</v>
      </c>
      <c r="K1875" s="504">
        <v>1</v>
      </c>
      <c r="L1875" s="504">
        <v>1</v>
      </c>
      <c r="M1875" s="504">
        <v>1</v>
      </c>
      <c r="N1875" s="504">
        <v>1</v>
      </c>
      <c r="O1875" s="110">
        <v>1</v>
      </c>
      <c r="P1875" s="109">
        <f>MIN(F1875:O1875)</f>
        <v>0</v>
      </c>
      <c r="Q1875" s="504">
        <f>E1875-P1875</f>
        <v>1</v>
      </c>
      <c r="R1875" s="107">
        <f>Q1875/E1875</f>
        <v>1</v>
      </c>
      <c r="S1875" s="503"/>
    </row>
    <row r="1876" spans="1:19" ht="9.75" customHeight="1">
      <c r="A1876" s="503"/>
      <c r="B1876" s="503"/>
      <c r="C1876" s="13"/>
      <c r="D1876" s="13" t="s">
        <v>120</v>
      </c>
      <c r="E1876" s="13"/>
      <c r="F1876" s="151"/>
      <c r="G1876" s="504"/>
      <c r="H1876" s="504"/>
      <c r="I1876" s="504"/>
      <c r="J1876" s="504"/>
      <c r="K1876" s="504"/>
      <c r="L1876" s="504"/>
      <c r="M1876" s="504"/>
      <c r="N1876" s="504"/>
      <c r="O1876" s="110"/>
      <c r="P1876" s="109"/>
      <c r="Q1876" s="504"/>
      <c r="R1876" s="107"/>
      <c r="S1876" s="503"/>
    </row>
    <row r="1877" spans="1:19" ht="9.75" customHeight="1">
      <c r="A1877" s="503"/>
      <c r="B1877" s="503"/>
      <c r="C1877" s="13"/>
      <c r="D1877" s="13" t="s">
        <v>120</v>
      </c>
      <c r="E1877" s="13"/>
      <c r="F1877" s="151"/>
      <c r="G1877" s="504"/>
      <c r="H1877" s="504"/>
      <c r="I1877" s="504"/>
      <c r="J1877" s="504"/>
      <c r="K1877" s="504"/>
      <c r="L1877" s="504"/>
      <c r="M1877" s="504"/>
      <c r="N1877" s="504"/>
      <c r="O1877" s="110"/>
      <c r="P1877" s="109"/>
      <c r="Q1877" s="504"/>
      <c r="R1877" s="107"/>
      <c r="S1877" s="503"/>
    </row>
    <row r="1878" spans="1:19" ht="9.75" customHeight="1">
      <c r="A1878" s="503"/>
      <c r="B1878" s="503"/>
      <c r="C1878" s="13"/>
      <c r="D1878" s="13" t="s">
        <v>120</v>
      </c>
      <c r="E1878" s="13"/>
      <c r="F1878" s="151"/>
      <c r="G1878" s="504"/>
      <c r="H1878" s="504"/>
      <c r="I1878" s="504"/>
      <c r="J1878" s="504"/>
      <c r="K1878" s="504"/>
      <c r="L1878" s="504"/>
      <c r="M1878" s="504"/>
      <c r="N1878" s="504"/>
      <c r="O1878" s="110"/>
      <c r="P1878" s="109"/>
      <c r="Q1878" s="504"/>
      <c r="R1878" s="107"/>
      <c r="S1878" s="503"/>
    </row>
    <row r="1879" spans="1:19" ht="9.75" customHeight="1">
      <c r="A1879" s="503"/>
      <c r="B1879" s="503"/>
      <c r="C1879" s="13"/>
      <c r="D1879" s="13" t="s">
        <v>120</v>
      </c>
      <c r="E1879" s="13"/>
      <c r="F1879" s="151"/>
      <c r="G1879" s="504"/>
      <c r="H1879" s="504"/>
      <c r="I1879" s="504"/>
      <c r="J1879" s="504"/>
      <c r="K1879" s="504"/>
      <c r="L1879" s="504"/>
      <c r="M1879" s="504"/>
      <c r="N1879" s="504"/>
      <c r="O1879" s="110"/>
      <c r="P1879" s="109"/>
      <c r="Q1879" s="504"/>
      <c r="R1879" s="107"/>
      <c r="S1879" s="503"/>
    </row>
    <row r="1880" spans="1:19" ht="9.75" customHeight="1">
      <c r="A1880" s="503"/>
      <c r="B1880" s="503"/>
      <c r="C1880" s="13"/>
      <c r="D1880" s="13" t="s">
        <v>120</v>
      </c>
      <c r="E1880" s="13"/>
      <c r="F1880" s="151"/>
      <c r="G1880" s="504"/>
      <c r="H1880" s="504"/>
      <c r="I1880" s="504"/>
      <c r="J1880" s="504"/>
      <c r="K1880" s="504"/>
      <c r="L1880" s="504"/>
      <c r="M1880" s="504"/>
      <c r="N1880" s="504"/>
      <c r="O1880" s="110"/>
      <c r="P1880" s="109"/>
      <c r="Q1880" s="504"/>
      <c r="R1880" s="107"/>
      <c r="S1880" s="503"/>
    </row>
    <row r="1881" spans="1:19" ht="9.75" customHeight="1">
      <c r="A1881" s="503"/>
      <c r="B1881" s="503"/>
      <c r="C1881" s="13"/>
      <c r="D1881" s="13" t="s">
        <v>120</v>
      </c>
      <c r="E1881" s="13"/>
      <c r="F1881" s="151"/>
      <c r="G1881" s="504"/>
      <c r="H1881" s="504"/>
      <c r="I1881" s="504"/>
      <c r="J1881" s="504"/>
      <c r="K1881" s="504"/>
      <c r="L1881" s="504"/>
      <c r="M1881" s="504"/>
      <c r="N1881" s="504"/>
      <c r="O1881" s="110"/>
      <c r="P1881" s="109"/>
      <c r="Q1881" s="504"/>
      <c r="R1881" s="107"/>
      <c r="S1881" s="503"/>
    </row>
    <row r="1882" spans="1:19" ht="9.75" customHeight="1">
      <c r="A1882" s="503"/>
      <c r="B1882" s="503"/>
      <c r="C1882" s="13"/>
      <c r="D1882" s="13" t="s">
        <v>34</v>
      </c>
      <c r="E1882" s="13"/>
      <c r="F1882" s="151"/>
      <c r="G1882" s="504"/>
      <c r="H1882" s="504"/>
      <c r="I1882" s="504"/>
      <c r="J1882" s="504"/>
      <c r="K1882" s="504"/>
      <c r="L1882" s="504"/>
      <c r="M1882" s="504"/>
      <c r="N1882" s="504"/>
      <c r="O1882" s="110"/>
      <c r="P1882" s="109"/>
      <c r="Q1882" s="504"/>
      <c r="R1882" s="107"/>
      <c r="S1882" s="503"/>
    </row>
    <row r="1883" spans="1:19" ht="9.75" customHeight="1">
      <c r="A1883" s="503"/>
      <c r="B1883" s="503"/>
      <c r="C1883" s="13"/>
      <c r="D1883" s="13" t="s">
        <v>35</v>
      </c>
      <c r="E1883" s="13"/>
      <c r="F1883" s="151"/>
      <c r="G1883" s="504"/>
      <c r="H1883" s="504"/>
      <c r="I1883" s="504"/>
      <c r="J1883" s="504"/>
      <c r="K1883" s="504"/>
      <c r="L1883" s="504"/>
      <c r="M1883" s="504"/>
      <c r="N1883" s="504"/>
      <c r="O1883" s="110"/>
      <c r="P1883" s="109"/>
      <c r="Q1883" s="504"/>
      <c r="R1883" s="107"/>
      <c r="S1883" s="503"/>
    </row>
    <row r="1884" spans="1:19" ht="9.75" customHeight="1">
      <c r="A1884" s="503"/>
      <c r="B1884" s="503"/>
      <c r="C1884" s="13"/>
      <c r="D1884" s="13" t="s">
        <v>36</v>
      </c>
      <c r="E1884" s="13">
        <v>4</v>
      </c>
      <c r="F1884" s="151">
        <v>3</v>
      </c>
      <c r="G1884" s="504">
        <v>3</v>
      </c>
      <c r="H1884" s="504">
        <v>3</v>
      </c>
      <c r="I1884" s="504">
        <v>1</v>
      </c>
      <c r="J1884" s="504">
        <v>2</v>
      </c>
      <c r="K1884" s="504">
        <v>3</v>
      </c>
      <c r="L1884" s="504">
        <v>3</v>
      </c>
      <c r="M1884" s="504">
        <v>4</v>
      </c>
      <c r="N1884" s="504">
        <v>4</v>
      </c>
      <c r="O1884" s="110">
        <v>4</v>
      </c>
      <c r="P1884" s="109">
        <f>MIN(F1884:O1884)</f>
        <v>1</v>
      </c>
      <c r="Q1884" s="504">
        <f>E1884-P1884</f>
        <v>3</v>
      </c>
      <c r="R1884" s="107">
        <f>Q1884/E1884</f>
        <v>0.75</v>
      </c>
      <c r="S1884" s="503"/>
    </row>
    <row r="1885" spans="1:19" ht="9.75" customHeight="1">
      <c r="A1885" s="503"/>
      <c r="B1885" s="503"/>
      <c r="C1885" s="13"/>
      <c r="D1885" s="13" t="s">
        <v>323</v>
      </c>
      <c r="E1885" s="13"/>
      <c r="F1885" s="151"/>
      <c r="G1885" s="504"/>
      <c r="H1885" s="504"/>
      <c r="I1885" s="504"/>
      <c r="J1885" s="504"/>
      <c r="K1885" s="504"/>
      <c r="L1885" s="504"/>
      <c r="M1885" s="504"/>
      <c r="N1885" s="504"/>
      <c r="O1885" s="110"/>
      <c r="P1885" s="109"/>
      <c r="Q1885" s="504"/>
      <c r="R1885" s="107"/>
      <c r="S1885" s="503"/>
    </row>
    <row r="1886" spans="1:19" ht="9.75" customHeight="1">
      <c r="A1886" s="503"/>
      <c r="B1886" s="503" t="s">
        <v>127</v>
      </c>
      <c r="C1886" s="2"/>
      <c r="D1886" s="3" t="s">
        <v>38</v>
      </c>
      <c r="E1886" s="3">
        <f t="shared" ref="E1886:O1886" si="357">SUM(E1870:E1885)</f>
        <v>5</v>
      </c>
      <c r="F1886" s="21">
        <f t="shared" si="357"/>
        <v>4</v>
      </c>
      <c r="G1886" s="71">
        <f t="shared" si="357"/>
        <v>4</v>
      </c>
      <c r="H1886" s="71">
        <f t="shared" si="357"/>
        <v>4</v>
      </c>
      <c r="I1886" s="71">
        <f t="shared" si="357"/>
        <v>1</v>
      </c>
      <c r="J1886" s="71">
        <f t="shared" si="357"/>
        <v>2</v>
      </c>
      <c r="K1886" s="71">
        <f t="shared" si="357"/>
        <v>4</v>
      </c>
      <c r="L1886" s="71">
        <f t="shared" si="357"/>
        <v>4</v>
      </c>
      <c r="M1886" s="71">
        <f t="shared" si="357"/>
        <v>5</v>
      </c>
      <c r="N1886" s="71">
        <f t="shared" si="357"/>
        <v>5</v>
      </c>
      <c r="O1886" s="26">
        <f t="shared" si="357"/>
        <v>5</v>
      </c>
      <c r="P1886" s="21">
        <f t="shared" ref="P1886:P1888" si="358">MIN(F1886:O1886)</f>
        <v>1</v>
      </c>
      <c r="Q1886" s="71">
        <f t="shared" ref="Q1886:Q1888" si="359">E1886-P1886</f>
        <v>4</v>
      </c>
      <c r="R1886" s="7">
        <f t="shared" ref="R1886:R1888" si="360">Q1886/E1886</f>
        <v>0.8</v>
      </c>
      <c r="S1886" s="503"/>
    </row>
    <row r="1887" spans="1:19" ht="9.75" customHeight="1">
      <c r="A1887" s="503"/>
      <c r="B1887" s="503"/>
      <c r="C1887" s="43" t="s">
        <v>324</v>
      </c>
      <c r="D1887" s="43" t="s">
        <v>23</v>
      </c>
      <c r="E1887" s="13">
        <v>26</v>
      </c>
      <c r="F1887" s="151">
        <v>23</v>
      </c>
      <c r="G1887" s="504">
        <v>23</v>
      </c>
      <c r="H1887" s="504">
        <v>18</v>
      </c>
      <c r="I1887" s="504">
        <v>18</v>
      </c>
      <c r="J1887" s="504">
        <v>17</v>
      </c>
      <c r="K1887" s="504">
        <v>5</v>
      </c>
      <c r="L1887" s="504">
        <v>17</v>
      </c>
      <c r="M1887" s="504">
        <v>11</v>
      </c>
      <c r="N1887" s="504">
        <v>14</v>
      </c>
      <c r="O1887" s="110">
        <v>13</v>
      </c>
      <c r="P1887" s="109">
        <f t="shared" si="358"/>
        <v>5</v>
      </c>
      <c r="Q1887" s="504">
        <f t="shared" si="359"/>
        <v>21</v>
      </c>
      <c r="R1887" s="107">
        <f t="shared" si="360"/>
        <v>0.80769230769230771</v>
      </c>
      <c r="S1887" s="503"/>
    </row>
    <row r="1888" spans="1:19" ht="9.75" customHeight="1">
      <c r="A1888" s="503"/>
      <c r="B1888" s="503"/>
      <c r="C1888" s="13"/>
      <c r="D1888" s="13" t="s">
        <v>25</v>
      </c>
      <c r="E1888" s="13">
        <v>157</v>
      </c>
      <c r="F1888" s="151">
        <v>23</v>
      </c>
      <c r="G1888" s="504">
        <v>8</v>
      </c>
      <c r="H1888" s="504">
        <v>3</v>
      </c>
      <c r="I1888" s="504">
        <v>0</v>
      </c>
      <c r="J1888" s="504">
        <v>1</v>
      </c>
      <c r="K1888" s="504">
        <v>0</v>
      </c>
      <c r="L1888" s="504">
        <v>0</v>
      </c>
      <c r="M1888" s="504">
        <v>9</v>
      </c>
      <c r="N1888" s="504">
        <v>36</v>
      </c>
      <c r="O1888" s="110">
        <v>45</v>
      </c>
      <c r="P1888" s="109">
        <f t="shared" si="358"/>
        <v>0</v>
      </c>
      <c r="Q1888" s="504">
        <f t="shared" si="359"/>
        <v>157</v>
      </c>
      <c r="R1888" s="107">
        <f t="shared" si="360"/>
        <v>1</v>
      </c>
      <c r="S1888" s="503"/>
    </row>
    <row r="1889" spans="1:19" ht="9.75" customHeight="1">
      <c r="A1889" s="503"/>
      <c r="B1889" s="503"/>
      <c r="C1889" s="13"/>
      <c r="D1889" s="13" t="s">
        <v>27</v>
      </c>
      <c r="E1889" s="13"/>
      <c r="F1889" s="151"/>
      <c r="G1889" s="504"/>
      <c r="H1889" s="504"/>
      <c r="I1889" s="504"/>
      <c r="J1889" s="504"/>
      <c r="K1889" s="504"/>
      <c r="L1889" s="504"/>
      <c r="M1889" s="504"/>
      <c r="N1889" s="504"/>
      <c r="O1889" s="110"/>
      <c r="P1889" s="109"/>
      <c r="Q1889" s="504"/>
      <c r="R1889" s="107"/>
      <c r="S1889" s="503"/>
    </row>
    <row r="1890" spans="1:19" ht="9.75" customHeight="1">
      <c r="A1890" s="503"/>
      <c r="B1890" s="503"/>
      <c r="C1890" s="13"/>
      <c r="D1890" s="13" t="s">
        <v>198</v>
      </c>
      <c r="E1890" s="13">
        <v>9</v>
      </c>
      <c r="F1890" s="151">
        <v>0</v>
      </c>
      <c r="G1890" s="504">
        <v>2</v>
      </c>
      <c r="H1890" s="504">
        <v>1</v>
      </c>
      <c r="I1890" s="504">
        <v>0</v>
      </c>
      <c r="J1890" s="504">
        <v>1</v>
      </c>
      <c r="K1890" s="504">
        <v>8</v>
      </c>
      <c r="L1890" s="504">
        <v>0</v>
      </c>
      <c r="M1890" s="504">
        <v>0</v>
      </c>
      <c r="N1890" s="504">
        <v>2</v>
      </c>
      <c r="O1890" s="110">
        <v>2</v>
      </c>
      <c r="P1890" s="109">
        <f>MIN(F1890:O1890)</f>
        <v>0</v>
      </c>
      <c r="Q1890" s="504">
        <f>E1890-P1890</f>
        <v>9</v>
      </c>
      <c r="R1890" s="107">
        <f>Q1890/E1890</f>
        <v>1</v>
      </c>
      <c r="S1890" s="503"/>
    </row>
    <row r="1891" spans="1:19" ht="9.75" customHeight="1">
      <c r="A1891" s="503"/>
      <c r="B1891" s="503"/>
      <c r="C1891" s="13"/>
      <c r="D1891" s="13" t="s">
        <v>115</v>
      </c>
      <c r="E1891" s="13"/>
      <c r="F1891" s="151"/>
      <c r="G1891" s="504"/>
      <c r="H1891" s="504"/>
      <c r="I1891" s="504"/>
      <c r="J1891" s="504"/>
      <c r="K1891" s="504"/>
      <c r="L1891" s="504"/>
      <c r="M1891" s="504"/>
      <c r="N1891" s="504"/>
      <c r="O1891" s="110"/>
      <c r="P1891" s="109"/>
      <c r="Q1891" s="504"/>
      <c r="R1891" s="107"/>
      <c r="S1891" s="503"/>
    </row>
    <row r="1892" spans="1:19" ht="9.75" customHeight="1">
      <c r="A1892" s="503"/>
      <c r="B1892" s="503"/>
      <c r="C1892" s="13"/>
      <c r="D1892" s="13" t="s">
        <v>32</v>
      </c>
      <c r="E1892" s="13">
        <v>1</v>
      </c>
      <c r="F1892" s="151">
        <v>1</v>
      </c>
      <c r="G1892" s="504">
        <v>1</v>
      </c>
      <c r="H1892" s="504">
        <v>1</v>
      </c>
      <c r="I1892" s="504">
        <v>1</v>
      </c>
      <c r="J1892" s="504">
        <v>1</v>
      </c>
      <c r="K1892" s="504">
        <v>1</v>
      </c>
      <c r="L1892" s="504">
        <v>1</v>
      </c>
      <c r="M1892" s="504">
        <v>1</v>
      </c>
      <c r="N1892" s="504">
        <v>1</v>
      </c>
      <c r="O1892" s="110">
        <v>1</v>
      </c>
      <c r="P1892" s="109">
        <f>MIN(F1892:O1892)</f>
        <v>1</v>
      </c>
      <c r="Q1892" s="504">
        <f>E1892-P1892</f>
        <v>0</v>
      </c>
      <c r="R1892" s="107">
        <f>Q1892/E1892</f>
        <v>0</v>
      </c>
      <c r="S1892" s="503"/>
    </row>
    <row r="1893" spans="1:19" ht="9.75" customHeight="1">
      <c r="A1893" s="503"/>
      <c r="B1893" s="503"/>
      <c r="C1893" s="13"/>
      <c r="D1893" s="13" t="s">
        <v>245</v>
      </c>
      <c r="E1893" s="13"/>
      <c r="F1893" s="151"/>
      <c r="G1893" s="504"/>
      <c r="H1893" s="504"/>
      <c r="I1893" s="504"/>
      <c r="J1893" s="504"/>
      <c r="K1893" s="504"/>
      <c r="L1893" s="504"/>
      <c r="M1893" s="504"/>
      <c r="N1893" s="504"/>
      <c r="O1893" s="110"/>
      <c r="P1893" s="109"/>
      <c r="Q1893" s="504"/>
      <c r="R1893" s="107"/>
      <c r="S1893" s="503"/>
    </row>
    <row r="1894" spans="1:19" ht="9.75" customHeight="1">
      <c r="A1894" s="503"/>
      <c r="B1894" s="503"/>
      <c r="C1894" s="13"/>
      <c r="D1894" s="13" t="s">
        <v>120</v>
      </c>
      <c r="E1894" s="13"/>
      <c r="F1894" s="151"/>
      <c r="G1894" s="504"/>
      <c r="H1894" s="504"/>
      <c r="I1894" s="504"/>
      <c r="J1894" s="504"/>
      <c r="K1894" s="504"/>
      <c r="L1894" s="504"/>
      <c r="M1894" s="504"/>
      <c r="N1894" s="504"/>
      <c r="O1894" s="110"/>
      <c r="P1894" s="109"/>
      <c r="Q1894" s="504"/>
      <c r="R1894" s="107"/>
      <c r="S1894" s="503"/>
    </row>
    <row r="1895" spans="1:19" ht="9.75" customHeight="1">
      <c r="A1895" s="503"/>
      <c r="B1895" s="503"/>
      <c r="C1895" s="13"/>
      <c r="D1895" s="13" t="s">
        <v>120</v>
      </c>
      <c r="E1895" s="13"/>
      <c r="F1895" s="151"/>
      <c r="G1895" s="504"/>
      <c r="H1895" s="504"/>
      <c r="I1895" s="504"/>
      <c r="J1895" s="504"/>
      <c r="K1895" s="504"/>
      <c r="L1895" s="504"/>
      <c r="M1895" s="504"/>
      <c r="N1895" s="504"/>
      <c r="O1895" s="110"/>
      <c r="P1895" s="109"/>
      <c r="Q1895" s="504"/>
      <c r="R1895" s="107"/>
      <c r="S1895" s="503"/>
    </row>
    <row r="1896" spans="1:19" ht="9.75" customHeight="1">
      <c r="A1896" s="503"/>
      <c r="B1896" s="503"/>
      <c r="C1896" s="13"/>
      <c r="D1896" s="13" t="s">
        <v>120</v>
      </c>
      <c r="E1896" s="13"/>
      <c r="F1896" s="151"/>
      <c r="G1896" s="504"/>
      <c r="H1896" s="504"/>
      <c r="I1896" s="504"/>
      <c r="J1896" s="504"/>
      <c r="K1896" s="504"/>
      <c r="L1896" s="504"/>
      <c r="M1896" s="504"/>
      <c r="N1896" s="504"/>
      <c r="O1896" s="110"/>
      <c r="P1896" s="109"/>
      <c r="Q1896" s="504"/>
      <c r="R1896" s="107"/>
      <c r="S1896" s="503"/>
    </row>
    <row r="1897" spans="1:19" ht="9.75" customHeight="1">
      <c r="A1897" s="503"/>
      <c r="B1897" s="503"/>
      <c r="C1897" s="13"/>
      <c r="D1897" s="13" t="s">
        <v>120</v>
      </c>
      <c r="E1897" s="13"/>
      <c r="F1897" s="151"/>
      <c r="G1897" s="504"/>
      <c r="H1897" s="504"/>
      <c r="I1897" s="504"/>
      <c r="J1897" s="504"/>
      <c r="K1897" s="504"/>
      <c r="L1897" s="504"/>
      <c r="M1897" s="504"/>
      <c r="N1897" s="504"/>
      <c r="O1897" s="110"/>
      <c r="P1897" s="109"/>
      <c r="Q1897" s="504"/>
      <c r="R1897" s="107"/>
      <c r="S1897" s="503"/>
    </row>
    <row r="1898" spans="1:19" ht="9.75" customHeight="1">
      <c r="A1898" s="503"/>
      <c r="B1898" s="503"/>
      <c r="C1898" s="13"/>
      <c r="D1898" s="13" t="s">
        <v>120</v>
      </c>
      <c r="E1898" s="13"/>
      <c r="F1898" s="151"/>
      <c r="G1898" s="504"/>
      <c r="H1898" s="504"/>
      <c r="I1898" s="504"/>
      <c r="J1898" s="504"/>
      <c r="K1898" s="504"/>
      <c r="L1898" s="504"/>
      <c r="M1898" s="504"/>
      <c r="N1898" s="504"/>
      <c r="O1898" s="110"/>
      <c r="P1898" s="109"/>
      <c r="Q1898" s="504"/>
      <c r="R1898" s="107"/>
      <c r="S1898" s="503"/>
    </row>
    <row r="1899" spans="1:19" ht="9.75" customHeight="1">
      <c r="A1899" s="503"/>
      <c r="B1899" s="503"/>
      <c r="C1899" s="13"/>
      <c r="D1899" s="13" t="s">
        <v>34</v>
      </c>
      <c r="E1899" s="13"/>
      <c r="F1899" s="151"/>
      <c r="G1899" s="504"/>
      <c r="H1899" s="504"/>
      <c r="I1899" s="504"/>
      <c r="J1899" s="504"/>
      <c r="K1899" s="504"/>
      <c r="L1899" s="504"/>
      <c r="M1899" s="504"/>
      <c r="N1899" s="504"/>
      <c r="O1899" s="110"/>
      <c r="P1899" s="109"/>
      <c r="Q1899" s="504"/>
      <c r="R1899" s="107"/>
      <c r="S1899" s="503"/>
    </row>
    <row r="1900" spans="1:19" ht="9.75" customHeight="1">
      <c r="A1900" s="503"/>
      <c r="B1900" s="503"/>
      <c r="C1900" s="13"/>
      <c r="D1900" s="13" t="s">
        <v>35</v>
      </c>
      <c r="E1900" s="13"/>
      <c r="F1900" s="151"/>
      <c r="G1900" s="504"/>
      <c r="H1900" s="504"/>
      <c r="I1900" s="504"/>
      <c r="J1900" s="504"/>
      <c r="K1900" s="504"/>
      <c r="L1900" s="504"/>
      <c r="M1900" s="504"/>
      <c r="N1900" s="504"/>
      <c r="O1900" s="110"/>
      <c r="P1900" s="109"/>
      <c r="Q1900" s="504"/>
      <c r="R1900" s="107"/>
      <c r="S1900" s="503"/>
    </row>
    <row r="1901" spans="1:19" ht="9.75" customHeight="1">
      <c r="A1901" s="503"/>
      <c r="B1901" s="503"/>
      <c r="C1901" s="13"/>
      <c r="D1901" s="13" t="s">
        <v>36</v>
      </c>
      <c r="E1901" s="13">
        <v>1</v>
      </c>
      <c r="F1901" s="151">
        <v>1</v>
      </c>
      <c r="G1901" s="504">
        <v>1</v>
      </c>
      <c r="H1901" s="504">
        <v>1</v>
      </c>
      <c r="I1901" s="504">
        <v>1</v>
      </c>
      <c r="J1901" s="504">
        <v>1</v>
      </c>
      <c r="K1901" s="504">
        <v>1</v>
      </c>
      <c r="L1901" s="504">
        <v>1</v>
      </c>
      <c r="M1901" s="504">
        <v>0</v>
      </c>
      <c r="N1901" s="504">
        <v>1</v>
      </c>
      <c r="O1901" s="110">
        <v>1</v>
      </c>
      <c r="P1901" s="109">
        <f>MIN(F1901:O1901)</f>
        <v>0</v>
      </c>
      <c r="Q1901" s="504">
        <f>E1901-P1901</f>
        <v>1</v>
      </c>
      <c r="R1901" s="107">
        <f>Q1901/E1901</f>
        <v>1</v>
      </c>
      <c r="S1901" s="503"/>
    </row>
    <row r="1902" spans="1:19" ht="9.75" customHeight="1">
      <c r="A1902" s="503"/>
      <c r="B1902" s="503"/>
      <c r="C1902" s="13"/>
      <c r="D1902" s="13" t="s">
        <v>37</v>
      </c>
      <c r="E1902" s="13"/>
      <c r="F1902" s="151"/>
      <c r="G1902" s="504"/>
      <c r="H1902" s="504"/>
      <c r="I1902" s="504"/>
      <c r="J1902" s="504"/>
      <c r="K1902" s="504"/>
      <c r="L1902" s="504"/>
      <c r="M1902" s="504"/>
      <c r="N1902" s="504"/>
      <c r="O1902" s="110"/>
      <c r="P1902" s="109"/>
      <c r="Q1902" s="504"/>
      <c r="R1902" s="107"/>
      <c r="S1902" s="503"/>
    </row>
    <row r="1903" spans="1:19" ht="9.75" customHeight="1">
      <c r="A1903" s="503"/>
      <c r="B1903" s="503" t="s">
        <v>127</v>
      </c>
      <c r="C1903" s="2"/>
      <c r="D1903" s="3" t="s">
        <v>38</v>
      </c>
      <c r="E1903" s="3">
        <f t="shared" ref="E1903:O1903" si="361">SUM(E1887:E1902)</f>
        <v>194</v>
      </c>
      <c r="F1903" s="21">
        <f t="shared" si="361"/>
        <v>48</v>
      </c>
      <c r="G1903" s="71">
        <f t="shared" si="361"/>
        <v>35</v>
      </c>
      <c r="H1903" s="71">
        <f t="shared" si="361"/>
        <v>24</v>
      </c>
      <c r="I1903" s="71">
        <f t="shared" si="361"/>
        <v>20</v>
      </c>
      <c r="J1903" s="71">
        <f t="shared" si="361"/>
        <v>21</v>
      </c>
      <c r="K1903" s="71">
        <f t="shared" si="361"/>
        <v>15</v>
      </c>
      <c r="L1903" s="71">
        <f t="shared" si="361"/>
        <v>19</v>
      </c>
      <c r="M1903" s="71">
        <f t="shared" si="361"/>
        <v>21</v>
      </c>
      <c r="N1903" s="71">
        <f t="shared" si="361"/>
        <v>54</v>
      </c>
      <c r="O1903" s="26">
        <f t="shared" si="361"/>
        <v>62</v>
      </c>
      <c r="P1903" s="21">
        <f>MIN(F1903:O1903)</f>
        <v>15</v>
      </c>
      <c r="Q1903" s="71">
        <f>E1903-P1903</f>
        <v>179</v>
      </c>
      <c r="R1903" s="7">
        <f>Q1903/E1903</f>
        <v>0.92268041237113407</v>
      </c>
      <c r="S1903" s="503"/>
    </row>
    <row r="1904" spans="1:19" ht="9.75" customHeight="1">
      <c r="A1904" s="503"/>
      <c r="B1904" s="503"/>
      <c r="C1904" s="33" t="s">
        <v>325</v>
      </c>
      <c r="D1904" s="33" t="s">
        <v>23</v>
      </c>
      <c r="E1904" s="58"/>
      <c r="F1904" s="145"/>
      <c r="G1904" s="146"/>
      <c r="H1904" s="146"/>
      <c r="I1904" s="146"/>
      <c r="J1904" s="146"/>
      <c r="K1904" s="146"/>
      <c r="L1904" s="146"/>
      <c r="M1904" s="146"/>
      <c r="N1904" s="146"/>
      <c r="O1904" s="147"/>
      <c r="P1904" s="145"/>
      <c r="Q1904" s="146"/>
      <c r="R1904" s="148"/>
      <c r="S1904" s="503"/>
    </row>
    <row r="1905" spans="1:19" ht="9.75" customHeight="1">
      <c r="A1905" s="503"/>
      <c r="B1905" s="503"/>
      <c r="C1905" s="58" t="s">
        <v>66</v>
      </c>
      <c r="D1905" s="58" t="s">
        <v>25</v>
      </c>
      <c r="E1905" s="58"/>
      <c r="F1905" s="145"/>
      <c r="G1905" s="146"/>
      <c r="H1905" s="146"/>
      <c r="I1905" s="146"/>
      <c r="J1905" s="146"/>
      <c r="K1905" s="146"/>
      <c r="L1905" s="146"/>
      <c r="M1905" s="146"/>
      <c r="N1905" s="146"/>
      <c r="O1905" s="147"/>
      <c r="P1905" s="145"/>
      <c r="Q1905" s="146"/>
      <c r="R1905" s="148"/>
      <c r="S1905" s="503"/>
    </row>
    <row r="1906" spans="1:19" ht="9.75" customHeight="1">
      <c r="A1906" s="503"/>
      <c r="B1906" s="503"/>
      <c r="C1906" s="58" t="s">
        <v>160</v>
      </c>
      <c r="D1906" s="58" t="s">
        <v>27</v>
      </c>
      <c r="E1906" s="58"/>
      <c r="F1906" s="145"/>
      <c r="G1906" s="146"/>
      <c r="H1906" s="146"/>
      <c r="I1906" s="146"/>
      <c r="J1906" s="146"/>
      <c r="K1906" s="146"/>
      <c r="L1906" s="146"/>
      <c r="M1906" s="146"/>
      <c r="N1906" s="146"/>
      <c r="O1906" s="147"/>
      <c r="P1906" s="145"/>
      <c r="Q1906" s="146"/>
      <c r="R1906" s="148"/>
      <c r="S1906" s="503"/>
    </row>
    <row r="1907" spans="1:19" ht="9.75" customHeight="1">
      <c r="A1907" s="503"/>
      <c r="B1907" s="503"/>
      <c r="C1907" s="58" t="s">
        <v>74</v>
      </c>
      <c r="D1907" s="58" t="s">
        <v>115</v>
      </c>
      <c r="E1907" s="58"/>
      <c r="F1907" s="145"/>
      <c r="G1907" s="146"/>
      <c r="H1907" s="146"/>
      <c r="I1907" s="146"/>
      <c r="J1907" s="146"/>
      <c r="K1907" s="146"/>
      <c r="L1907" s="146"/>
      <c r="M1907" s="146"/>
      <c r="N1907" s="146"/>
      <c r="O1907" s="147"/>
      <c r="P1907" s="145"/>
      <c r="Q1907" s="146"/>
      <c r="R1907" s="148"/>
      <c r="S1907" s="503"/>
    </row>
    <row r="1908" spans="1:19" ht="9.75" customHeight="1">
      <c r="A1908" s="503"/>
      <c r="B1908" s="503"/>
      <c r="C1908" s="58"/>
      <c r="D1908" s="58" t="s">
        <v>115</v>
      </c>
      <c r="E1908" s="58"/>
      <c r="F1908" s="145"/>
      <c r="G1908" s="146"/>
      <c r="H1908" s="146"/>
      <c r="I1908" s="146"/>
      <c r="J1908" s="146"/>
      <c r="K1908" s="146"/>
      <c r="L1908" s="146"/>
      <c r="M1908" s="146"/>
      <c r="N1908" s="146"/>
      <c r="O1908" s="147"/>
      <c r="P1908" s="145"/>
      <c r="Q1908" s="146"/>
      <c r="R1908" s="148"/>
      <c r="S1908" s="503"/>
    </row>
    <row r="1909" spans="1:19" ht="9.75" customHeight="1">
      <c r="A1909" s="503"/>
      <c r="B1909" s="503"/>
      <c r="C1909" s="58"/>
      <c r="D1909" s="58" t="s">
        <v>32</v>
      </c>
      <c r="E1909" s="58"/>
      <c r="F1909" s="145"/>
      <c r="G1909" s="146"/>
      <c r="H1909" s="146"/>
      <c r="I1909" s="146"/>
      <c r="J1909" s="146"/>
      <c r="K1909" s="146"/>
      <c r="L1909" s="146"/>
      <c r="M1909" s="146"/>
      <c r="N1909" s="146"/>
      <c r="O1909" s="147"/>
      <c r="P1909" s="145"/>
      <c r="Q1909" s="146"/>
      <c r="R1909" s="148"/>
      <c r="S1909" s="503"/>
    </row>
    <row r="1910" spans="1:19" ht="9.75" customHeight="1">
      <c r="A1910" s="503"/>
      <c r="B1910" s="503"/>
      <c r="C1910" s="58"/>
      <c r="D1910" s="58" t="s">
        <v>120</v>
      </c>
      <c r="E1910" s="58"/>
      <c r="F1910" s="145"/>
      <c r="G1910" s="146"/>
      <c r="H1910" s="146"/>
      <c r="I1910" s="146"/>
      <c r="J1910" s="146"/>
      <c r="K1910" s="146"/>
      <c r="L1910" s="146"/>
      <c r="M1910" s="146"/>
      <c r="N1910" s="146"/>
      <c r="O1910" s="147"/>
      <c r="P1910" s="145"/>
      <c r="Q1910" s="146"/>
      <c r="R1910" s="148"/>
      <c r="S1910" s="503"/>
    </row>
    <row r="1911" spans="1:19" ht="9.75" customHeight="1">
      <c r="A1911" s="503"/>
      <c r="B1911" s="503"/>
      <c r="C1911" s="58"/>
      <c r="D1911" s="58" t="s">
        <v>120</v>
      </c>
      <c r="E1911" s="58"/>
      <c r="F1911" s="145"/>
      <c r="G1911" s="146"/>
      <c r="H1911" s="146"/>
      <c r="I1911" s="146"/>
      <c r="J1911" s="146"/>
      <c r="K1911" s="146"/>
      <c r="L1911" s="146"/>
      <c r="M1911" s="146"/>
      <c r="N1911" s="146"/>
      <c r="O1911" s="147"/>
      <c r="P1911" s="145"/>
      <c r="Q1911" s="146"/>
      <c r="R1911" s="148"/>
      <c r="S1911" s="503"/>
    </row>
    <row r="1912" spans="1:19" ht="9.75" customHeight="1">
      <c r="A1912" s="503"/>
      <c r="B1912" s="503"/>
      <c r="C1912" s="58"/>
      <c r="D1912" s="58" t="s">
        <v>120</v>
      </c>
      <c r="E1912" s="58"/>
      <c r="F1912" s="145"/>
      <c r="G1912" s="146"/>
      <c r="H1912" s="146"/>
      <c r="I1912" s="146"/>
      <c r="J1912" s="146"/>
      <c r="K1912" s="146"/>
      <c r="L1912" s="146"/>
      <c r="M1912" s="146"/>
      <c r="N1912" s="146"/>
      <c r="O1912" s="147"/>
      <c r="P1912" s="145"/>
      <c r="Q1912" s="146"/>
      <c r="R1912" s="148"/>
      <c r="S1912" s="503"/>
    </row>
    <row r="1913" spans="1:19" ht="9.75" customHeight="1">
      <c r="A1913" s="503"/>
      <c r="B1913" s="503"/>
      <c r="C1913" s="58"/>
      <c r="D1913" s="58" t="s">
        <v>120</v>
      </c>
      <c r="E1913" s="58"/>
      <c r="F1913" s="145"/>
      <c r="G1913" s="146"/>
      <c r="H1913" s="146"/>
      <c r="I1913" s="146"/>
      <c r="J1913" s="146"/>
      <c r="K1913" s="146"/>
      <c r="L1913" s="146"/>
      <c r="M1913" s="146"/>
      <c r="N1913" s="146"/>
      <c r="O1913" s="147"/>
      <c r="P1913" s="145"/>
      <c r="Q1913" s="146"/>
      <c r="R1913" s="148"/>
      <c r="S1913" s="503"/>
    </row>
    <row r="1914" spans="1:19" ht="9.75" customHeight="1">
      <c r="A1914" s="503"/>
      <c r="B1914" s="503"/>
      <c r="C1914" s="58"/>
      <c r="D1914" s="58" t="s">
        <v>120</v>
      </c>
      <c r="E1914" s="58"/>
      <c r="F1914" s="145"/>
      <c r="G1914" s="146"/>
      <c r="H1914" s="146"/>
      <c r="I1914" s="146"/>
      <c r="J1914" s="146"/>
      <c r="K1914" s="146"/>
      <c r="L1914" s="146"/>
      <c r="M1914" s="146"/>
      <c r="N1914" s="146"/>
      <c r="O1914" s="147"/>
      <c r="P1914" s="145"/>
      <c r="Q1914" s="146"/>
      <c r="R1914" s="148"/>
      <c r="S1914" s="503"/>
    </row>
    <row r="1915" spans="1:19" ht="9.75" customHeight="1">
      <c r="A1915" s="503"/>
      <c r="B1915" s="503"/>
      <c r="C1915" s="58"/>
      <c r="D1915" s="58" t="s">
        <v>120</v>
      </c>
      <c r="E1915" s="58"/>
      <c r="F1915" s="145"/>
      <c r="G1915" s="146"/>
      <c r="H1915" s="146"/>
      <c r="I1915" s="146"/>
      <c r="J1915" s="146"/>
      <c r="K1915" s="146"/>
      <c r="L1915" s="146"/>
      <c r="M1915" s="146"/>
      <c r="N1915" s="146"/>
      <c r="O1915" s="147"/>
      <c r="P1915" s="145"/>
      <c r="Q1915" s="146"/>
      <c r="R1915" s="148"/>
      <c r="S1915" s="503"/>
    </row>
    <row r="1916" spans="1:19" ht="9.75" customHeight="1">
      <c r="A1916" s="503"/>
      <c r="B1916" s="503"/>
      <c r="C1916" s="58"/>
      <c r="D1916" s="58" t="s">
        <v>34</v>
      </c>
      <c r="E1916" s="58"/>
      <c r="F1916" s="145"/>
      <c r="G1916" s="146"/>
      <c r="H1916" s="146"/>
      <c r="I1916" s="146"/>
      <c r="J1916" s="146"/>
      <c r="K1916" s="146"/>
      <c r="L1916" s="146"/>
      <c r="M1916" s="146"/>
      <c r="N1916" s="146"/>
      <c r="O1916" s="147"/>
      <c r="P1916" s="145"/>
      <c r="Q1916" s="146"/>
      <c r="R1916" s="148"/>
      <c r="S1916" s="503"/>
    </row>
    <row r="1917" spans="1:19" ht="9.75" customHeight="1">
      <c r="A1917" s="503"/>
      <c r="B1917" s="503"/>
      <c r="C1917" s="58"/>
      <c r="D1917" s="58" t="s">
        <v>35</v>
      </c>
      <c r="E1917" s="58"/>
      <c r="F1917" s="145"/>
      <c r="G1917" s="146"/>
      <c r="H1917" s="146"/>
      <c r="I1917" s="146"/>
      <c r="J1917" s="146"/>
      <c r="K1917" s="146"/>
      <c r="L1917" s="146"/>
      <c r="M1917" s="146"/>
      <c r="N1917" s="146"/>
      <c r="O1917" s="147"/>
      <c r="P1917" s="145"/>
      <c r="Q1917" s="146"/>
      <c r="R1917" s="148"/>
      <c r="S1917" s="503"/>
    </row>
    <row r="1918" spans="1:19" ht="9.75" customHeight="1">
      <c r="A1918" s="503"/>
      <c r="B1918" s="503"/>
      <c r="C1918" s="58"/>
      <c r="D1918" s="58" t="s">
        <v>36</v>
      </c>
      <c r="E1918" s="58"/>
      <c r="F1918" s="145"/>
      <c r="G1918" s="146"/>
      <c r="H1918" s="146"/>
      <c r="I1918" s="146"/>
      <c r="J1918" s="146"/>
      <c r="K1918" s="146"/>
      <c r="L1918" s="146"/>
      <c r="M1918" s="146"/>
      <c r="N1918" s="146"/>
      <c r="O1918" s="147"/>
      <c r="P1918" s="145"/>
      <c r="Q1918" s="146"/>
      <c r="R1918" s="148"/>
      <c r="S1918" s="503"/>
    </row>
    <row r="1919" spans="1:19" ht="9.75" customHeight="1">
      <c r="A1919" s="503"/>
      <c r="B1919" s="503"/>
      <c r="C1919" s="58"/>
      <c r="D1919" s="58" t="s">
        <v>37</v>
      </c>
      <c r="E1919" s="58"/>
      <c r="F1919" s="145"/>
      <c r="G1919" s="146"/>
      <c r="H1919" s="146"/>
      <c r="I1919" s="146"/>
      <c r="J1919" s="146"/>
      <c r="K1919" s="146"/>
      <c r="L1919" s="146"/>
      <c r="M1919" s="146"/>
      <c r="N1919" s="146"/>
      <c r="O1919" s="147"/>
      <c r="P1919" s="145"/>
      <c r="Q1919" s="146"/>
      <c r="R1919" s="148"/>
      <c r="S1919" s="503"/>
    </row>
    <row r="1920" spans="1:19" ht="9.75" customHeight="1">
      <c r="A1920" s="503"/>
      <c r="B1920" s="503"/>
      <c r="C1920" s="449"/>
      <c r="D1920" s="491" t="s">
        <v>38</v>
      </c>
      <c r="E1920" s="491"/>
      <c r="F1920" s="456"/>
      <c r="G1920" s="457"/>
      <c r="H1920" s="457"/>
      <c r="I1920" s="457"/>
      <c r="J1920" s="457"/>
      <c r="K1920" s="457"/>
      <c r="L1920" s="457"/>
      <c r="M1920" s="457"/>
      <c r="N1920" s="457"/>
      <c r="O1920" s="458"/>
      <c r="P1920" s="456"/>
      <c r="Q1920" s="457"/>
      <c r="R1920" s="459"/>
      <c r="S1920" s="503"/>
    </row>
    <row r="1921" spans="1:19" ht="9.75" customHeight="1">
      <c r="A1921" s="503"/>
      <c r="B1921" s="503"/>
      <c r="C1921" s="43" t="s">
        <v>326</v>
      </c>
      <c r="D1921" s="43" t="s">
        <v>23</v>
      </c>
      <c r="E1921" s="43"/>
      <c r="F1921" s="116"/>
      <c r="G1921" s="128"/>
      <c r="H1921" s="128"/>
      <c r="I1921" s="128"/>
      <c r="J1921" s="128"/>
      <c r="K1921" s="128"/>
      <c r="L1921" s="128"/>
      <c r="M1921" s="128"/>
      <c r="N1921" s="128"/>
      <c r="O1921" s="129"/>
      <c r="P1921" s="116"/>
      <c r="Q1921" s="128"/>
      <c r="R1921" s="141"/>
      <c r="S1921" s="503"/>
    </row>
    <row r="1922" spans="1:19" ht="9.75" customHeight="1">
      <c r="A1922" s="503"/>
      <c r="B1922" s="503"/>
      <c r="C1922" s="13"/>
      <c r="D1922" s="13" t="s">
        <v>25</v>
      </c>
      <c r="E1922" s="13"/>
      <c r="F1922" s="109"/>
      <c r="G1922" s="504"/>
      <c r="H1922" s="504"/>
      <c r="I1922" s="504"/>
      <c r="J1922" s="504"/>
      <c r="K1922" s="504"/>
      <c r="L1922" s="504"/>
      <c r="M1922" s="504"/>
      <c r="N1922" s="504"/>
      <c r="O1922" s="110"/>
      <c r="P1922" s="109"/>
      <c r="Q1922" s="504"/>
      <c r="R1922" s="107"/>
      <c r="S1922" s="503"/>
    </row>
    <row r="1923" spans="1:19" ht="9.75" customHeight="1">
      <c r="A1923" s="503"/>
      <c r="B1923" s="503"/>
      <c r="C1923" s="13"/>
      <c r="D1923" s="13" t="s">
        <v>27</v>
      </c>
      <c r="E1923" s="13"/>
      <c r="F1923" s="109"/>
      <c r="G1923" s="504"/>
      <c r="H1923" s="504"/>
      <c r="I1923" s="504"/>
      <c r="J1923" s="504"/>
      <c r="K1923" s="504"/>
      <c r="L1923" s="504"/>
      <c r="M1923" s="504"/>
      <c r="N1923" s="504"/>
      <c r="O1923" s="110"/>
      <c r="P1923" s="109"/>
      <c r="Q1923" s="504"/>
      <c r="R1923" s="107"/>
      <c r="S1923" s="503"/>
    </row>
    <row r="1924" spans="1:19" ht="9.75" customHeight="1">
      <c r="A1924" s="503"/>
      <c r="B1924" s="503"/>
      <c r="C1924" s="13"/>
      <c r="D1924" s="13" t="s">
        <v>115</v>
      </c>
      <c r="E1924" s="13"/>
      <c r="F1924" s="109"/>
      <c r="G1924" s="504"/>
      <c r="H1924" s="504"/>
      <c r="I1924" s="504"/>
      <c r="J1924" s="504"/>
      <c r="K1924" s="504"/>
      <c r="L1924" s="504"/>
      <c r="M1924" s="504"/>
      <c r="N1924" s="504"/>
      <c r="O1924" s="110"/>
      <c r="P1924" s="109"/>
      <c r="Q1924" s="504"/>
      <c r="R1924" s="107"/>
      <c r="S1924" s="503"/>
    </row>
    <row r="1925" spans="1:19" ht="9.75" customHeight="1">
      <c r="A1925" s="503"/>
      <c r="B1925" s="503"/>
      <c r="C1925" s="13"/>
      <c r="D1925" s="13" t="s">
        <v>115</v>
      </c>
      <c r="E1925" s="13"/>
      <c r="F1925" s="109"/>
      <c r="G1925" s="504"/>
      <c r="H1925" s="504"/>
      <c r="I1925" s="504"/>
      <c r="J1925" s="504"/>
      <c r="K1925" s="504"/>
      <c r="L1925" s="504"/>
      <c r="M1925" s="504"/>
      <c r="N1925" s="504"/>
      <c r="O1925" s="110"/>
      <c r="P1925" s="109"/>
      <c r="Q1925" s="504"/>
      <c r="R1925" s="107"/>
      <c r="S1925" s="503"/>
    </row>
    <row r="1926" spans="1:19" ht="9.75" customHeight="1">
      <c r="A1926" s="503"/>
      <c r="B1926" s="503"/>
      <c r="C1926" s="13"/>
      <c r="D1926" s="13" t="s">
        <v>32</v>
      </c>
      <c r="E1926" s="13"/>
      <c r="F1926" s="109"/>
      <c r="G1926" s="504"/>
      <c r="H1926" s="504"/>
      <c r="I1926" s="504"/>
      <c r="J1926" s="504"/>
      <c r="K1926" s="504"/>
      <c r="L1926" s="504"/>
      <c r="M1926" s="504"/>
      <c r="N1926" s="504"/>
      <c r="O1926" s="110"/>
      <c r="P1926" s="109"/>
      <c r="Q1926" s="504"/>
      <c r="R1926" s="107"/>
      <c r="S1926" s="503"/>
    </row>
    <row r="1927" spans="1:19" ht="9.75" customHeight="1">
      <c r="A1927" s="503"/>
      <c r="B1927" s="503"/>
      <c r="C1927" s="13"/>
      <c r="D1927" s="13" t="s">
        <v>120</v>
      </c>
      <c r="E1927" s="13"/>
      <c r="F1927" s="109"/>
      <c r="G1927" s="504"/>
      <c r="H1927" s="504"/>
      <c r="I1927" s="504"/>
      <c r="J1927" s="504"/>
      <c r="K1927" s="504"/>
      <c r="L1927" s="504"/>
      <c r="M1927" s="504"/>
      <c r="N1927" s="504"/>
      <c r="O1927" s="110"/>
      <c r="P1927" s="109"/>
      <c r="Q1927" s="504"/>
      <c r="R1927" s="107"/>
      <c r="S1927" s="503"/>
    </row>
    <row r="1928" spans="1:19" ht="9.75" customHeight="1">
      <c r="A1928" s="503"/>
      <c r="B1928" s="503"/>
      <c r="C1928" s="13"/>
      <c r="D1928" s="13" t="s">
        <v>120</v>
      </c>
      <c r="E1928" s="13"/>
      <c r="F1928" s="109"/>
      <c r="G1928" s="504"/>
      <c r="H1928" s="504"/>
      <c r="I1928" s="504"/>
      <c r="J1928" s="504"/>
      <c r="K1928" s="504"/>
      <c r="L1928" s="504"/>
      <c r="M1928" s="504"/>
      <c r="N1928" s="504"/>
      <c r="O1928" s="110"/>
      <c r="P1928" s="109"/>
      <c r="Q1928" s="504"/>
      <c r="R1928" s="107"/>
      <c r="S1928" s="503"/>
    </row>
    <row r="1929" spans="1:19" ht="9.75" customHeight="1">
      <c r="A1929" s="503"/>
      <c r="B1929" s="503"/>
      <c r="C1929" s="13"/>
      <c r="D1929" s="13" t="s">
        <v>120</v>
      </c>
      <c r="E1929" s="13"/>
      <c r="F1929" s="109"/>
      <c r="G1929" s="504"/>
      <c r="H1929" s="504"/>
      <c r="I1929" s="504"/>
      <c r="J1929" s="504"/>
      <c r="K1929" s="504"/>
      <c r="L1929" s="504"/>
      <c r="M1929" s="504"/>
      <c r="N1929" s="504"/>
      <c r="O1929" s="110"/>
      <c r="P1929" s="109"/>
      <c r="Q1929" s="504"/>
      <c r="R1929" s="107"/>
      <c r="S1929" s="503"/>
    </row>
    <row r="1930" spans="1:19" ht="9.75" customHeight="1">
      <c r="A1930" s="503"/>
      <c r="B1930" s="503"/>
      <c r="C1930" s="13"/>
      <c r="D1930" s="13" t="s">
        <v>120</v>
      </c>
      <c r="E1930" s="13"/>
      <c r="F1930" s="109"/>
      <c r="G1930" s="504"/>
      <c r="H1930" s="504"/>
      <c r="I1930" s="504"/>
      <c r="J1930" s="504"/>
      <c r="K1930" s="504"/>
      <c r="L1930" s="504"/>
      <c r="M1930" s="504"/>
      <c r="N1930" s="504"/>
      <c r="O1930" s="110"/>
      <c r="P1930" s="109"/>
      <c r="Q1930" s="504"/>
      <c r="R1930" s="107"/>
      <c r="S1930" s="503"/>
    </row>
    <row r="1931" spans="1:19" ht="9.75" customHeight="1">
      <c r="A1931" s="503"/>
      <c r="B1931" s="503"/>
      <c r="C1931" s="13"/>
      <c r="D1931" s="13" t="s">
        <v>120</v>
      </c>
      <c r="E1931" s="13"/>
      <c r="F1931" s="109"/>
      <c r="G1931" s="504"/>
      <c r="H1931" s="504"/>
      <c r="I1931" s="504"/>
      <c r="J1931" s="504"/>
      <c r="K1931" s="504"/>
      <c r="L1931" s="504"/>
      <c r="M1931" s="504"/>
      <c r="N1931" s="504"/>
      <c r="O1931" s="110"/>
      <c r="P1931" s="109"/>
      <c r="Q1931" s="504"/>
      <c r="R1931" s="107"/>
      <c r="S1931" s="503"/>
    </row>
    <row r="1932" spans="1:19" ht="9.75" customHeight="1">
      <c r="A1932" s="503"/>
      <c r="B1932" s="503"/>
      <c r="C1932" s="13"/>
      <c r="D1932" s="13" t="s">
        <v>120</v>
      </c>
      <c r="E1932" s="13"/>
      <c r="F1932" s="109"/>
      <c r="G1932" s="504"/>
      <c r="H1932" s="504"/>
      <c r="I1932" s="504"/>
      <c r="J1932" s="504"/>
      <c r="K1932" s="504"/>
      <c r="L1932" s="504"/>
      <c r="M1932" s="504"/>
      <c r="N1932" s="504"/>
      <c r="O1932" s="110"/>
      <c r="P1932" s="109"/>
      <c r="Q1932" s="504"/>
      <c r="R1932" s="107"/>
      <c r="S1932" s="503"/>
    </row>
    <row r="1933" spans="1:19" ht="9.75" customHeight="1">
      <c r="A1933" s="503"/>
      <c r="B1933" s="503"/>
      <c r="C1933" s="13"/>
      <c r="D1933" s="13" t="s">
        <v>34</v>
      </c>
      <c r="E1933" s="13">
        <v>10</v>
      </c>
      <c r="F1933" s="109">
        <v>10</v>
      </c>
      <c r="G1933" s="504">
        <v>8</v>
      </c>
      <c r="H1933" s="504">
        <v>7</v>
      </c>
      <c r="I1933" s="504">
        <v>0</v>
      </c>
      <c r="J1933" s="504">
        <v>0</v>
      </c>
      <c r="K1933" s="504">
        <v>0</v>
      </c>
      <c r="L1933" s="504">
        <v>0</v>
      </c>
      <c r="M1933" s="504">
        <v>0</v>
      </c>
      <c r="N1933" s="504">
        <v>3</v>
      </c>
      <c r="O1933" s="110">
        <v>2</v>
      </c>
      <c r="P1933" s="109">
        <f>MIN(F1933:O1933)</f>
        <v>0</v>
      </c>
      <c r="Q1933" s="504">
        <f>E1933-P1933</f>
        <v>10</v>
      </c>
      <c r="R1933" s="107">
        <f>Q1933/E1933</f>
        <v>1</v>
      </c>
      <c r="S1933" s="503"/>
    </row>
    <row r="1934" spans="1:19" ht="9.75" customHeight="1">
      <c r="A1934" s="503"/>
      <c r="B1934" s="503"/>
      <c r="C1934" s="13"/>
      <c r="D1934" s="13" t="s">
        <v>35</v>
      </c>
      <c r="E1934" s="13"/>
      <c r="F1934" s="109"/>
      <c r="G1934" s="504"/>
      <c r="H1934" s="504"/>
      <c r="I1934" s="504"/>
      <c r="J1934" s="504"/>
      <c r="K1934" s="504"/>
      <c r="L1934" s="504"/>
      <c r="M1934" s="504"/>
      <c r="N1934" s="504"/>
      <c r="O1934" s="110"/>
      <c r="P1934" s="109"/>
      <c r="Q1934" s="504"/>
      <c r="R1934" s="107"/>
      <c r="S1934" s="503"/>
    </row>
    <row r="1935" spans="1:19" ht="9.75" customHeight="1">
      <c r="A1935" s="503"/>
      <c r="B1935" s="503"/>
      <c r="C1935" s="13"/>
      <c r="D1935" s="13" t="s">
        <v>36</v>
      </c>
      <c r="E1935" s="13"/>
      <c r="F1935" s="109"/>
      <c r="G1935" s="504"/>
      <c r="H1935" s="504"/>
      <c r="I1935" s="504"/>
      <c r="J1935" s="504"/>
      <c r="K1935" s="504"/>
      <c r="L1935" s="504"/>
      <c r="M1935" s="504"/>
      <c r="N1935" s="504"/>
      <c r="O1935" s="110"/>
      <c r="P1935" s="109"/>
      <c r="Q1935" s="504"/>
      <c r="R1935" s="107"/>
      <c r="S1935" s="503"/>
    </row>
    <row r="1936" spans="1:19" ht="9.75" customHeight="1">
      <c r="A1936" s="503"/>
      <c r="B1936" s="503"/>
      <c r="C1936" s="13"/>
      <c r="D1936" s="13" t="s">
        <v>37</v>
      </c>
      <c r="E1936" s="13"/>
      <c r="F1936" s="109"/>
      <c r="G1936" s="504"/>
      <c r="H1936" s="504"/>
      <c r="I1936" s="504"/>
      <c r="J1936" s="504"/>
      <c r="K1936" s="504"/>
      <c r="L1936" s="504"/>
      <c r="M1936" s="504"/>
      <c r="N1936" s="504"/>
      <c r="O1936" s="110"/>
      <c r="P1936" s="109"/>
      <c r="Q1936" s="504"/>
      <c r="R1936" s="107"/>
      <c r="S1936" s="503"/>
    </row>
    <row r="1937" spans="1:19" ht="9.75" customHeight="1">
      <c r="A1937" s="503"/>
      <c r="B1937" s="503" t="s">
        <v>127</v>
      </c>
      <c r="C1937" s="2"/>
      <c r="D1937" s="3" t="s">
        <v>38</v>
      </c>
      <c r="E1937" s="3">
        <f t="shared" ref="E1937:O1937" si="362">SUM(E1921:E1936)</f>
        <v>10</v>
      </c>
      <c r="F1937" s="21">
        <f>SUM(F1921:F1936)</f>
        <v>10</v>
      </c>
      <c r="G1937" s="71">
        <f>SUM(G1921:G1936)</f>
        <v>8</v>
      </c>
      <c r="H1937" s="71">
        <f>SUM(H1921:H1936)</f>
        <v>7</v>
      </c>
      <c r="I1937" s="71">
        <f>SUM(I1921:I1936)</f>
        <v>0</v>
      </c>
      <c r="J1937" s="71">
        <f t="shared" si="362"/>
        <v>0</v>
      </c>
      <c r="K1937" s="71">
        <f t="shared" si="362"/>
        <v>0</v>
      </c>
      <c r="L1937" s="71">
        <f t="shared" si="362"/>
        <v>0</v>
      </c>
      <c r="M1937" s="71">
        <f t="shared" si="362"/>
        <v>0</v>
      </c>
      <c r="N1937" s="71">
        <f t="shared" si="362"/>
        <v>3</v>
      </c>
      <c r="O1937" s="26">
        <f t="shared" si="362"/>
        <v>2</v>
      </c>
      <c r="P1937" s="21">
        <f t="shared" ref="P1937:P1939" si="363">MIN(F1937:O1937)</f>
        <v>0</v>
      </c>
      <c r="Q1937" s="71">
        <f t="shared" ref="Q1937:Q1939" si="364">E1937-P1937</f>
        <v>10</v>
      </c>
      <c r="R1937" s="7">
        <f t="shared" ref="R1937:R1939" si="365">Q1937/E1937</f>
        <v>1</v>
      </c>
      <c r="S1937" s="503"/>
    </row>
    <row r="1938" spans="1:19" ht="9.75" customHeight="1">
      <c r="A1938" s="503"/>
      <c r="B1938" s="503"/>
      <c r="C1938" s="43" t="s">
        <v>327</v>
      </c>
      <c r="D1938" s="43" t="s">
        <v>23</v>
      </c>
      <c r="E1938" s="43">
        <v>61</v>
      </c>
      <c r="F1938" s="116">
        <v>21</v>
      </c>
      <c r="G1938" s="128">
        <v>5</v>
      </c>
      <c r="H1938" s="128">
        <v>1</v>
      </c>
      <c r="I1938" s="128">
        <v>1</v>
      </c>
      <c r="J1938" s="128">
        <v>1</v>
      </c>
      <c r="K1938" s="128">
        <v>0</v>
      </c>
      <c r="L1938" s="128">
        <v>0</v>
      </c>
      <c r="M1938" s="128">
        <v>0</v>
      </c>
      <c r="N1938" s="128">
        <v>12</v>
      </c>
      <c r="O1938" s="129">
        <v>15</v>
      </c>
      <c r="P1938" s="116">
        <f t="shared" si="363"/>
        <v>0</v>
      </c>
      <c r="Q1938" s="128">
        <f t="shared" si="364"/>
        <v>61</v>
      </c>
      <c r="R1938" s="141">
        <f t="shared" si="365"/>
        <v>1</v>
      </c>
      <c r="S1938" s="503"/>
    </row>
    <row r="1939" spans="1:19" ht="9.75" customHeight="1">
      <c r="A1939" s="503"/>
      <c r="B1939" s="503"/>
      <c r="C1939" s="13"/>
      <c r="D1939" s="13" t="s">
        <v>53</v>
      </c>
      <c r="E1939" s="13">
        <v>60</v>
      </c>
      <c r="F1939" s="109">
        <v>51</v>
      </c>
      <c r="G1939" s="504">
        <v>50</v>
      </c>
      <c r="H1939" s="504">
        <v>39</v>
      </c>
      <c r="I1939" s="504">
        <v>25</v>
      </c>
      <c r="J1939" s="504">
        <v>21</v>
      </c>
      <c r="K1939" s="504">
        <v>19</v>
      </c>
      <c r="L1939" s="504">
        <v>22</v>
      </c>
      <c r="M1939" s="504">
        <v>25</v>
      </c>
      <c r="N1939" s="504">
        <v>39</v>
      </c>
      <c r="O1939" s="110">
        <v>50</v>
      </c>
      <c r="P1939" s="109">
        <f t="shared" si="363"/>
        <v>19</v>
      </c>
      <c r="Q1939" s="504">
        <f t="shared" si="364"/>
        <v>41</v>
      </c>
      <c r="R1939" s="107">
        <f t="shared" si="365"/>
        <v>0.68333333333333335</v>
      </c>
      <c r="S1939" s="503"/>
    </row>
    <row r="1940" spans="1:19" ht="9.75" customHeight="1">
      <c r="A1940" s="503"/>
      <c r="B1940" s="503"/>
      <c r="C1940" s="13"/>
      <c r="D1940" s="13" t="s">
        <v>25</v>
      </c>
      <c r="E1940" s="13"/>
      <c r="F1940" s="109"/>
      <c r="G1940" s="504"/>
      <c r="H1940" s="504"/>
      <c r="I1940" s="504"/>
      <c r="J1940" s="504"/>
      <c r="K1940" s="504"/>
      <c r="L1940" s="504"/>
      <c r="M1940" s="504"/>
      <c r="N1940" s="504"/>
      <c r="O1940" s="110"/>
      <c r="P1940" s="109"/>
      <c r="Q1940" s="504"/>
      <c r="R1940" s="107"/>
      <c r="S1940" s="503"/>
    </row>
    <row r="1941" spans="1:19" ht="9.75" customHeight="1">
      <c r="A1941" s="503"/>
      <c r="B1941" s="503"/>
      <c r="C1941" s="13"/>
      <c r="D1941" s="13" t="s">
        <v>27</v>
      </c>
      <c r="E1941" s="13"/>
      <c r="F1941" s="109"/>
      <c r="G1941" s="504"/>
      <c r="H1941" s="504"/>
      <c r="I1941" s="504"/>
      <c r="J1941" s="504"/>
      <c r="K1941" s="504"/>
      <c r="L1941" s="504"/>
      <c r="M1941" s="504"/>
      <c r="N1941" s="504"/>
      <c r="O1941" s="110"/>
      <c r="P1941" s="109"/>
      <c r="Q1941" s="504"/>
      <c r="R1941" s="107"/>
      <c r="S1941" s="503"/>
    </row>
    <row r="1942" spans="1:19" ht="9.75" customHeight="1">
      <c r="A1942" s="503"/>
      <c r="B1942" s="503"/>
      <c r="C1942" s="13"/>
      <c r="D1942" s="13" t="s">
        <v>251</v>
      </c>
      <c r="E1942" s="13">
        <v>5</v>
      </c>
      <c r="F1942" s="109">
        <v>5</v>
      </c>
      <c r="G1942" s="504">
        <v>4</v>
      </c>
      <c r="H1942" s="504">
        <v>0</v>
      </c>
      <c r="I1942" s="504">
        <v>0</v>
      </c>
      <c r="J1942" s="504">
        <v>0</v>
      </c>
      <c r="K1942" s="504">
        <v>0</v>
      </c>
      <c r="L1942" s="504">
        <v>0</v>
      </c>
      <c r="M1942" s="504">
        <v>0</v>
      </c>
      <c r="N1942" s="504">
        <v>2</v>
      </c>
      <c r="O1942" s="110">
        <v>1</v>
      </c>
      <c r="P1942" s="109">
        <f>MIN(F1942:O1942)</f>
        <v>0</v>
      </c>
      <c r="Q1942" s="504">
        <f>E1942-P1942</f>
        <v>5</v>
      </c>
      <c r="R1942" s="107">
        <f>Q1942/E1942</f>
        <v>1</v>
      </c>
      <c r="S1942" s="503"/>
    </row>
    <row r="1943" spans="1:19" ht="9.75" customHeight="1">
      <c r="A1943" s="503"/>
      <c r="B1943" s="503"/>
      <c r="C1943" s="13"/>
      <c r="D1943" s="13" t="s">
        <v>115</v>
      </c>
      <c r="E1943" s="13"/>
      <c r="F1943" s="109"/>
      <c r="G1943" s="504"/>
      <c r="H1943" s="504"/>
      <c r="I1943" s="504"/>
      <c r="J1943" s="504"/>
      <c r="K1943" s="504"/>
      <c r="L1943" s="504"/>
      <c r="M1943" s="504"/>
      <c r="N1943" s="504"/>
      <c r="O1943" s="110"/>
      <c r="P1943" s="109"/>
      <c r="Q1943" s="504"/>
      <c r="R1943" s="107"/>
      <c r="S1943" s="503"/>
    </row>
    <row r="1944" spans="1:19" ht="9.75" customHeight="1">
      <c r="A1944" s="503"/>
      <c r="B1944" s="503"/>
      <c r="C1944" s="13"/>
      <c r="D1944" s="13" t="s">
        <v>32</v>
      </c>
      <c r="E1944" s="13">
        <v>88</v>
      </c>
      <c r="F1944" s="109">
        <v>80</v>
      </c>
      <c r="G1944" s="504">
        <v>77</v>
      </c>
      <c r="H1944" s="504">
        <v>75</v>
      </c>
      <c r="I1944" s="504">
        <v>72</v>
      </c>
      <c r="J1944" s="504">
        <v>70</v>
      </c>
      <c r="K1944" s="504">
        <v>65</v>
      </c>
      <c r="L1944" s="504">
        <v>64</v>
      </c>
      <c r="M1944" s="504">
        <v>61</v>
      </c>
      <c r="N1944" s="504">
        <v>70</v>
      </c>
      <c r="O1944" s="110">
        <v>77</v>
      </c>
      <c r="P1944" s="109">
        <f t="shared" ref="P1944:P1948" si="366">MIN(F1944:O1944)</f>
        <v>61</v>
      </c>
      <c r="Q1944" s="504">
        <f t="shared" ref="Q1944:Q1948" si="367">E1944-P1944</f>
        <v>27</v>
      </c>
      <c r="R1944" s="107">
        <f t="shared" ref="R1944:R1948" si="368">Q1944/E1944</f>
        <v>0.30681818181818182</v>
      </c>
      <c r="S1944" s="503"/>
    </row>
    <row r="1945" spans="1:19" ht="9.75" customHeight="1">
      <c r="A1945" s="503"/>
      <c r="B1945" s="503"/>
      <c r="C1945" s="13"/>
      <c r="D1945" s="13" t="s">
        <v>328</v>
      </c>
      <c r="E1945" s="13">
        <v>4</v>
      </c>
      <c r="F1945" s="109">
        <v>4</v>
      </c>
      <c r="G1945" s="504">
        <v>4</v>
      </c>
      <c r="H1945" s="504">
        <v>3</v>
      </c>
      <c r="I1945" s="504">
        <v>3</v>
      </c>
      <c r="J1945" s="504">
        <v>3</v>
      </c>
      <c r="K1945" s="504">
        <v>3</v>
      </c>
      <c r="L1945" s="504">
        <v>4</v>
      </c>
      <c r="M1945" s="504">
        <v>4</v>
      </c>
      <c r="N1945" s="504">
        <v>4</v>
      </c>
      <c r="O1945" s="110">
        <v>4</v>
      </c>
      <c r="P1945" s="109">
        <f t="shared" si="366"/>
        <v>3</v>
      </c>
      <c r="Q1945" s="504">
        <f t="shared" si="367"/>
        <v>1</v>
      </c>
      <c r="R1945" s="107">
        <f t="shared" si="368"/>
        <v>0.25</v>
      </c>
      <c r="S1945" s="503"/>
    </row>
    <row r="1946" spans="1:19" ht="9.75" customHeight="1">
      <c r="A1946" s="503"/>
      <c r="B1946" s="503"/>
      <c r="C1946" s="13"/>
      <c r="D1946" s="13" t="s">
        <v>329</v>
      </c>
      <c r="E1946" s="13">
        <v>2</v>
      </c>
      <c r="F1946" s="109">
        <v>2</v>
      </c>
      <c r="G1946" s="504">
        <v>2</v>
      </c>
      <c r="H1946" s="504">
        <v>2</v>
      </c>
      <c r="I1946" s="504">
        <v>2</v>
      </c>
      <c r="J1946" s="504">
        <v>2</v>
      </c>
      <c r="K1946" s="504">
        <v>2</v>
      </c>
      <c r="L1946" s="504">
        <v>2</v>
      </c>
      <c r="M1946" s="504">
        <v>2</v>
      </c>
      <c r="N1946" s="504">
        <v>2</v>
      </c>
      <c r="O1946" s="110">
        <v>2</v>
      </c>
      <c r="P1946" s="109">
        <f t="shared" si="366"/>
        <v>2</v>
      </c>
      <c r="Q1946" s="504">
        <f t="shared" si="367"/>
        <v>0</v>
      </c>
      <c r="R1946" s="107">
        <f t="shared" si="368"/>
        <v>0</v>
      </c>
      <c r="S1946" s="503"/>
    </row>
    <row r="1947" spans="1:19" ht="9.75" customHeight="1">
      <c r="A1947" s="503"/>
      <c r="B1947" s="503"/>
      <c r="C1947" s="13"/>
      <c r="D1947" s="13" t="s">
        <v>245</v>
      </c>
      <c r="E1947" s="13">
        <v>7</v>
      </c>
      <c r="F1947" s="109">
        <v>7</v>
      </c>
      <c r="G1947" s="504">
        <v>5</v>
      </c>
      <c r="H1947" s="504">
        <v>5</v>
      </c>
      <c r="I1947" s="504">
        <v>5</v>
      </c>
      <c r="J1947" s="504">
        <v>4</v>
      </c>
      <c r="K1947" s="504">
        <v>4</v>
      </c>
      <c r="L1947" s="504">
        <v>4</v>
      </c>
      <c r="M1947" s="504">
        <v>4</v>
      </c>
      <c r="N1947" s="504">
        <v>5</v>
      </c>
      <c r="O1947" s="110">
        <v>5</v>
      </c>
      <c r="P1947" s="109">
        <f t="shared" si="366"/>
        <v>4</v>
      </c>
      <c r="Q1947" s="504">
        <f t="shared" si="367"/>
        <v>3</v>
      </c>
      <c r="R1947" s="107">
        <f t="shared" si="368"/>
        <v>0.42857142857142855</v>
      </c>
      <c r="S1947" s="503"/>
    </row>
    <row r="1948" spans="1:19" ht="9.75" customHeight="1">
      <c r="A1948" s="503"/>
      <c r="B1948" s="503"/>
      <c r="C1948" s="13"/>
      <c r="D1948" s="13" t="s">
        <v>118</v>
      </c>
      <c r="E1948" s="13">
        <v>4</v>
      </c>
      <c r="F1948" s="109">
        <v>4</v>
      </c>
      <c r="G1948" s="504">
        <v>3</v>
      </c>
      <c r="H1948" s="504">
        <v>1</v>
      </c>
      <c r="I1948" s="504">
        <v>1</v>
      </c>
      <c r="J1948" s="504">
        <v>1</v>
      </c>
      <c r="K1948" s="504">
        <v>0</v>
      </c>
      <c r="L1948" s="504">
        <v>0</v>
      </c>
      <c r="M1948" s="504">
        <v>4</v>
      </c>
      <c r="N1948" s="504">
        <v>4</v>
      </c>
      <c r="O1948" s="110">
        <v>4</v>
      </c>
      <c r="P1948" s="109">
        <f t="shared" si="366"/>
        <v>0</v>
      </c>
      <c r="Q1948" s="504">
        <f t="shared" si="367"/>
        <v>4</v>
      </c>
      <c r="R1948" s="107">
        <f t="shared" si="368"/>
        <v>1</v>
      </c>
      <c r="S1948" s="503"/>
    </row>
    <row r="1949" spans="1:19" ht="9.75" customHeight="1">
      <c r="A1949" s="503"/>
      <c r="B1949" s="503"/>
      <c r="C1949" s="13"/>
      <c r="D1949" s="13" t="s">
        <v>191</v>
      </c>
      <c r="E1949" s="13"/>
      <c r="F1949" s="109"/>
      <c r="G1949" s="504"/>
      <c r="H1949" s="504"/>
      <c r="I1949" s="504"/>
      <c r="J1949" s="504"/>
      <c r="K1949" s="504"/>
      <c r="L1949" s="504"/>
      <c r="M1949" s="504"/>
      <c r="N1949" s="504"/>
      <c r="O1949" s="110"/>
      <c r="P1949" s="109"/>
      <c r="Q1949" s="504"/>
      <c r="R1949" s="107"/>
      <c r="S1949" s="503"/>
    </row>
    <row r="1950" spans="1:19" ht="9.75" customHeight="1">
      <c r="A1950" s="503"/>
      <c r="B1950" s="503"/>
      <c r="C1950" s="13"/>
      <c r="D1950" s="13" t="s">
        <v>120</v>
      </c>
      <c r="E1950" s="13"/>
      <c r="F1950" s="109"/>
      <c r="G1950" s="504"/>
      <c r="H1950" s="504"/>
      <c r="I1950" s="504"/>
      <c r="J1950" s="504"/>
      <c r="K1950" s="504"/>
      <c r="L1950" s="504"/>
      <c r="M1950" s="504"/>
      <c r="N1950" s="504"/>
      <c r="O1950" s="110"/>
      <c r="P1950" s="109"/>
      <c r="Q1950" s="504"/>
      <c r="R1950" s="107"/>
      <c r="S1950" s="503"/>
    </row>
    <row r="1951" spans="1:19" ht="9.75" customHeight="1">
      <c r="A1951" s="503"/>
      <c r="B1951" s="503"/>
      <c r="C1951" s="13"/>
      <c r="D1951" s="13" t="s">
        <v>120</v>
      </c>
      <c r="E1951" s="13"/>
      <c r="F1951" s="109"/>
      <c r="G1951" s="504"/>
      <c r="H1951" s="504"/>
      <c r="I1951" s="504"/>
      <c r="J1951" s="504"/>
      <c r="K1951" s="504"/>
      <c r="L1951" s="504"/>
      <c r="M1951" s="504"/>
      <c r="N1951" s="504"/>
      <c r="O1951" s="110"/>
      <c r="P1951" s="109"/>
      <c r="Q1951" s="504"/>
      <c r="R1951" s="107"/>
      <c r="S1951" s="503"/>
    </row>
    <row r="1952" spans="1:19" ht="9.75" customHeight="1">
      <c r="A1952" s="503"/>
      <c r="B1952" s="503"/>
      <c r="C1952" s="13"/>
      <c r="D1952" s="13" t="s">
        <v>34</v>
      </c>
      <c r="E1952" s="13">
        <v>4</v>
      </c>
      <c r="F1952" s="109">
        <v>0</v>
      </c>
      <c r="G1952" s="504">
        <v>0</v>
      </c>
      <c r="H1952" s="504">
        <v>0</v>
      </c>
      <c r="I1952" s="504">
        <v>0</v>
      </c>
      <c r="J1952" s="504">
        <v>0</v>
      </c>
      <c r="K1952" s="504">
        <v>0</v>
      </c>
      <c r="L1952" s="504">
        <v>0</v>
      </c>
      <c r="M1952" s="504">
        <v>0</v>
      </c>
      <c r="N1952" s="504">
        <v>0</v>
      </c>
      <c r="O1952" s="110">
        <v>0</v>
      </c>
      <c r="P1952" s="109">
        <f t="shared" ref="P1952:P1953" si="369">MIN(F1952:O1952)</f>
        <v>0</v>
      </c>
      <c r="Q1952" s="504">
        <f t="shared" ref="Q1952:Q1953" si="370">E1952-P1952</f>
        <v>4</v>
      </c>
      <c r="R1952" s="107">
        <f t="shared" ref="R1952:R1953" si="371">Q1952/E1952</f>
        <v>1</v>
      </c>
      <c r="S1952" s="503"/>
    </row>
    <row r="1953" spans="1:19" ht="9.75" customHeight="1">
      <c r="A1953" s="503"/>
      <c r="B1953" s="503"/>
      <c r="C1953" s="13"/>
      <c r="D1953" s="13" t="s">
        <v>35</v>
      </c>
      <c r="E1953" s="13">
        <v>2</v>
      </c>
      <c r="F1953" s="109">
        <v>0</v>
      </c>
      <c r="G1953" s="504">
        <v>0</v>
      </c>
      <c r="H1953" s="504">
        <v>2</v>
      </c>
      <c r="I1953" s="504">
        <v>2</v>
      </c>
      <c r="J1953" s="504">
        <v>2</v>
      </c>
      <c r="K1953" s="504">
        <v>2</v>
      </c>
      <c r="L1953" s="504">
        <v>1</v>
      </c>
      <c r="M1953" s="504">
        <v>1</v>
      </c>
      <c r="N1953" s="504">
        <v>1</v>
      </c>
      <c r="O1953" s="110">
        <v>0</v>
      </c>
      <c r="P1953" s="109">
        <f t="shared" si="369"/>
        <v>0</v>
      </c>
      <c r="Q1953" s="504">
        <f t="shared" si="370"/>
        <v>2</v>
      </c>
      <c r="R1953" s="107">
        <f t="shared" si="371"/>
        <v>1</v>
      </c>
      <c r="S1953" s="503"/>
    </row>
    <row r="1954" spans="1:19" ht="9.75" customHeight="1">
      <c r="A1954" s="503"/>
      <c r="B1954" s="503"/>
      <c r="C1954" s="13"/>
      <c r="D1954" s="13" t="s">
        <v>36</v>
      </c>
      <c r="E1954" s="13"/>
      <c r="F1954" s="109"/>
      <c r="G1954" s="504"/>
      <c r="H1954" s="504"/>
      <c r="I1954" s="504"/>
      <c r="J1954" s="504"/>
      <c r="K1954" s="504"/>
      <c r="L1954" s="504"/>
      <c r="M1954" s="504"/>
      <c r="N1954" s="504"/>
      <c r="O1954" s="110"/>
      <c r="P1954" s="109"/>
      <c r="Q1954" s="504"/>
      <c r="R1954" s="107"/>
      <c r="S1954" s="503"/>
    </row>
    <row r="1955" spans="1:19" ht="9.75" customHeight="1">
      <c r="A1955" s="503"/>
      <c r="B1955" s="503"/>
      <c r="C1955" s="13"/>
      <c r="D1955" s="13" t="s">
        <v>37</v>
      </c>
      <c r="E1955" s="13"/>
      <c r="F1955" s="109"/>
      <c r="G1955" s="504"/>
      <c r="H1955" s="504"/>
      <c r="I1955" s="504"/>
      <c r="J1955" s="504"/>
      <c r="K1955" s="504"/>
      <c r="L1955" s="504"/>
      <c r="M1955" s="504"/>
      <c r="N1955" s="504"/>
      <c r="O1955" s="110"/>
      <c r="P1955" s="109"/>
      <c r="Q1955" s="504"/>
      <c r="R1955" s="107"/>
      <c r="S1955" s="503"/>
    </row>
    <row r="1956" spans="1:19" ht="9.75" customHeight="1">
      <c r="A1956" s="503"/>
      <c r="B1956" s="503" t="s">
        <v>127</v>
      </c>
      <c r="C1956" s="2"/>
      <c r="D1956" s="3" t="s">
        <v>38</v>
      </c>
      <c r="E1956" s="3">
        <f>SUM(E1938:E1955)</f>
        <v>237</v>
      </c>
      <c r="F1956" s="6">
        <f t="shared" ref="F1956:O1956" si="372">SUM(F1940:F1955)</f>
        <v>102</v>
      </c>
      <c r="G1956" s="71">
        <f t="shared" si="372"/>
        <v>95</v>
      </c>
      <c r="H1956" s="71">
        <f t="shared" si="372"/>
        <v>88</v>
      </c>
      <c r="I1956" s="71">
        <f t="shared" si="372"/>
        <v>85</v>
      </c>
      <c r="J1956" s="71">
        <f t="shared" si="372"/>
        <v>82</v>
      </c>
      <c r="K1956" s="71">
        <f t="shared" si="372"/>
        <v>76</v>
      </c>
      <c r="L1956" s="71">
        <f t="shared" si="372"/>
        <v>75</v>
      </c>
      <c r="M1956" s="71">
        <f t="shared" si="372"/>
        <v>76</v>
      </c>
      <c r="N1956" s="71">
        <f t="shared" si="372"/>
        <v>88</v>
      </c>
      <c r="O1956" s="26">
        <f t="shared" si="372"/>
        <v>93</v>
      </c>
      <c r="P1956" s="6">
        <f t="shared" ref="P1956:P1957" si="373">MIN(F1956:O1956)</f>
        <v>75</v>
      </c>
      <c r="Q1956" s="70">
        <f t="shared" ref="Q1956:Q1957" si="374">E1956-P1956</f>
        <v>162</v>
      </c>
      <c r="R1956" s="7">
        <f t="shared" ref="R1956:R1957" si="375">Q1956/E1956</f>
        <v>0.68354430379746833</v>
      </c>
      <c r="S1956" s="503"/>
    </row>
    <row r="1957" spans="1:19" ht="9.75" customHeight="1">
      <c r="A1957" s="503"/>
      <c r="B1957" s="503"/>
      <c r="C1957" s="43" t="s">
        <v>330</v>
      </c>
      <c r="D1957" s="43" t="s">
        <v>23</v>
      </c>
      <c r="E1957" s="43">
        <v>23</v>
      </c>
      <c r="F1957" s="116">
        <f>E1957-4</f>
        <v>19</v>
      </c>
      <c r="G1957" s="128">
        <f>E1957-9</f>
        <v>14</v>
      </c>
      <c r="H1957" s="128">
        <v>4</v>
      </c>
      <c r="I1957" s="128">
        <v>3</v>
      </c>
      <c r="J1957" s="128">
        <v>5</v>
      </c>
      <c r="K1957" s="128">
        <v>6</v>
      </c>
      <c r="L1957" s="128">
        <v>8</v>
      </c>
      <c r="M1957" s="128">
        <v>5</v>
      </c>
      <c r="N1957" s="128">
        <v>8</v>
      </c>
      <c r="O1957" s="129">
        <v>12</v>
      </c>
      <c r="P1957" s="116">
        <f t="shared" si="373"/>
        <v>3</v>
      </c>
      <c r="Q1957" s="128">
        <f t="shared" si="374"/>
        <v>20</v>
      </c>
      <c r="R1957" s="141">
        <f t="shared" si="375"/>
        <v>0.86956521739130432</v>
      </c>
      <c r="S1957" s="503"/>
    </row>
    <row r="1958" spans="1:19" ht="9.75" customHeight="1">
      <c r="A1958" s="503"/>
      <c r="B1958" s="503"/>
      <c r="C1958" s="13"/>
      <c r="D1958" s="13" t="s">
        <v>25</v>
      </c>
      <c r="E1958" s="13"/>
      <c r="F1958" s="109"/>
      <c r="G1958" s="504"/>
      <c r="H1958" s="504"/>
      <c r="I1958" s="504"/>
      <c r="J1958" s="504"/>
      <c r="K1958" s="504"/>
      <c r="L1958" s="504"/>
      <c r="M1958" s="504"/>
      <c r="N1958" s="504"/>
      <c r="O1958" s="110"/>
      <c r="P1958" s="109"/>
      <c r="Q1958" s="504"/>
      <c r="R1958" s="107"/>
      <c r="S1958" s="503"/>
    </row>
    <row r="1959" spans="1:19" ht="9.75" customHeight="1">
      <c r="A1959" s="503"/>
      <c r="B1959" s="503"/>
      <c r="C1959" s="13"/>
      <c r="D1959" s="13" t="s">
        <v>27</v>
      </c>
      <c r="E1959" s="13"/>
      <c r="F1959" s="109"/>
      <c r="G1959" s="504"/>
      <c r="H1959" s="504"/>
      <c r="I1959" s="504"/>
      <c r="J1959" s="504"/>
      <c r="K1959" s="504"/>
      <c r="L1959" s="504"/>
      <c r="M1959" s="504"/>
      <c r="N1959" s="504"/>
      <c r="O1959" s="110"/>
      <c r="P1959" s="109"/>
      <c r="Q1959" s="504"/>
      <c r="R1959" s="107"/>
      <c r="S1959" s="503"/>
    </row>
    <row r="1960" spans="1:19" ht="9.75" customHeight="1">
      <c r="A1960" s="503"/>
      <c r="B1960" s="503"/>
      <c r="C1960" s="13"/>
      <c r="D1960" s="13" t="s">
        <v>198</v>
      </c>
      <c r="E1960" s="13">
        <v>39</v>
      </c>
      <c r="F1960" s="109">
        <v>29</v>
      </c>
      <c r="G1960" s="504">
        <v>20</v>
      </c>
      <c r="H1960" s="504">
        <v>15</v>
      </c>
      <c r="I1960" s="504">
        <v>11</v>
      </c>
      <c r="J1960" s="504">
        <v>14</v>
      </c>
      <c r="K1960" s="504">
        <v>7</v>
      </c>
      <c r="L1960" s="504">
        <v>9</v>
      </c>
      <c r="M1960" s="504">
        <v>12</v>
      </c>
      <c r="N1960" s="504">
        <v>13</v>
      </c>
      <c r="O1960" s="110">
        <v>14</v>
      </c>
      <c r="P1960" s="109">
        <f>MIN(F1960:O1960)</f>
        <v>7</v>
      </c>
      <c r="Q1960" s="504">
        <f>E1960-P1960</f>
        <v>32</v>
      </c>
      <c r="R1960" s="107">
        <f>Q1960/E1960</f>
        <v>0.82051282051282048</v>
      </c>
      <c r="S1960" s="503"/>
    </row>
    <row r="1961" spans="1:19" ht="9.75" customHeight="1">
      <c r="A1961" s="503"/>
      <c r="B1961" s="503"/>
      <c r="C1961" s="13"/>
      <c r="D1961" s="13" t="s">
        <v>115</v>
      </c>
      <c r="E1961" s="13"/>
      <c r="F1961" s="109"/>
      <c r="G1961" s="504"/>
      <c r="H1961" s="504"/>
      <c r="I1961" s="504"/>
      <c r="J1961" s="504"/>
      <c r="K1961" s="504"/>
      <c r="L1961" s="504"/>
      <c r="M1961" s="504"/>
      <c r="N1961" s="504"/>
      <c r="O1961" s="110"/>
      <c r="P1961" s="109"/>
      <c r="Q1961" s="504"/>
      <c r="R1961" s="107"/>
      <c r="S1961" s="503"/>
    </row>
    <row r="1962" spans="1:19" ht="9.75" customHeight="1">
      <c r="A1962" s="503"/>
      <c r="B1962" s="503"/>
      <c r="C1962" s="13"/>
      <c r="D1962" s="13" t="s">
        <v>32</v>
      </c>
      <c r="E1962" s="13">
        <f>17+18+2+1</f>
        <v>38</v>
      </c>
      <c r="F1962" s="109">
        <f>38-2-16-14-1</f>
        <v>5</v>
      </c>
      <c r="G1962" s="504">
        <f>38-2-13-13-1</f>
        <v>9</v>
      </c>
      <c r="H1962" s="504">
        <f>38-1-11-12</f>
        <v>14</v>
      </c>
      <c r="I1962" s="504">
        <f>38-21</f>
        <v>17</v>
      </c>
      <c r="J1962" s="504">
        <f>38-19</f>
        <v>19</v>
      </c>
      <c r="K1962" s="504">
        <f>38-22</f>
        <v>16</v>
      </c>
      <c r="L1962" s="504">
        <f>38-9-12-1</f>
        <v>16</v>
      </c>
      <c r="M1962" s="504">
        <f>38-24</f>
        <v>14</v>
      </c>
      <c r="N1962" s="504">
        <f>38-13-16</f>
        <v>9</v>
      </c>
      <c r="O1962" s="110">
        <f>38-13-18</f>
        <v>7</v>
      </c>
      <c r="P1962" s="109">
        <f>MIN(F1962:O1962)</f>
        <v>5</v>
      </c>
      <c r="Q1962" s="504">
        <f>E1962-P1962</f>
        <v>33</v>
      </c>
      <c r="R1962" s="107">
        <f>Q1962/E1962</f>
        <v>0.86842105263157898</v>
      </c>
      <c r="S1962" s="503"/>
    </row>
    <row r="1963" spans="1:19" ht="9.75" customHeight="1">
      <c r="A1963" s="503"/>
      <c r="B1963" s="503"/>
      <c r="C1963" s="13"/>
      <c r="D1963" s="13" t="s">
        <v>331</v>
      </c>
      <c r="E1963" s="13">
        <v>3</v>
      </c>
      <c r="F1963" s="109">
        <v>3</v>
      </c>
      <c r="G1963" s="504">
        <v>3</v>
      </c>
      <c r="H1963" s="504">
        <v>2</v>
      </c>
      <c r="I1963" s="504">
        <v>2</v>
      </c>
      <c r="J1963" s="504">
        <v>2</v>
      </c>
      <c r="K1963" s="504">
        <v>1</v>
      </c>
      <c r="L1963" s="504">
        <v>1</v>
      </c>
      <c r="M1963" s="504">
        <v>0</v>
      </c>
      <c r="N1963" s="504">
        <v>1</v>
      </c>
      <c r="O1963" s="110">
        <v>1</v>
      </c>
      <c r="P1963" s="109"/>
      <c r="Q1963" s="504"/>
      <c r="R1963" s="107"/>
      <c r="S1963" s="503"/>
    </row>
    <row r="1964" spans="1:19" ht="9.75" customHeight="1">
      <c r="A1964" s="503"/>
      <c r="B1964" s="503"/>
      <c r="C1964" s="13"/>
      <c r="D1964" s="13" t="s">
        <v>161</v>
      </c>
      <c r="E1964" s="13">
        <v>1</v>
      </c>
      <c r="F1964" s="109">
        <v>0</v>
      </c>
      <c r="G1964" s="504">
        <v>0</v>
      </c>
      <c r="H1964" s="504">
        <v>1</v>
      </c>
      <c r="I1964" s="504">
        <v>0</v>
      </c>
      <c r="J1964" s="504">
        <v>1</v>
      </c>
      <c r="K1964" s="504">
        <v>0</v>
      </c>
      <c r="L1964" s="504">
        <v>1</v>
      </c>
      <c r="M1964" s="504">
        <v>0</v>
      </c>
      <c r="N1964" s="504">
        <v>1</v>
      </c>
      <c r="O1964" s="110">
        <v>1</v>
      </c>
      <c r="P1964" s="109">
        <f>MIN(F1964:O1964)</f>
        <v>0</v>
      </c>
      <c r="Q1964" s="504">
        <f>E1964-P1964</f>
        <v>1</v>
      </c>
      <c r="R1964" s="107">
        <f>Q1964/E1964</f>
        <v>1</v>
      </c>
      <c r="S1964" s="503"/>
    </row>
    <row r="1965" spans="1:19" ht="9.75" customHeight="1">
      <c r="A1965" s="503"/>
      <c r="B1965" s="503"/>
      <c r="C1965" s="13"/>
      <c r="D1965" s="13" t="s">
        <v>120</v>
      </c>
      <c r="E1965" s="13"/>
      <c r="F1965" s="109"/>
      <c r="G1965" s="504"/>
      <c r="H1965" s="504"/>
      <c r="I1965" s="504"/>
      <c r="J1965" s="504"/>
      <c r="K1965" s="504"/>
      <c r="L1965" s="504"/>
      <c r="M1965" s="504"/>
      <c r="N1965" s="504"/>
      <c r="O1965" s="110"/>
      <c r="P1965" s="109"/>
      <c r="Q1965" s="504"/>
      <c r="R1965" s="107"/>
      <c r="S1965" s="503"/>
    </row>
    <row r="1966" spans="1:19" ht="9.75" customHeight="1">
      <c r="A1966" s="503"/>
      <c r="B1966" s="503"/>
      <c r="C1966" s="13"/>
      <c r="D1966" s="13" t="s">
        <v>120</v>
      </c>
      <c r="E1966" s="13"/>
      <c r="F1966" s="109"/>
      <c r="G1966" s="504"/>
      <c r="H1966" s="504"/>
      <c r="I1966" s="504"/>
      <c r="J1966" s="504"/>
      <c r="K1966" s="504"/>
      <c r="L1966" s="504"/>
      <c r="M1966" s="504"/>
      <c r="N1966" s="504"/>
      <c r="O1966" s="110"/>
      <c r="P1966" s="109"/>
      <c r="Q1966" s="504"/>
      <c r="R1966" s="107"/>
      <c r="S1966" s="503"/>
    </row>
    <row r="1967" spans="1:19" ht="9.75" customHeight="1">
      <c r="A1967" s="503"/>
      <c r="B1967" s="503"/>
      <c r="C1967" s="13"/>
      <c r="D1967" s="13" t="s">
        <v>120</v>
      </c>
      <c r="E1967" s="13"/>
      <c r="F1967" s="109"/>
      <c r="G1967" s="504"/>
      <c r="H1967" s="504"/>
      <c r="I1967" s="504"/>
      <c r="J1967" s="504"/>
      <c r="K1967" s="504"/>
      <c r="L1967" s="504"/>
      <c r="M1967" s="504"/>
      <c r="N1967" s="504"/>
      <c r="O1967" s="110"/>
      <c r="P1967" s="109"/>
      <c r="Q1967" s="504"/>
      <c r="R1967" s="107"/>
      <c r="S1967" s="503"/>
    </row>
    <row r="1968" spans="1:19" ht="9.75" customHeight="1">
      <c r="A1968" s="503"/>
      <c r="B1968" s="503"/>
      <c r="C1968" s="13"/>
      <c r="D1968" s="13" t="s">
        <v>120</v>
      </c>
      <c r="E1968" s="13"/>
      <c r="F1968" s="109"/>
      <c r="G1968" s="504"/>
      <c r="H1968" s="504"/>
      <c r="I1968" s="504"/>
      <c r="J1968" s="504"/>
      <c r="K1968" s="504"/>
      <c r="L1968" s="504"/>
      <c r="M1968" s="504"/>
      <c r="N1968" s="504"/>
      <c r="O1968" s="110"/>
      <c r="P1968" s="109"/>
      <c r="Q1968" s="504"/>
      <c r="R1968" s="107"/>
      <c r="S1968" s="503"/>
    </row>
    <row r="1969" spans="1:19" ht="9.75" customHeight="1">
      <c r="A1969" s="503"/>
      <c r="B1969" s="503"/>
      <c r="C1969" s="13"/>
      <c r="D1969" s="13" t="s">
        <v>120</v>
      </c>
      <c r="E1969" s="13"/>
      <c r="F1969" s="109"/>
      <c r="G1969" s="504"/>
      <c r="H1969" s="504"/>
      <c r="I1969" s="504"/>
      <c r="J1969" s="504"/>
      <c r="K1969" s="504"/>
      <c r="L1969" s="504"/>
      <c r="M1969" s="504"/>
      <c r="N1969" s="504"/>
      <c r="O1969" s="110"/>
      <c r="P1969" s="109"/>
      <c r="Q1969" s="504"/>
      <c r="R1969" s="107"/>
      <c r="S1969" s="503"/>
    </row>
    <row r="1970" spans="1:19" ht="9.75" customHeight="1">
      <c r="A1970" s="503"/>
      <c r="B1970" s="503"/>
      <c r="C1970" s="13"/>
      <c r="D1970" s="13" t="s">
        <v>120</v>
      </c>
      <c r="E1970" s="13"/>
      <c r="F1970" s="109"/>
      <c r="G1970" s="504"/>
      <c r="H1970" s="504"/>
      <c r="I1970" s="504"/>
      <c r="J1970" s="504"/>
      <c r="K1970" s="504"/>
      <c r="L1970" s="504"/>
      <c r="M1970" s="504"/>
      <c r="N1970" s="504"/>
      <c r="O1970" s="110"/>
      <c r="P1970" s="109"/>
      <c r="Q1970" s="504"/>
      <c r="R1970" s="107"/>
      <c r="S1970" s="503"/>
    </row>
    <row r="1971" spans="1:19" ht="9.75" customHeight="1">
      <c r="A1971" s="503"/>
      <c r="B1971" s="503"/>
      <c r="C1971" s="13"/>
      <c r="D1971" s="13" t="s">
        <v>34</v>
      </c>
      <c r="E1971" s="13">
        <v>18</v>
      </c>
      <c r="F1971" s="109">
        <v>10</v>
      </c>
      <c r="G1971" s="504">
        <v>10</v>
      </c>
      <c r="H1971" s="504">
        <v>6</v>
      </c>
      <c r="I1971" s="504">
        <v>7</v>
      </c>
      <c r="J1971" s="504">
        <v>7</v>
      </c>
      <c r="K1971" s="504">
        <v>9</v>
      </c>
      <c r="L1971" s="504">
        <v>9</v>
      </c>
      <c r="M1971" s="504">
        <v>11</v>
      </c>
      <c r="N1971" s="504">
        <v>11</v>
      </c>
      <c r="O1971" s="110">
        <v>12</v>
      </c>
      <c r="P1971" s="109">
        <f>MIN(F1971:O1971)</f>
        <v>6</v>
      </c>
      <c r="Q1971" s="504">
        <f>E1971-P1971</f>
        <v>12</v>
      </c>
      <c r="R1971" s="107">
        <f>Q1971/E1971</f>
        <v>0.66666666666666663</v>
      </c>
      <c r="S1971" s="503"/>
    </row>
    <row r="1972" spans="1:19" ht="9.75" customHeight="1">
      <c r="A1972" s="503"/>
      <c r="B1972" s="503"/>
      <c r="C1972" s="13"/>
      <c r="D1972" s="13" t="s">
        <v>35</v>
      </c>
      <c r="E1972" s="13"/>
      <c r="F1972" s="109"/>
      <c r="G1972" s="504"/>
      <c r="H1972" s="504"/>
      <c r="I1972" s="504"/>
      <c r="J1972" s="504"/>
      <c r="K1972" s="504"/>
      <c r="L1972" s="504"/>
      <c r="M1972" s="504"/>
      <c r="N1972" s="504"/>
      <c r="O1972" s="110"/>
      <c r="P1972" s="109"/>
      <c r="Q1972" s="504"/>
      <c r="R1972" s="107"/>
      <c r="S1972" s="503"/>
    </row>
    <row r="1973" spans="1:19" ht="9.75" customHeight="1">
      <c r="A1973" s="503"/>
      <c r="B1973" s="503"/>
      <c r="C1973" s="13"/>
      <c r="D1973" s="13" t="s">
        <v>36</v>
      </c>
      <c r="E1973" s="13">
        <v>2</v>
      </c>
      <c r="F1973" s="109">
        <v>1</v>
      </c>
      <c r="G1973" s="504">
        <v>1</v>
      </c>
      <c r="H1973" s="504">
        <v>1</v>
      </c>
      <c r="I1973" s="504">
        <v>1</v>
      </c>
      <c r="J1973" s="504">
        <v>1</v>
      </c>
      <c r="K1973" s="504">
        <v>1</v>
      </c>
      <c r="L1973" s="504">
        <v>1</v>
      </c>
      <c r="M1973" s="504">
        <v>0</v>
      </c>
      <c r="N1973" s="504">
        <v>0</v>
      </c>
      <c r="O1973" s="110">
        <v>0</v>
      </c>
      <c r="P1973" s="109">
        <f t="shared" ref="P1973:P1975" si="376">MIN(F1973:O1973)</f>
        <v>0</v>
      </c>
      <c r="Q1973" s="504">
        <f t="shared" ref="Q1973:Q1975" si="377">E1973-P1973</f>
        <v>2</v>
      </c>
      <c r="R1973" s="107">
        <f t="shared" ref="R1973:R1975" si="378">Q1973/E1973</f>
        <v>1</v>
      </c>
      <c r="S1973" s="503"/>
    </row>
    <row r="1974" spans="1:19" ht="9.75" customHeight="1">
      <c r="A1974" s="503"/>
      <c r="B1974" s="503"/>
      <c r="C1974" s="13"/>
      <c r="D1974" s="13" t="s">
        <v>37</v>
      </c>
      <c r="E1974" s="13">
        <v>6</v>
      </c>
      <c r="F1974" s="109">
        <v>4</v>
      </c>
      <c r="G1974" s="504">
        <v>4</v>
      </c>
      <c r="H1974" s="504">
        <v>4</v>
      </c>
      <c r="I1974" s="504">
        <v>3</v>
      </c>
      <c r="J1974" s="504">
        <v>5</v>
      </c>
      <c r="K1974" s="504">
        <v>4</v>
      </c>
      <c r="L1974" s="504">
        <v>4</v>
      </c>
      <c r="M1974" s="504">
        <v>2</v>
      </c>
      <c r="N1974" s="504">
        <v>2</v>
      </c>
      <c r="O1974" s="110">
        <v>4</v>
      </c>
      <c r="P1974" s="109">
        <f t="shared" si="376"/>
        <v>2</v>
      </c>
      <c r="Q1974" s="504">
        <f t="shared" si="377"/>
        <v>4</v>
      </c>
      <c r="R1974" s="107">
        <f t="shared" si="378"/>
        <v>0.66666666666666663</v>
      </c>
      <c r="S1974" s="503"/>
    </row>
    <row r="1975" spans="1:19" ht="9.75" customHeight="1">
      <c r="A1975" s="503"/>
      <c r="B1975" s="503" t="s">
        <v>127</v>
      </c>
      <c r="C1975" s="2"/>
      <c r="D1975" s="3" t="s">
        <v>38</v>
      </c>
      <c r="E1975" s="3">
        <f t="shared" ref="E1975:O1975" si="379">SUM(E1957:E1974)</f>
        <v>130</v>
      </c>
      <c r="F1975" s="21">
        <f t="shared" si="379"/>
        <v>71</v>
      </c>
      <c r="G1975" s="71">
        <f t="shared" si="379"/>
        <v>61</v>
      </c>
      <c r="H1975" s="71">
        <f t="shared" si="379"/>
        <v>47</v>
      </c>
      <c r="I1975" s="71">
        <f t="shared" si="379"/>
        <v>44</v>
      </c>
      <c r="J1975" s="71">
        <f t="shared" si="379"/>
        <v>54</v>
      </c>
      <c r="K1975" s="71">
        <f t="shared" si="379"/>
        <v>44</v>
      </c>
      <c r="L1975" s="71">
        <f t="shared" si="379"/>
        <v>49</v>
      </c>
      <c r="M1975" s="71">
        <f t="shared" si="379"/>
        <v>44</v>
      </c>
      <c r="N1975" s="71">
        <f t="shared" si="379"/>
        <v>45</v>
      </c>
      <c r="O1975" s="26">
        <f t="shared" si="379"/>
        <v>51</v>
      </c>
      <c r="P1975" s="21">
        <f t="shared" si="376"/>
        <v>44</v>
      </c>
      <c r="Q1975" s="71">
        <f t="shared" si="377"/>
        <v>86</v>
      </c>
      <c r="R1975" s="7">
        <f t="shared" si="378"/>
        <v>0.66153846153846152</v>
      </c>
      <c r="S1975" s="503"/>
    </row>
    <row r="1976" spans="1:19" ht="9.75" customHeight="1">
      <c r="A1976" s="503"/>
      <c r="B1976" s="503"/>
      <c r="C1976" s="13" t="s">
        <v>332</v>
      </c>
      <c r="D1976" s="43" t="s">
        <v>23</v>
      </c>
      <c r="E1976" s="13"/>
      <c r="F1976" s="109"/>
      <c r="G1976" s="504"/>
      <c r="H1976" s="504"/>
      <c r="I1976" s="504"/>
      <c r="J1976" s="504"/>
      <c r="K1976" s="504"/>
      <c r="L1976" s="504"/>
      <c r="M1976" s="504"/>
      <c r="N1976" s="504"/>
      <c r="O1976" s="110"/>
      <c r="P1976" s="109"/>
      <c r="Q1976" s="504"/>
      <c r="R1976" s="107"/>
      <c r="S1976" s="503"/>
    </row>
    <row r="1977" spans="1:19" ht="10.5" customHeight="1">
      <c r="A1977" s="503"/>
      <c r="B1977" s="503"/>
      <c r="C1977" s="13"/>
      <c r="D1977" s="13" t="s">
        <v>25</v>
      </c>
      <c r="E1977" s="13">
        <v>34</v>
      </c>
      <c r="F1977" s="109">
        <v>1</v>
      </c>
      <c r="G1977" s="504">
        <v>0</v>
      </c>
      <c r="H1977" s="504">
        <v>0</v>
      </c>
      <c r="I1977" s="504">
        <v>0</v>
      </c>
      <c r="J1977" s="504">
        <v>1</v>
      </c>
      <c r="K1977" s="504">
        <v>1</v>
      </c>
      <c r="L1977" s="504">
        <v>0</v>
      </c>
      <c r="M1977" s="504">
        <v>5</v>
      </c>
      <c r="N1977" s="504">
        <v>11</v>
      </c>
      <c r="O1977" s="110">
        <v>17</v>
      </c>
      <c r="P1977" s="109">
        <f>MIN(F1977:O1977)</f>
        <v>0</v>
      </c>
      <c r="Q1977" s="504">
        <f>E1977-P1977</f>
        <v>34</v>
      </c>
      <c r="R1977" s="107">
        <f>Q1977/E1977</f>
        <v>1</v>
      </c>
      <c r="S1977" s="503"/>
    </row>
    <row r="1978" spans="1:19" ht="10.5" customHeight="1">
      <c r="A1978" s="503"/>
      <c r="B1978" s="503"/>
      <c r="C1978" s="13"/>
      <c r="D1978" s="13" t="s">
        <v>27</v>
      </c>
      <c r="E1978" s="13"/>
      <c r="F1978" s="109"/>
      <c r="G1978" s="504"/>
      <c r="H1978" s="504"/>
      <c r="I1978" s="504"/>
      <c r="J1978" s="504"/>
      <c r="K1978" s="504"/>
      <c r="L1978" s="504"/>
      <c r="M1978" s="504"/>
      <c r="N1978" s="504"/>
      <c r="O1978" s="110"/>
      <c r="P1978" s="109"/>
      <c r="Q1978" s="504"/>
      <c r="R1978" s="107"/>
      <c r="S1978" s="503"/>
    </row>
    <row r="1979" spans="1:19" ht="10.5" customHeight="1">
      <c r="A1979" s="503"/>
      <c r="B1979" s="503"/>
      <c r="C1979" s="13"/>
      <c r="D1979" s="13" t="s">
        <v>115</v>
      </c>
      <c r="E1979" s="13"/>
      <c r="F1979" s="109"/>
      <c r="G1979" s="504"/>
      <c r="H1979" s="504"/>
      <c r="I1979" s="504"/>
      <c r="J1979" s="504"/>
      <c r="K1979" s="504"/>
      <c r="L1979" s="504"/>
      <c r="M1979" s="504"/>
      <c r="N1979" s="504"/>
      <c r="O1979" s="110"/>
      <c r="P1979" s="109"/>
      <c r="Q1979" s="504"/>
      <c r="R1979" s="107"/>
      <c r="S1979" s="503"/>
    </row>
    <row r="1980" spans="1:19" ht="10.5" customHeight="1">
      <c r="A1980" s="503"/>
      <c r="B1980" s="503"/>
      <c r="C1980" s="13"/>
      <c r="D1980" s="13" t="s">
        <v>115</v>
      </c>
      <c r="E1980" s="13"/>
      <c r="F1980" s="109"/>
      <c r="G1980" s="504"/>
      <c r="H1980" s="504"/>
      <c r="I1980" s="504"/>
      <c r="J1980" s="504"/>
      <c r="K1980" s="504"/>
      <c r="L1980" s="504"/>
      <c r="M1980" s="504"/>
      <c r="N1980" s="504"/>
      <c r="O1980" s="110"/>
      <c r="P1980" s="109"/>
      <c r="Q1980" s="504"/>
      <c r="R1980" s="107"/>
      <c r="S1980" s="503"/>
    </row>
    <row r="1981" spans="1:19" ht="10.5" customHeight="1">
      <c r="A1981" s="503"/>
      <c r="B1981" s="503"/>
      <c r="C1981" s="13"/>
      <c r="D1981" s="13" t="s">
        <v>32</v>
      </c>
      <c r="E1981" s="13"/>
      <c r="F1981" s="109"/>
      <c r="G1981" s="504"/>
      <c r="H1981" s="504"/>
      <c r="I1981" s="504"/>
      <c r="J1981" s="504"/>
      <c r="K1981" s="504"/>
      <c r="L1981" s="504"/>
      <c r="M1981" s="504"/>
      <c r="N1981" s="504"/>
      <c r="O1981" s="110"/>
      <c r="P1981" s="109"/>
      <c r="Q1981" s="504"/>
      <c r="R1981" s="107"/>
      <c r="S1981" s="503"/>
    </row>
    <row r="1982" spans="1:19" ht="10.5" customHeight="1">
      <c r="A1982" s="503"/>
      <c r="B1982" s="503"/>
      <c r="C1982" s="13"/>
      <c r="D1982" s="13" t="s">
        <v>120</v>
      </c>
      <c r="E1982" s="13"/>
      <c r="F1982" s="109"/>
      <c r="G1982" s="504"/>
      <c r="H1982" s="504"/>
      <c r="I1982" s="504"/>
      <c r="J1982" s="504"/>
      <c r="K1982" s="504"/>
      <c r="L1982" s="504"/>
      <c r="M1982" s="504"/>
      <c r="N1982" s="504"/>
      <c r="O1982" s="110"/>
      <c r="P1982" s="109"/>
      <c r="Q1982" s="504"/>
      <c r="R1982" s="107"/>
      <c r="S1982" s="503"/>
    </row>
    <row r="1983" spans="1:19" ht="10.5" customHeight="1">
      <c r="A1983" s="503"/>
      <c r="B1983" s="503"/>
      <c r="C1983" s="13"/>
      <c r="D1983" s="13" t="s">
        <v>120</v>
      </c>
      <c r="E1983" s="13"/>
      <c r="F1983" s="109"/>
      <c r="G1983" s="504"/>
      <c r="H1983" s="504"/>
      <c r="I1983" s="504"/>
      <c r="J1983" s="504"/>
      <c r="K1983" s="504"/>
      <c r="L1983" s="504"/>
      <c r="M1983" s="504"/>
      <c r="N1983" s="504"/>
      <c r="O1983" s="110"/>
      <c r="P1983" s="109"/>
      <c r="Q1983" s="504"/>
      <c r="R1983" s="107"/>
      <c r="S1983" s="503"/>
    </row>
    <row r="1984" spans="1:19" ht="10.5" customHeight="1">
      <c r="A1984" s="503"/>
      <c r="B1984" s="503"/>
      <c r="C1984" s="13"/>
      <c r="D1984" s="13" t="s">
        <v>120</v>
      </c>
      <c r="E1984" s="13"/>
      <c r="F1984" s="109"/>
      <c r="G1984" s="504"/>
      <c r="H1984" s="504"/>
      <c r="I1984" s="504"/>
      <c r="J1984" s="504"/>
      <c r="K1984" s="504"/>
      <c r="L1984" s="504"/>
      <c r="M1984" s="504"/>
      <c r="N1984" s="504"/>
      <c r="O1984" s="110"/>
      <c r="P1984" s="109"/>
      <c r="Q1984" s="504"/>
      <c r="R1984" s="107"/>
      <c r="S1984" s="503"/>
    </row>
    <row r="1985" spans="1:19" ht="10.5" customHeight="1">
      <c r="A1985" s="503"/>
      <c r="B1985" s="503"/>
      <c r="C1985" s="13"/>
      <c r="D1985" s="13" t="s">
        <v>120</v>
      </c>
      <c r="E1985" s="13"/>
      <c r="F1985" s="109"/>
      <c r="G1985" s="504"/>
      <c r="H1985" s="504"/>
      <c r="I1985" s="504"/>
      <c r="J1985" s="504"/>
      <c r="K1985" s="504"/>
      <c r="L1985" s="504"/>
      <c r="M1985" s="504"/>
      <c r="N1985" s="504"/>
      <c r="O1985" s="110"/>
      <c r="P1985" s="109"/>
      <c r="Q1985" s="504"/>
      <c r="R1985" s="107"/>
      <c r="S1985" s="503"/>
    </row>
    <row r="1986" spans="1:19" ht="10.5" customHeight="1">
      <c r="A1986" s="503"/>
      <c r="B1986" s="503"/>
      <c r="C1986" s="13"/>
      <c r="D1986" s="13" t="s">
        <v>120</v>
      </c>
      <c r="E1986" s="13"/>
      <c r="F1986" s="109"/>
      <c r="G1986" s="504"/>
      <c r="H1986" s="504"/>
      <c r="I1986" s="504"/>
      <c r="J1986" s="504"/>
      <c r="K1986" s="504"/>
      <c r="L1986" s="504"/>
      <c r="M1986" s="504"/>
      <c r="N1986" s="504"/>
      <c r="O1986" s="110"/>
      <c r="P1986" s="109"/>
      <c r="Q1986" s="504"/>
      <c r="R1986" s="107"/>
      <c r="S1986" s="503"/>
    </row>
    <row r="1987" spans="1:19" ht="10.5" customHeight="1">
      <c r="A1987" s="503"/>
      <c r="B1987" s="503"/>
      <c r="C1987" s="13"/>
      <c r="D1987" s="13" t="s">
        <v>120</v>
      </c>
      <c r="E1987" s="13"/>
      <c r="F1987" s="109"/>
      <c r="G1987" s="504"/>
      <c r="H1987" s="504"/>
      <c r="I1987" s="504"/>
      <c r="J1987" s="504"/>
      <c r="K1987" s="504"/>
      <c r="L1987" s="504"/>
      <c r="M1987" s="504"/>
      <c r="N1987" s="504"/>
      <c r="O1987" s="110"/>
      <c r="P1987" s="109"/>
      <c r="Q1987" s="504"/>
      <c r="R1987" s="107"/>
      <c r="S1987" s="503"/>
    </row>
    <row r="1988" spans="1:19" ht="9.75" customHeight="1">
      <c r="A1988" s="503"/>
      <c r="B1988" s="503"/>
      <c r="C1988" s="13"/>
      <c r="D1988" s="13" t="s">
        <v>34</v>
      </c>
      <c r="E1988" s="13">
        <v>4</v>
      </c>
      <c r="F1988" s="109">
        <v>4</v>
      </c>
      <c r="G1988" s="504">
        <v>4</v>
      </c>
      <c r="H1988" s="504">
        <v>4</v>
      </c>
      <c r="I1988" s="504">
        <v>4</v>
      </c>
      <c r="J1988" s="504">
        <v>4</v>
      </c>
      <c r="K1988" s="504">
        <v>4</v>
      </c>
      <c r="L1988" s="504">
        <v>4</v>
      </c>
      <c r="M1988" s="504">
        <v>4</v>
      </c>
      <c r="N1988" s="504">
        <v>4</v>
      </c>
      <c r="O1988" s="110">
        <v>4</v>
      </c>
      <c r="P1988" s="109">
        <f>MIN(F1988:O1988)</f>
        <v>4</v>
      </c>
      <c r="Q1988" s="504">
        <f>E1988-P1988</f>
        <v>0</v>
      </c>
      <c r="R1988" s="107">
        <f>Q1988/E1988</f>
        <v>0</v>
      </c>
      <c r="S1988" s="503"/>
    </row>
    <row r="1989" spans="1:19" ht="9.75" customHeight="1">
      <c r="A1989" s="503"/>
      <c r="B1989" s="503"/>
      <c r="C1989" s="13"/>
      <c r="D1989" s="13" t="s">
        <v>35</v>
      </c>
      <c r="E1989" s="13"/>
      <c r="F1989" s="109"/>
      <c r="G1989" s="504"/>
      <c r="H1989" s="504"/>
      <c r="I1989" s="504"/>
      <c r="J1989" s="504"/>
      <c r="K1989" s="504"/>
      <c r="L1989" s="504"/>
      <c r="M1989" s="504"/>
      <c r="N1989" s="504"/>
      <c r="O1989" s="110"/>
      <c r="P1989" s="109"/>
      <c r="Q1989" s="504"/>
      <c r="R1989" s="107"/>
      <c r="S1989" s="503"/>
    </row>
    <row r="1990" spans="1:19" ht="9.75" customHeight="1">
      <c r="A1990" s="503"/>
      <c r="B1990" s="503"/>
      <c r="C1990" s="13"/>
      <c r="D1990" s="13" t="s">
        <v>36</v>
      </c>
      <c r="E1990" s="13"/>
      <c r="F1990" s="109"/>
      <c r="G1990" s="504"/>
      <c r="H1990" s="504"/>
      <c r="I1990" s="504"/>
      <c r="J1990" s="504"/>
      <c r="K1990" s="504"/>
      <c r="L1990" s="504"/>
      <c r="M1990" s="504"/>
      <c r="N1990" s="504"/>
      <c r="O1990" s="110"/>
      <c r="P1990" s="109"/>
      <c r="Q1990" s="504"/>
      <c r="R1990" s="107"/>
      <c r="S1990" s="503"/>
    </row>
    <row r="1991" spans="1:19" ht="9.75" customHeight="1">
      <c r="A1991" s="503"/>
      <c r="B1991" s="503"/>
      <c r="C1991" s="13"/>
      <c r="D1991" s="13" t="s">
        <v>37</v>
      </c>
      <c r="E1991" s="13"/>
      <c r="F1991" s="109"/>
      <c r="G1991" s="504"/>
      <c r="H1991" s="504"/>
      <c r="I1991" s="504"/>
      <c r="J1991" s="504"/>
      <c r="K1991" s="504"/>
      <c r="L1991" s="504"/>
      <c r="M1991" s="504"/>
      <c r="N1991" s="504"/>
      <c r="O1991" s="110"/>
      <c r="P1991" s="109"/>
      <c r="Q1991" s="504"/>
      <c r="R1991" s="107"/>
      <c r="S1991" s="503"/>
    </row>
    <row r="1992" spans="1:19" ht="9.75" customHeight="1">
      <c r="A1992" s="503"/>
      <c r="B1992" s="503" t="s">
        <v>127</v>
      </c>
      <c r="C1992" s="13"/>
      <c r="D1992" s="3" t="s">
        <v>38</v>
      </c>
      <c r="E1992" s="3">
        <f t="shared" ref="E1992:O1992" si="380">SUM(E1976:E1991)</f>
        <v>38</v>
      </c>
      <c r="F1992" s="21">
        <f t="shared" si="380"/>
        <v>5</v>
      </c>
      <c r="G1992" s="71">
        <f t="shared" si="380"/>
        <v>4</v>
      </c>
      <c r="H1992" s="71">
        <f t="shared" si="380"/>
        <v>4</v>
      </c>
      <c r="I1992" s="71">
        <f t="shared" si="380"/>
        <v>4</v>
      </c>
      <c r="J1992" s="71">
        <f t="shared" si="380"/>
        <v>5</v>
      </c>
      <c r="K1992" s="71">
        <f t="shared" si="380"/>
        <v>5</v>
      </c>
      <c r="L1992" s="71">
        <f t="shared" si="380"/>
        <v>4</v>
      </c>
      <c r="M1992" s="71">
        <f t="shared" si="380"/>
        <v>9</v>
      </c>
      <c r="N1992" s="71">
        <f t="shared" si="380"/>
        <v>15</v>
      </c>
      <c r="O1992" s="26">
        <f t="shared" si="380"/>
        <v>21</v>
      </c>
      <c r="P1992" s="21">
        <f>MIN(F1992:O1992)</f>
        <v>4</v>
      </c>
      <c r="Q1992" s="71">
        <f>E1992-P1992</f>
        <v>34</v>
      </c>
      <c r="R1992" s="7">
        <f>Q1992/E1992</f>
        <v>0.89473684210526316</v>
      </c>
      <c r="S1992" s="503"/>
    </row>
    <row r="1993" spans="1:19" ht="9.75" customHeight="1">
      <c r="A1993" s="503"/>
      <c r="B1993" s="503"/>
      <c r="C1993" s="43" t="s">
        <v>333</v>
      </c>
      <c r="D1993" s="43" t="s">
        <v>23</v>
      </c>
      <c r="E1993" s="13"/>
      <c r="F1993" s="109"/>
      <c r="G1993" s="504"/>
      <c r="H1993" s="504"/>
      <c r="I1993" s="504"/>
      <c r="J1993" s="504"/>
      <c r="K1993" s="504"/>
      <c r="L1993" s="504"/>
      <c r="M1993" s="504"/>
      <c r="N1993" s="504"/>
      <c r="O1993" s="110"/>
      <c r="P1993" s="109"/>
      <c r="Q1993" s="504"/>
      <c r="R1993" s="107"/>
      <c r="S1993" s="503"/>
    </row>
    <row r="1994" spans="1:19" ht="9.75" customHeight="1">
      <c r="A1994" s="503"/>
      <c r="B1994" s="503"/>
      <c r="C1994" s="13"/>
      <c r="D1994" s="13" t="s">
        <v>25</v>
      </c>
      <c r="E1994" s="13"/>
      <c r="F1994" s="109"/>
      <c r="G1994" s="504"/>
      <c r="H1994" s="504"/>
      <c r="I1994" s="504"/>
      <c r="J1994" s="504"/>
      <c r="K1994" s="504"/>
      <c r="L1994" s="504"/>
      <c r="M1994" s="504"/>
      <c r="N1994" s="504"/>
      <c r="O1994" s="110"/>
      <c r="P1994" s="109"/>
      <c r="Q1994" s="504"/>
      <c r="R1994" s="107"/>
      <c r="S1994" s="503"/>
    </row>
    <row r="1995" spans="1:19" ht="9.75" customHeight="1">
      <c r="A1995" s="503"/>
      <c r="B1995" s="503"/>
      <c r="C1995" s="13"/>
      <c r="D1995" s="13" t="s">
        <v>27</v>
      </c>
      <c r="E1995" s="13"/>
      <c r="F1995" s="109"/>
      <c r="G1995" s="504"/>
      <c r="H1995" s="504"/>
      <c r="I1995" s="504"/>
      <c r="J1995" s="504"/>
      <c r="K1995" s="504"/>
      <c r="L1995" s="504"/>
      <c r="M1995" s="504"/>
      <c r="N1995" s="504"/>
      <c r="O1995" s="110"/>
      <c r="P1995" s="109"/>
      <c r="Q1995" s="504"/>
      <c r="R1995" s="107"/>
      <c r="S1995" s="503"/>
    </row>
    <row r="1996" spans="1:19" ht="9.75" customHeight="1">
      <c r="A1996" s="503"/>
      <c r="B1996" s="503"/>
      <c r="C1996" s="13"/>
      <c r="D1996" s="13" t="s">
        <v>115</v>
      </c>
      <c r="E1996" s="13"/>
      <c r="F1996" s="109"/>
      <c r="G1996" s="504"/>
      <c r="H1996" s="504"/>
      <c r="I1996" s="504"/>
      <c r="J1996" s="504"/>
      <c r="K1996" s="504"/>
      <c r="L1996" s="504"/>
      <c r="M1996" s="504"/>
      <c r="N1996" s="504"/>
      <c r="O1996" s="110"/>
      <c r="P1996" s="109"/>
      <c r="Q1996" s="504"/>
      <c r="R1996" s="107"/>
      <c r="S1996" s="503"/>
    </row>
    <row r="1997" spans="1:19" ht="9.75" customHeight="1">
      <c r="A1997" s="503"/>
      <c r="B1997" s="503"/>
      <c r="C1997" s="13"/>
      <c r="D1997" s="13" t="s">
        <v>115</v>
      </c>
      <c r="E1997" s="13"/>
      <c r="F1997" s="109"/>
      <c r="G1997" s="504"/>
      <c r="H1997" s="504"/>
      <c r="I1997" s="504"/>
      <c r="J1997" s="504"/>
      <c r="K1997" s="504"/>
      <c r="L1997" s="504"/>
      <c r="M1997" s="504"/>
      <c r="N1997" s="504"/>
      <c r="O1997" s="110"/>
      <c r="P1997" s="109"/>
      <c r="Q1997" s="504"/>
      <c r="R1997" s="107"/>
      <c r="S1997" s="503"/>
    </row>
    <row r="1998" spans="1:19" ht="9.75" customHeight="1">
      <c r="A1998" s="503"/>
      <c r="B1998" s="503"/>
      <c r="C1998" s="13"/>
      <c r="D1998" s="13" t="s">
        <v>32</v>
      </c>
      <c r="E1998" s="13">
        <v>8</v>
      </c>
      <c r="F1998" s="109">
        <v>5</v>
      </c>
      <c r="G1998" s="504">
        <v>4</v>
      </c>
      <c r="H1998" s="504">
        <v>3</v>
      </c>
      <c r="I1998" s="504">
        <v>3</v>
      </c>
      <c r="J1998" s="504">
        <v>4</v>
      </c>
      <c r="K1998" s="504">
        <v>3</v>
      </c>
      <c r="L1998" s="504">
        <v>1</v>
      </c>
      <c r="M1998" s="504">
        <v>4</v>
      </c>
      <c r="N1998" s="504">
        <v>6</v>
      </c>
      <c r="O1998" s="110">
        <v>0</v>
      </c>
      <c r="P1998" s="109">
        <f>MIN(F1998:O1998)</f>
        <v>0</v>
      </c>
      <c r="Q1998" s="504">
        <f>E1998-P1998</f>
        <v>8</v>
      </c>
      <c r="R1998" s="107">
        <f>Q1998/E1998</f>
        <v>1</v>
      </c>
      <c r="S1998" s="503"/>
    </row>
    <row r="1999" spans="1:19" ht="9.75" customHeight="1">
      <c r="A1999" s="503"/>
      <c r="B1999" s="503"/>
      <c r="C1999" s="13"/>
      <c r="D1999" s="13" t="s">
        <v>120</v>
      </c>
      <c r="E1999" s="13"/>
      <c r="F1999" s="109"/>
      <c r="G1999" s="504"/>
      <c r="H1999" s="504"/>
      <c r="I1999" s="504"/>
      <c r="J1999" s="504"/>
      <c r="K1999" s="504"/>
      <c r="L1999" s="504"/>
      <c r="M1999" s="504"/>
      <c r="N1999" s="504"/>
      <c r="O1999" s="110"/>
      <c r="P1999" s="109"/>
      <c r="Q1999" s="504"/>
      <c r="R1999" s="107"/>
      <c r="S1999" s="503"/>
    </row>
    <row r="2000" spans="1:19" ht="9.75" customHeight="1">
      <c r="A2000" s="503"/>
      <c r="B2000" s="503"/>
      <c r="C2000" s="13"/>
      <c r="D2000" s="13" t="s">
        <v>120</v>
      </c>
      <c r="E2000" s="13"/>
      <c r="F2000" s="109"/>
      <c r="G2000" s="504"/>
      <c r="H2000" s="504"/>
      <c r="I2000" s="504"/>
      <c r="J2000" s="504"/>
      <c r="K2000" s="504"/>
      <c r="L2000" s="504"/>
      <c r="M2000" s="504"/>
      <c r="N2000" s="504"/>
      <c r="O2000" s="110"/>
      <c r="P2000" s="109"/>
      <c r="Q2000" s="504"/>
      <c r="R2000" s="107"/>
      <c r="S2000" s="503"/>
    </row>
    <row r="2001" spans="1:19" ht="9.75" customHeight="1">
      <c r="A2001" s="503"/>
      <c r="B2001" s="503"/>
      <c r="C2001" s="13"/>
      <c r="D2001" s="13" t="s">
        <v>120</v>
      </c>
      <c r="E2001" s="13"/>
      <c r="F2001" s="109"/>
      <c r="G2001" s="504"/>
      <c r="H2001" s="504"/>
      <c r="I2001" s="504"/>
      <c r="J2001" s="504"/>
      <c r="K2001" s="504"/>
      <c r="L2001" s="504"/>
      <c r="M2001" s="504"/>
      <c r="N2001" s="504"/>
      <c r="O2001" s="110"/>
      <c r="P2001" s="109"/>
      <c r="Q2001" s="504"/>
      <c r="R2001" s="107"/>
      <c r="S2001" s="503"/>
    </row>
    <row r="2002" spans="1:19" ht="9.75" customHeight="1">
      <c r="A2002" s="503"/>
      <c r="B2002" s="503"/>
      <c r="C2002" s="13"/>
      <c r="D2002" s="13" t="s">
        <v>120</v>
      </c>
      <c r="E2002" s="13"/>
      <c r="F2002" s="109"/>
      <c r="G2002" s="504"/>
      <c r="H2002" s="504"/>
      <c r="I2002" s="504"/>
      <c r="J2002" s="504"/>
      <c r="K2002" s="504"/>
      <c r="L2002" s="504"/>
      <c r="M2002" s="504"/>
      <c r="N2002" s="504"/>
      <c r="O2002" s="110"/>
      <c r="P2002" s="109"/>
      <c r="Q2002" s="504"/>
      <c r="R2002" s="107"/>
      <c r="S2002" s="503"/>
    </row>
    <row r="2003" spans="1:19" ht="9.75" customHeight="1">
      <c r="A2003" s="503"/>
      <c r="B2003" s="503"/>
      <c r="C2003" s="13"/>
      <c r="D2003" s="13" t="s">
        <v>120</v>
      </c>
      <c r="E2003" s="13"/>
      <c r="F2003" s="109"/>
      <c r="G2003" s="504"/>
      <c r="H2003" s="504"/>
      <c r="I2003" s="504"/>
      <c r="J2003" s="504"/>
      <c r="K2003" s="504"/>
      <c r="L2003" s="504"/>
      <c r="M2003" s="504"/>
      <c r="N2003" s="504"/>
      <c r="O2003" s="110"/>
      <c r="P2003" s="109"/>
      <c r="Q2003" s="504"/>
      <c r="R2003" s="107"/>
      <c r="S2003" s="503"/>
    </row>
    <row r="2004" spans="1:19" ht="9.75" customHeight="1">
      <c r="A2004" s="503"/>
      <c r="B2004" s="503"/>
      <c r="C2004" s="13"/>
      <c r="D2004" s="13" t="s">
        <v>120</v>
      </c>
      <c r="E2004" s="13"/>
      <c r="F2004" s="109"/>
      <c r="G2004" s="504"/>
      <c r="H2004" s="504"/>
      <c r="I2004" s="504"/>
      <c r="J2004" s="504"/>
      <c r="K2004" s="504"/>
      <c r="L2004" s="504"/>
      <c r="M2004" s="504"/>
      <c r="N2004" s="504"/>
      <c r="O2004" s="110"/>
      <c r="P2004" s="109"/>
      <c r="Q2004" s="504"/>
      <c r="R2004" s="107"/>
      <c r="S2004" s="503"/>
    </row>
    <row r="2005" spans="1:19" ht="9.75" customHeight="1">
      <c r="A2005" s="503"/>
      <c r="B2005" s="503"/>
      <c r="C2005" s="13"/>
      <c r="D2005" s="13" t="s">
        <v>34</v>
      </c>
      <c r="E2005" s="13">
        <v>1</v>
      </c>
      <c r="F2005" s="109">
        <v>0</v>
      </c>
      <c r="G2005" s="504">
        <v>0</v>
      </c>
      <c r="H2005" s="504">
        <v>0</v>
      </c>
      <c r="I2005" s="504">
        <v>0</v>
      </c>
      <c r="J2005" s="504">
        <v>0</v>
      </c>
      <c r="K2005" s="504">
        <v>0</v>
      </c>
      <c r="L2005" s="504">
        <v>0</v>
      </c>
      <c r="M2005" s="504">
        <v>1</v>
      </c>
      <c r="N2005" s="504">
        <v>1</v>
      </c>
      <c r="O2005" s="110">
        <v>1</v>
      </c>
      <c r="P2005" s="109">
        <f t="shared" ref="P2005:P2006" si="381">MIN(F2005:O2005)</f>
        <v>0</v>
      </c>
      <c r="Q2005" s="504">
        <f t="shared" ref="Q2005:Q2006" si="382">E2005-P2005</f>
        <v>1</v>
      </c>
      <c r="R2005" s="107">
        <f t="shared" ref="R2005:R2006" si="383">Q2005/E2005</f>
        <v>1</v>
      </c>
      <c r="S2005" s="503"/>
    </row>
    <row r="2006" spans="1:19" ht="9.75" customHeight="1">
      <c r="A2006" s="503"/>
      <c r="B2006" s="503"/>
      <c r="C2006" s="13"/>
      <c r="D2006" s="13" t="s">
        <v>35</v>
      </c>
      <c r="E2006" s="13">
        <v>7</v>
      </c>
      <c r="F2006" s="109">
        <v>2</v>
      </c>
      <c r="G2006" s="504">
        <v>0</v>
      </c>
      <c r="H2006" s="504">
        <v>0</v>
      </c>
      <c r="I2006" s="504">
        <v>0</v>
      </c>
      <c r="J2006" s="504">
        <v>0</v>
      </c>
      <c r="K2006" s="504">
        <v>0</v>
      </c>
      <c r="L2006" s="504">
        <v>0</v>
      </c>
      <c r="M2006" s="504">
        <v>0</v>
      </c>
      <c r="N2006" s="504">
        <v>2</v>
      </c>
      <c r="O2006" s="110">
        <v>2</v>
      </c>
      <c r="P2006" s="109">
        <f t="shared" si="381"/>
        <v>0</v>
      </c>
      <c r="Q2006" s="504">
        <f t="shared" si="382"/>
        <v>7</v>
      </c>
      <c r="R2006" s="107">
        <f t="shared" si="383"/>
        <v>1</v>
      </c>
      <c r="S2006" s="503"/>
    </row>
    <row r="2007" spans="1:19" ht="9.75" customHeight="1">
      <c r="A2007" s="503"/>
      <c r="B2007" s="503"/>
      <c r="C2007" s="13"/>
      <c r="D2007" s="13" t="s">
        <v>36</v>
      </c>
      <c r="E2007" s="13"/>
      <c r="F2007" s="109"/>
      <c r="G2007" s="504"/>
      <c r="H2007" s="504"/>
      <c r="I2007" s="504"/>
      <c r="J2007" s="504"/>
      <c r="K2007" s="504"/>
      <c r="L2007" s="504"/>
      <c r="M2007" s="504"/>
      <c r="N2007" s="504"/>
      <c r="O2007" s="110"/>
      <c r="P2007" s="109"/>
      <c r="Q2007" s="504"/>
      <c r="R2007" s="107"/>
      <c r="S2007" s="503"/>
    </row>
    <row r="2008" spans="1:19" ht="9.75" customHeight="1">
      <c r="A2008" s="503"/>
      <c r="B2008" s="503"/>
      <c r="C2008" s="13"/>
      <c r="D2008" s="13" t="s">
        <v>37</v>
      </c>
      <c r="E2008" s="13"/>
      <c r="F2008" s="109"/>
      <c r="G2008" s="504"/>
      <c r="H2008" s="504"/>
      <c r="I2008" s="504"/>
      <c r="J2008" s="504"/>
      <c r="K2008" s="504"/>
      <c r="L2008" s="504"/>
      <c r="M2008" s="504"/>
      <c r="N2008" s="504"/>
      <c r="O2008" s="110"/>
      <c r="P2008" s="109"/>
      <c r="Q2008" s="504"/>
      <c r="R2008" s="107"/>
      <c r="S2008" s="503"/>
    </row>
    <row r="2009" spans="1:19" ht="9.75" customHeight="1">
      <c r="A2009" s="503"/>
      <c r="B2009" s="503" t="s">
        <v>127</v>
      </c>
      <c r="C2009" s="2"/>
      <c r="D2009" s="3" t="s">
        <v>38</v>
      </c>
      <c r="E2009" s="3">
        <f t="shared" ref="E2009:O2009" si="384">SUM(E1993:E2008)</f>
        <v>16</v>
      </c>
      <c r="F2009" s="21">
        <f t="shared" si="384"/>
        <v>7</v>
      </c>
      <c r="G2009" s="71">
        <f t="shared" si="384"/>
        <v>4</v>
      </c>
      <c r="H2009" s="71">
        <f t="shared" si="384"/>
        <v>3</v>
      </c>
      <c r="I2009" s="71">
        <f t="shared" si="384"/>
        <v>3</v>
      </c>
      <c r="J2009" s="71">
        <f t="shared" si="384"/>
        <v>4</v>
      </c>
      <c r="K2009" s="71">
        <f t="shared" si="384"/>
        <v>3</v>
      </c>
      <c r="L2009" s="71">
        <f t="shared" si="384"/>
        <v>1</v>
      </c>
      <c r="M2009" s="71">
        <f t="shared" si="384"/>
        <v>5</v>
      </c>
      <c r="N2009" s="71">
        <f t="shared" si="384"/>
        <v>9</v>
      </c>
      <c r="O2009" s="26">
        <f t="shared" si="384"/>
        <v>3</v>
      </c>
      <c r="P2009" s="21">
        <f>MIN(F2009:O2009)</f>
        <v>1</v>
      </c>
      <c r="Q2009" s="71">
        <f>E2009-P2009</f>
        <v>15</v>
      </c>
      <c r="R2009" s="7">
        <f>Q2009/E2009</f>
        <v>0.9375</v>
      </c>
      <c r="S2009" s="503"/>
    </row>
    <row r="2010" spans="1:19" ht="9.75" customHeight="1">
      <c r="A2010" s="503"/>
      <c r="B2010" s="503"/>
      <c r="C2010" s="43" t="s">
        <v>334</v>
      </c>
      <c r="D2010" s="43" t="s">
        <v>23</v>
      </c>
      <c r="E2010" s="43"/>
      <c r="F2010" s="116"/>
      <c r="G2010" s="128"/>
      <c r="H2010" s="128"/>
      <c r="I2010" s="128"/>
      <c r="J2010" s="128"/>
      <c r="K2010" s="128"/>
      <c r="L2010" s="128"/>
      <c r="M2010" s="128"/>
      <c r="N2010" s="128"/>
      <c r="O2010" s="129"/>
      <c r="P2010" s="116"/>
      <c r="Q2010" s="128"/>
      <c r="R2010" s="141"/>
      <c r="S2010" s="503"/>
    </row>
    <row r="2011" spans="1:19" ht="9.75" customHeight="1">
      <c r="A2011" s="503"/>
      <c r="B2011" s="503"/>
      <c r="C2011" s="13"/>
      <c r="D2011" s="13" t="s">
        <v>25</v>
      </c>
      <c r="E2011" s="13"/>
      <c r="F2011" s="109"/>
      <c r="G2011" s="504"/>
      <c r="H2011" s="504"/>
      <c r="I2011" s="504"/>
      <c r="J2011" s="504"/>
      <c r="K2011" s="504"/>
      <c r="L2011" s="504"/>
      <c r="M2011" s="504"/>
      <c r="N2011" s="504"/>
      <c r="O2011" s="110"/>
      <c r="P2011" s="109"/>
      <c r="Q2011" s="504"/>
      <c r="R2011" s="107"/>
      <c r="S2011" s="503"/>
    </row>
    <row r="2012" spans="1:19" ht="9.75" customHeight="1">
      <c r="A2012" s="503"/>
      <c r="B2012" s="503"/>
      <c r="C2012" s="13"/>
      <c r="D2012" s="13" t="s">
        <v>27</v>
      </c>
      <c r="E2012" s="13"/>
      <c r="F2012" s="109"/>
      <c r="G2012" s="504"/>
      <c r="H2012" s="504"/>
      <c r="I2012" s="504"/>
      <c r="J2012" s="504"/>
      <c r="K2012" s="504"/>
      <c r="L2012" s="504"/>
      <c r="M2012" s="504"/>
      <c r="N2012" s="504"/>
      <c r="O2012" s="110"/>
      <c r="P2012" s="109"/>
      <c r="Q2012" s="504"/>
      <c r="R2012" s="107"/>
      <c r="S2012" s="503"/>
    </row>
    <row r="2013" spans="1:19" ht="9.75" customHeight="1">
      <c r="A2013" s="503"/>
      <c r="B2013" s="503"/>
      <c r="C2013" s="13"/>
      <c r="D2013" s="13" t="s">
        <v>115</v>
      </c>
      <c r="E2013" s="13"/>
      <c r="F2013" s="109"/>
      <c r="G2013" s="504"/>
      <c r="H2013" s="504"/>
      <c r="I2013" s="504"/>
      <c r="J2013" s="504"/>
      <c r="K2013" s="504"/>
      <c r="L2013" s="504"/>
      <c r="M2013" s="504"/>
      <c r="N2013" s="504"/>
      <c r="O2013" s="110"/>
      <c r="P2013" s="109"/>
      <c r="Q2013" s="504"/>
      <c r="R2013" s="107"/>
      <c r="S2013" s="503"/>
    </row>
    <row r="2014" spans="1:19" ht="9.75" customHeight="1">
      <c r="A2014" s="503"/>
      <c r="B2014" s="503"/>
      <c r="C2014" s="13"/>
      <c r="D2014" s="13" t="s">
        <v>115</v>
      </c>
      <c r="E2014" s="13"/>
      <c r="F2014" s="109"/>
      <c r="G2014" s="504"/>
      <c r="H2014" s="504"/>
      <c r="I2014" s="504"/>
      <c r="J2014" s="504"/>
      <c r="K2014" s="504"/>
      <c r="L2014" s="504"/>
      <c r="M2014" s="504"/>
      <c r="N2014" s="504"/>
      <c r="O2014" s="110"/>
      <c r="P2014" s="109"/>
      <c r="Q2014" s="504"/>
      <c r="R2014" s="107"/>
      <c r="S2014" s="503"/>
    </row>
    <row r="2015" spans="1:19" ht="9.75" customHeight="1">
      <c r="A2015" s="503"/>
      <c r="B2015" s="503"/>
      <c r="C2015" s="13"/>
      <c r="D2015" s="13" t="s">
        <v>32</v>
      </c>
      <c r="E2015" s="13">
        <v>6</v>
      </c>
      <c r="F2015" s="109">
        <v>6</v>
      </c>
      <c r="G2015" s="504">
        <v>5</v>
      </c>
      <c r="H2015" s="504">
        <v>4</v>
      </c>
      <c r="I2015" s="504">
        <v>4</v>
      </c>
      <c r="J2015" s="504">
        <v>3</v>
      </c>
      <c r="K2015" s="504">
        <v>5</v>
      </c>
      <c r="L2015" s="504">
        <v>5</v>
      </c>
      <c r="M2015" s="504">
        <v>4</v>
      </c>
      <c r="N2015" s="504">
        <v>3</v>
      </c>
      <c r="O2015" s="110">
        <v>3</v>
      </c>
      <c r="P2015" s="109">
        <f>MIN(F2015:O2015)</f>
        <v>3</v>
      </c>
      <c r="Q2015" s="504">
        <f>E2015-P2015</f>
        <v>3</v>
      </c>
      <c r="R2015" s="107">
        <f>Q2015/E2015</f>
        <v>0.5</v>
      </c>
      <c r="S2015" s="503"/>
    </row>
    <row r="2016" spans="1:19" ht="9.75" customHeight="1">
      <c r="A2016" s="503"/>
      <c r="B2016" s="503"/>
      <c r="C2016" s="13"/>
      <c r="D2016" s="13" t="s">
        <v>120</v>
      </c>
      <c r="E2016" s="13"/>
      <c r="F2016" s="109"/>
      <c r="G2016" s="504"/>
      <c r="H2016" s="504"/>
      <c r="I2016" s="504"/>
      <c r="J2016" s="504"/>
      <c r="K2016" s="504"/>
      <c r="L2016" s="504"/>
      <c r="M2016" s="504"/>
      <c r="N2016" s="504"/>
      <c r="O2016" s="110"/>
      <c r="P2016" s="109"/>
      <c r="Q2016" s="504"/>
      <c r="R2016" s="107"/>
      <c r="S2016" s="503"/>
    </row>
    <row r="2017" spans="1:19" ht="9.75" customHeight="1">
      <c r="A2017" s="503"/>
      <c r="B2017" s="503"/>
      <c r="C2017" s="13"/>
      <c r="D2017" s="13" t="s">
        <v>120</v>
      </c>
      <c r="E2017" s="13"/>
      <c r="F2017" s="109"/>
      <c r="G2017" s="504"/>
      <c r="H2017" s="504"/>
      <c r="I2017" s="504"/>
      <c r="J2017" s="504"/>
      <c r="K2017" s="504"/>
      <c r="L2017" s="504"/>
      <c r="M2017" s="504"/>
      <c r="N2017" s="504"/>
      <c r="O2017" s="110"/>
      <c r="P2017" s="109"/>
      <c r="Q2017" s="504"/>
      <c r="R2017" s="107"/>
      <c r="S2017" s="503"/>
    </row>
    <row r="2018" spans="1:19" ht="9.75" customHeight="1">
      <c r="A2018" s="503"/>
      <c r="B2018" s="503"/>
      <c r="C2018" s="13"/>
      <c r="D2018" s="13" t="s">
        <v>120</v>
      </c>
      <c r="E2018" s="13"/>
      <c r="F2018" s="109"/>
      <c r="G2018" s="504"/>
      <c r="H2018" s="504"/>
      <c r="I2018" s="504"/>
      <c r="J2018" s="504"/>
      <c r="K2018" s="504"/>
      <c r="L2018" s="504"/>
      <c r="M2018" s="504"/>
      <c r="N2018" s="504"/>
      <c r="O2018" s="110"/>
      <c r="P2018" s="109"/>
      <c r="Q2018" s="504"/>
      <c r="R2018" s="107"/>
      <c r="S2018" s="503"/>
    </row>
    <row r="2019" spans="1:19" ht="9.75" customHeight="1">
      <c r="A2019" s="503"/>
      <c r="B2019" s="503"/>
      <c r="C2019" s="13"/>
      <c r="D2019" s="13" t="s">
        <v>120</v>
      </c>
      <c r="E2019" s="13"/>
      <c r="F2019" s="109"/>
      <c r="G2019" s="504"/>
      <c r="H2019" s="504"/>
      <c r="I2019" s="504"/>
      <c r="J2019" s="504"/>
      <c r="K2019" s="504"/>
      <c r="L2019" s="504"/>
      <c r="M2019" s="504"/>
      <c r="N2019" s="504"/>
      <c r="O2019" s="110"/>
      <c r="P2019" s="109"/>
      <c r="Q2019" s="504"/>
      <c r="R2019" s="107"/>
      <c r="S2019" s="503"/>
    </row>
    <row r="2020" spans="1:19" ht="9.75" customHeight="1">
      <c r="A2020" s="503"/>
      <c r="B2020" s="503"/>
      <c r="C2020" s="13"/>
      <c r="D2020" s="13" t="s">
        <v>120</v>
      </c>
      <c r="E2020" s="13"/>
      <c r="F2020" s="109"/>
      <c r="G2020" s="504"/>
      <c r="H2020" s="504"/>
      <c r="I2020" s="504"/>
      <c r="J2020" s="504"/>
      <c r="K2020" s="504"/>
      <c r="L2020" s="504"/>
      <c r="M2020" s="504"/>
      <c r="N2020" s="504"/>
      <c r="O2020" s="110"/>
      <c r="P2020" s="109"/>
      <c r="Q2020" s="504"/>
      <c r="R2020" s="107"/>
      <c r="S2020" s="503"/>
    </row>
    <row r="2021" spans="1:19" ht="9.75" customHeight="1">
      <c r="A2021" s="503"/>
      <c r="B2021" s="503"/>
      <c r="C2021" s="13"/>
      <c r="D2021" s="13" t="s">
        <v>120</v>
      </c>
      <c r="E2021" s="13"/>
      <c r="F2021" s="109"/>
      <c r="G2021" s="504"/>
      <c r="H2021" s="504"/>
      <c r="I2021" s="504"/>
      <c r="J2021" s="504"/>
      <c r="K2021" s="504"/>
      <c r="L2021" s="504"/>
      <c r="M2021" s="504"/>
      <c r="N2021" s="504"/>
      <c r="O2021" s="110"/>
      <c r="P2021" s="109"/>
      <c r="Q2021" s="504"/>
      <c r="R2021" s="107"/>
      <c r="S2021" s="503"/>
    </row>
    <row r="2022" spans="1:19" ht="9.75" customHeight="1">
      <c r="A2022" s="503"/>
      <c r="B2022" s="503"/>
      <c r="C2022" s="13"/>
      <c r="D2022" s="13" t="s">
        <v>34</v>
      </c>
      <c r="E2022" s="13">
        <v>2</v>
      </c>
      <c r="F2022" s="109">
        <v>0</v>
      </c>
      <c r="G2022" s="504">
        <v>0</v>
      </c>
      <c r="H2022" s="504">
        <v>0</v>
      </c>
      <c r="I2022" s="504">
        <v>0</v>
      </c>
      <c r="J2022" s="504">
        <v>0</v>
      </c>
      <c r="K2022" s="504">
        <v>0</v>
      </c>
      <c r="L2022" s="504">
        <v>0</v>
      </c>
      <c r="M2022" s="504">
        <v>0</v>
      </c>
      <c r="N2022" s="504">
        <v>1</v>
      </c>
      <c r="O2022" s="110">
        <v>2</v>
      </c>
      <c r="P2022" s="109">
        <f>MIN(F2022:O2022)</f>
        <v>0</v>
      </c>
      <c r="Q2022" s="504">
        <f>E2022-P2022</f>
        <v>2</v>
      </c>
      <c r="R2022" s="107">
        <f>Q2022/E2022</f>
        <v>1</v>
      </c>
      <c r="S2022" s="503"/>
    </row>
    <row r="2023" spans="1:19" ht="9.75" customHeight="1">
      <c r="A2023" s="503"/>
      <c r="B2023" s="503"/>
      <c r="C2023" s="13"/>
      <c r="D2023" s="13" t="s">
        <v>35</v>
      </c>
      <c r="E2023" s="13"/>
      <c r="F2023" s="109"/>
      <c r="G2023" s="504"/>
      <c r="H2023" s="504"/>
      <c r="I2023" s="504"/>
      <c r="J2023" s="504"/>
      <c r="K2023" s="504"/>
      <c r="L2023" s="504"/>
      <c r="M2023" s="504"/>
      <c r="N2023" s="504"/>
      <c r="O2023" s="110"/>
      <c r="P2023" s="109"/>
      <c r="Q2023" s="504"/>
      <c r="R2023" s="107"/>
      <c r="S2023" s="503"/>
    </row>
    <row r="2024" spans="1:19" ht="9.75" customHeight="1">
      <c r="A2024" s="503"/>
      <c r="B2024" s="503"/>
      <c r="C2024" s="13"/>
      <c r="D2024" s="13" t="s">
        <v>36</v>
      </c>
      <c r="E2024" s="13"/>
      <c r="F2024" s="109"/>
      <c r="G2024" s="504"/>
      <c r="H2024" s="504"/>
      <c r="I2024" s="504"/>
      <c r="J2024" s="504"/>
      <c r="K2024" s="504"/>
      <c r="L2024" s="504"/>
      <c r="M2024" s="504"/>
      <c r="N2024" s="504"/>
      <c r="O2024" s="110"/>
      <c r="P2024" s="109"/>
      <c r="Q2024" s="504"/>
      <c r="R2024" s="107"/>
      <c r="S2024" s="503"/>
    </row>
    <row r="2025" spans="1:19" ht="9.75" customHeight="1">
      <c r="A2025" s="503"/>
      <c r="B2025" s="503"/>
      <c r="C2025" s="13"/>
      <c r="D2025" s="13" t="s">
        <v>37</v>
      </c>
      <c r="E2025" s="13"/>
      <c r="F2025" s="109"/>
      <c r="G2025" s="504"/>
      <c r="H2025" s="504"/>
      <c r="I2025" s="504"/>
      <c r="J2025" s="504"/>
      <c r="K2025" s="504"/>
      <c r="L2025" s="504"/>
      <c r="M2025" s="504"/>
      <c r="N2025" s="504"/>
      <c r="O2025" s="110"/>
      <c r="P2025" s="109"/>
      <c r="Q2025" s="504"/>
      <c r="R2025" s="107"/>
      <c r="S2025" s="503"/>
    </row>
    <row r="2026" spans="1:19" ht="9.75" customHeight="1">
      <c r="A2026" s="503"/>
      <c r="B2026" s="503" t="s">
        <v>127</v>
      </c>
      <c r="C2026" s="2"/>
      <c r="D2026" s="3" t="s">
        <v>38</v>
      </c>
      <c r="E2026" s="3">
        <f t="shared" ref="E2026:O2026" si="385">SUM(E2010:E2025)</f>
        <v>8</v>
      </c>
      <c r="F2026" s="21">
        <f t="shared" si="385"/>
        <v>6</v>
      </c>
      <c r="G2026" s="71">
        <f t="shared" si="385"/>
        <v>5</v>
      </c>
      <c r="H2026" s="71">
        <f t="shared" si="385"/>
        <v>4</v>
      </c>
      <c r="I2026" s="71">
        <f t="shared" si="385"/>
        <v>4</v>
      </c>
      <c r="J2026" s="71">
        <f t="shared" si="385"/>
        <v>3</v>
      </c>
      <c r="K2026" s="71">
        <f t="shared" si="385"/>
        <v>5</v>
      </c>
      <c r="L2026" s="71">
        <f t="shared" si="385"/>
        <v>5</v>
      </c>
      <c r="M2026" s="71">
        <f t="shared" si="385"/>
        <v>4</v>
      </c>
      <c r="N2026" s="71">
        <f t="shared" si="385"/>
        <v>4</v>
      </c>
      <c r="O2026" s="26">
        <f t="shared" si="385"/>
        <v>5</v>
      </c>
      <c r="P2026" s="21">
        <f>MIN(F2026:O2026)</f>
        <v>3</v>
      </c>
      <c r="Q2026" s="71">
        <f>E2026-P2026</f>
        <v>5</v>
      </c>
      <c r="R2026" s="7">
        <f>Q2026/E2026</f>
        <v>0.625</v>
      </c>
      <c r="S2026" s="503"/>
    </row>
    <row r="2027" spans="1:19" ht="9.75" customHeight="1">
      <c r="A2027" s="503"/>
      <c r="B2027" s="503"/>
      <c r="C2027" s="43" t="s">
        <v>335</v>
      </c>
      <c r="D2027" s="43" t="s">
        <v>23</v>
      </c>
      <c r="E2027" s="43"/>
      <c r="F2027" s="116"/>
      <c r="G2027" s="128"/>
      <c r="H2027" s="128"/>
      <c r="I2027" s="128"/>
      <c r="J2027" s="128"/>
      <c r="K2027" s="128"/>
      <c r="L2027" s="128"/>
      <c r="M2027" s="128"/>
      <c r="N2027" s="128"/>
      <c r="O2027" s="129"/>
      <c r="P2027" s="116"/>
      <c r="Q2027" s="128"/>
      <c r="R2027" s="141"/>
      <c r="S2027" s="503"/>
    </row>
    <row r="2028" spans="1:19" ht="9.75" customHeight="1">
      <c r="A2028" s="503"/>
      <c r="B2028" s="503"/>
      <c r="C2028" s="13"/>
      <c r="D2028" s="13" t="s">
        <v>25</v>
      </c>
      <c r="E2028" s="13"/>
      <c r="F2028" s="109"/>
      <c r="G2028" s="504"/>
      <c r="H2028" s="504"/>
      <c r="I2028" s="504"/>
      <c r="J2028" s="504"/>
      <c r="K2028" s="504"/>
      <c r="L2028" s="504"/>
      <c r="M2028" s="504"/>
      <c r="N2028" s="504"/>
      <c r="O2028" s="110"/>
      <c r="P2028" s="109"/>
      <c r="Q2028" s="504"/>
      <c r="R2028" s="107"/>
      <c r="S2028" s="503"/>
    </row>
    <row r="2029" spans="1:19" ht="9.75" customHeight="1">
      <c r="A2029" s="503"/>
      <c r="B2029" s="503"/>
      <c r="C2029" s="13"/>
      <c r="D2029" s="13" t="s">
        <v>27</v>
      </c>
      <c r="E2029" s="13"/>
      <c r="F2029" s="109"/>
      <c r="G2029" s="504"/>
      <c r="H2029" s="504"/>
      <c r="I2029" s="504"/>
      <c r="J2029" s="504"/>
      <c r="K2029" s="504"/>
      <c r="L2029" s="504"/>
      <c r="M2029" s="504"/>
      <c r="N2029" s="504"/>
      <c r="O2029" s="110"/>
      <c r="P2029" s="109"/>
      <c r="Q2029" s="504"/>
      <c r="R2029" s="107"/>
      <c r="S2029" s="503"/>
    </row>
    <row r="2030" spans="1:19" ht="9.75" customHeight="1">
      <c r="A2030" s="503"/>
      <c r="B2030" s="503"/>
      <c r="C2030" s="13"/>
      <c r="D2030" s="13" t="s">
        <v>115</v>
      </c>
      <c r="E2030" s="13"/>
      <c r="F2030" s="109"/>
      <c r="G2030" s="504"/>
      <c r="H2030" s="504"/>
      <c r="I2030" s="504"/>
      <c r="J2030" s="504"/>
      <c r="K2030" s="504"/>
      <c r="L2030" s="504"/>
      <c r="M2030" s="504"/>
      <c r="N2030" s="504"/>
      <c r="O2030" s="110"/>
      <c r="P2030" s="109"/>
      <c r="Q2030" s="504"/>
      <c r="R2030" s="107"/>
      <c r="S2030" s="503"/>
    </row>
    <row r="2031" spans="1:19" ht="9.75" customHeight="1">
      <c r="A2031" s="503"/>
      <c r="B2031" s="503"/>
      <c r="C2031" s="13"/>
      <c r="D2031" s="13" t="s">
        <v>115</v>
      </c>
      <c r="E2031" s="13"/>
      <c r="F2031" s="109"/>
      <c r="G2031" s="504"/>
      <c r="H2031" s="504"/>
      <c r="I2031" s="504"/>
      <c r="J2031" s="504"/>
      <c r="K2031" s="504"/>
      <c r="L2031" s="504"/>
      <c r="M2031" s="504"/>
      <c r="N2031" s="504"/>
      <c r="O2031" s="110"/>
      <c r="P2031" s="109"/>
      <c r="Q2031" s="504"/>
      <c r="R2031" s="107"/>
      <c r="S2031" s="503"/>
    </row>
    <row r="2032" spans="1:19" ht="9.75" customHeight="1">
      <c r="A2032" s="503"/>
      <c r="B2032" s="503"/>
      <c r="C2032" s="13"/>
      <c r="D2032" s="13" t="s">
        <v>32</v>
      </c>
      <c r="E2032" s="13"/>
      <c r="F2032" s="109"/>
      <c r="G2032" s="504"/>
      <c r="H2032" s="504"/>
      <c r="I2032" s="504"/>
      <c r="J2032" s="504"/>
      <c r="K2032" s="504"/>
      <c r="L2032" s="504"/>
      <c r="M2032" s="504"/>
      <c r="N2032" s="504"/>
      <c r="O2032" s="110"/>
      <c r="P2032" s="109"/>
      <c r="Q2032" s="504"/>
      <c r="R2032" s="107"/>
      <c r="S2032" s="503"/>
    </row>
    <row r="2033" spans="1:19" ht="9.75" customHeight="1">
      <c r="A2033" s="503"/>
      <c r="B2033" s="503"/>
      <c r="C2033" s="13"/>
      <c r="D2033" s="13" t="s">
        <v>120</v>
      </c>
      <c r="E2033" s="13"/>
      <c r="F2033" s="109"/>
      <c r="G2033" s="504"/>
      <c r="H2033" s="504"/>
      <c r="I2033" s="504"/>
      <c r="J2033" s="504"/>
      <c r="K2033" s="504"/>
      <c r="L2033" s="504"/>
      <c r="M2033" s="504"/>
      <c r="N2033" s="504"/>
      <c r="O2033" s="110"/>
      <c r="P2033" s="109"/>
      <c r="Q2033" s="504"/>
      <c r="R2033" s="107"/>
      <c r="S2033" s="503"/>
    </row>
    <row r="2034" spans="1:19" ht="9.75" customHeight="1">
      <c r="A2034" s="503"/>
      <c r="B2034" s="503"/>
      <c r="C2034" s="13"/>
      <c r="D2034" s="13" t="s">
        <v>120</v>
      </c>
      <c r="E2034" s="13"/>
      <c r="F2034" s="109"/>
      <c r="G2034" s="504"/>
      <c r="H2034" s="504"/>
      <c r="I2034" s="504"/>
      <c r="J2034" s="504"/>
      <c r="K2034" s="504"/>
      <c r="L2034" s="504"/>
      <c r="M2034" s="504"/>
      <c r="N2034" s="504"/>
      <c r="O2034" s="110"/>
      <c r="P2034" s="109"/>
      <c r="Q2034" s="504"/>
      <c r="R2034" s="107"/>
      <c r="S2034" s="503"/>
    </row>
    <row r="2035" spans="1:19" ht="9.75" customHeight="1">
      <c r="A2035" s="503"/>
      <c r="B2035" s="503"/>
      <c r="C2035" s="13"/>
      <c r="D2035" s="13" t="s">
        <v>120</v>
      </c>
      <c r="E2035" s="13"/>
      <c r="F2035" s="109"/>
      <c r="G2035" s="504"/>
      <c r="H2035" s="504"/>
      <c r="I2035" s="504"/>
      <c r="J2035" s="504"/>
      <c r="K2035" s="504"/>
      <c r="L2035" s="504"/>
      <c r="M2035" s="504"/>
      <c r="N2035" s="504"/>
      <c r="O2035" s="110"/>
      <c r="P2035" s="109"/>
      <c r="Q2035" s="504"/>
      <c r="R2035" s="107"/>
      <c r="S2035" s="503"/>
    </row>
    <row r="2036" spans="1:19" ht="9.75" customHeight="1">
      <c r="A2036" s="503"/>
      <c r="B2036" s="503"/>
      <c r="C2036" s="13"/>
      <c r="D2036" s="13" t="s">
        <v>120</v>
      </c>
      <c r="E2036" s="13"/>
      <c r="F2036" s="109"/>
      <c r="G2036" s="504"/>
      <c r="H2036" s="504"/>
      <c r="I2036" s="504"/>
      <c r="J2036" s="504"/>
      <c r="K2036" s="504"/>
      <c r="L2036" s="504"/>
      <c r="M2036" s="504"/>
      <c r="N2036" s="504"/>
      <c r="O2036" s="110"/>
      <c r="P2036" s="109"/>
      <c r="Q2036" s="504"/>
      <c r="R2036" s="107"/>
      <c r="S2036" s="503"/>
    </row>
    <row r="2037" spans="1:19" ht="9.75" customHeight="1">
      <c r="A2037" s="503"/>
      <c r="B2037" s="503"/>
      <c r="C2037" s="13"/>
      <c r="D2037" s="13" t="s">
        <v>120</v>
      </c>
      <c r="E2037" s="13"/>
      <c r="F2037" s="109"/>
      <c r="G2037" s="504"/>
      <c r="H2037" s="504"/>
      <c r="I2037" s="504"/>
      <c r="J2037" s="504"/>
      <c r="K2037" s="504"/>
      <c r="L2037" s="504"/>
      <c r="M2037" s="504"/>
      <c r="N2037" s="504"/>
      <c r="O2037" s="110"/>
      <c r="P2037" s="109"/>
      <c r="Q2037" s="504"/>
      <c r="R2037" s="107"/>
      <c r="S2037" s="503"/>
    </row>
    <row r="2038" spans="1:19" ht="9.75" customHeight="1">
      <c r="A2038" s="503"/>
      <c r="B2038" s="503"/>
      <c r="C2038" s="13"/>
      <c r="D2038" s="13" t="s">
        <v>120</v>
      </c>
      <c r="E2038" s="13"/>
      <c r="F2038" s="109"/>
      <c r="G2038" s="504"/>
      <c r="H2038" s="504"/>
      <c r="I2038" s="504"/>
      <c r="J2038" s="504"/>
      <c r="K2038" s="504"/>
      <c r="L2038" s="504"/>
      <c r="M2038" s="504"/>
      <c r="N2038" s="504"/>
      <c r="O2038" s="110"/>
      <c r="P2038" s="109"/>
      <c r="Q2038" s="504"/>
      <c r="R2038" s="107"/>
      <c r="S2038" s="503"/>
    </row>
    <row r="2039" spans="1:19" ht="9.75" customHeight="1">
      <c r="A2039" s="503"/>
      <c r="B2039" s="503"/>
      <c r="C2039" s="13"/>
      <c r="D2039" s="13" t="s">
        <v>34</v>
      </c>
      <c r="E2039" s="13"/>
      <c r="F2039" s="109"/>
      <c r="G2039" s="504"/>
      <c r="H2039" s="504"/>
      <c r="I2039" s="504"/>
      <c r="J2039" s="504"/>
      <c r="K2039" s="504"/>
      <c r="L2039" s="504"/>
      <c r="M2039" s="504"/>
      <c r="N2039" s="504"/>
      <c r="O2039" s="110"/>
      <c r="P2039" s="109"/>
      <c r="Q2039" s="504"/>
      <c r="R2039" s="107"/>
      <c r="S2039" s="503"/>
    </row>
    <row r="2040" spans="1:19" ht="9.75" customHeight="1">
      <c r="A2040" s="503"/>
      <c r="B2040" s="503"/>
      <c r="C2040" s="13"/>
      <c r="D2040" s="13" t="s">
        <v>35</v>
      </c>
      <c r="E2040" s="13"/>
      <c r="F2040" s="109"/>
      <c r="G2040" s="504"/>
      <c r="H2040" s="504"/>
      <c r="I2040" s="504"/>
      <c r="J2040" s="504"/>
      <c r="K2040" s="504"/>
      <c r="L2040" s="504"/>
      <c r="M2040" s="504"/>
      <c r="N2040" s="504"/>
      <c r="O2040" s="110"/>
      <c r="P2040" s="109"/>
      <c r="Q2040" s="504"/>
      <c r="R2040" s="107"/>
      <c r="S2040" s="503"/>
    </row>
    <row r="2041" spans="1:19" ht="9.75" customHeight="1">
      <c r="A2041" s="503"/>
      <c r="B2041" s="503"/>
      <c r="C2041" s="13"/>
      <c r="D2041" s="13" t="s">
        <v>336</v>
      </c>
      <c r="E2041" s="13">
        <v>1</v>
      </c>
      <c r="F2041" s="109"/>
      <c r="G2041" s="504"/>
      <c r="H2041" s="504"/>
      <c r="I2041" s="504"/>
      <c r="J2041" s="504"/>
      <c r="K2041" s="504"/>
      <c r="L2041" s="504"/>
      <c r="M2041" s="504"/>
      <c r="N2041" s="504"/>
      <c r="O2041" s="110"/>
      <c r="P2041" s="109"/>
      <c r="Q2041" s="504"/>
      <c r="R2041" s="107"/>
      <c r="S2041" s="503"/>
    </row>
    <row r="2042" spans="1:19" ht="9.75" customHeight="1">
      <c r="A2042" s="503"/>
      <c r="B2042" s="503"/>
      <c r="C2042" s="13"/>
      <c r="D2042" s="13" t="s">
        <v>323</v>
      </c>
      <c r="E2042" s="13">
        <v>1</v>
      </c>
      <c r="F2042" s="109"/>
      <c r="G2042" s="504"/>
      <c r="H2042" s="504"/>
      <c r="I2042" s="504"/>
      <c r="J2042" s="504"/>
      <c r="K2042" s="504"/>
      <c r="L2042" s="504"/>
      <c r="M2042" s="504"/>
      <c r="N2042" s="504"/>
      <c r="O2042" s="110"/>
      <c r="P2042" s="109"/>
      <c r="Q2042" s="504"/>
      <c r="R2042" s="107"/>
      <c r="S2042" s="503"/>
    </row>
    <row r="2043" spans="1:19" ht="9.75" customHeight="1">
      <c r="A2043" s="503"/>
      <c r="B2043" s="503" t="s">
        <v>127</v>
      </c>
      <c r="C2043" s="2"/>
      <c r="D2043" s="3" t="s">
        <v>38</v>
      </c>
      <c r="E2043" s="3">
        <f>SUBTOTAL(9,E2041:E2042)</f>
        <v>2</v>
      </c>
      <c r="F2043" s="21"/>
      <c r="G2043" s="71"/>
      <c r="H2043" s="71"/>
      <c r="I2043" s="71"/>
      <c r="J2043" s="71"/>
      <c r="K2043" s="71"/>
      <c r="L2043" s="71"/>
      <c r="M2043" s="71"/>
      <c r="N2043" s="71"/>
      <c r="O2043" s="26"/>
      <c r="P2043" s="21"/>
      <c r="Q2043" s="71"/>
      <c r="R2043" s="7"/>
      <c r="S2043" s="503"/>
    </row>
    <row r="2044" spans="1:19" ht="9.75" customHeight="1">
      <c r="A2044" s="503"/>
      <c r="B2044" s="503"/>
      <c r="C2044" s="43" t="s">
        <v>337</v>
      </c>
      <c r="D2044" s="43" t="s">
        <v>23</v>
      </c>
      <c r="E2044" s="43"/>
      <c r="F2044" s="116"/>
      <c r="G2044" s="128"/>
      <c r="H2044" s="128"/>
      <c r="I2044" s="128"/>
      <c r="J2044" s="128"/>
      <c r="K2044" s="128"/>
      <c r="L2044" s="128"/>
      <c r="M2044" s="128"/>
      <c r="N2044" s="128"/>
      <c r="O2044" s="129"/>
      <c r="P2044" s="116"/>
      <c r="Q2044" s="128"/>
      <c r="R2044" s="141"/>
      <c r="S2044" s="503"/>
    </row>
    <row r="2045" spans="1:19" ht="9.75" customHeight="1">
      <c r="A2045" s="503"/>
      <c r="B2045" s="503"/>
      <c r="C2045" s="13"/>
      <c r="D2045" s="13" t="s">
        <v>25</v>
      </c>
      <c r="E2045" s="13"/>
      <c r="F2045" s="109"/>
      <c r="G2045" s="504"/>
      <c r="H2045" s="504"/>
      <c r="I2045" s="504"/>
      <c r="J2045" s="504"/>
      <c r="K2045" s="504"/>
      <c r="L2045" s="504"/>
      <c r="M2045" s="504"/>
      <c r="N2045" s="504"/>
      <c r="O2045" s="110"/>
      <c r="P2045" s="109"/>
      <c r="Q2045" s="504"/>
      <c r="R2045" s="107"/>
      <c r="S2045" s="503"/>
    </row>
    <row r="2046" spans="1:19" ht="9.75" customHeight="1">
      <c r="A2046" s="503"/>
      <c r="B2046" s="503"/>
      <c r="C2046" s="13"/>
      <c r="D2046" s="13" t="s">
        <v>27</v>
      </c>
      <c r="E2046" s="13"/>
      <c r="F2046" s="109"/>
      <c r="G2046" s="504"/>
      <c r="H2046" s="504"/>
      <c r="I2046" s="504"/>
      <c r="J2046" s="504"/>
      <c r="K2046" s="504"/>
      <c r="L2046" s="504"/>
      <c r="M2046" s="504"/>
      <c r="N2046" s="504"/>
      <c r="O2046" s="110"/>
      <c r="P2046" s="109"/>
      <c r="Q2046" s="504"/>
      <c r="R2046" s="107"/>
      <c r="S2046" s="503"/>
    </row>
    <row r="2047" spans="1:19" ht="9.75" customHeight="1">
      <c r="A2047" s="503"/>
      <c r="B2047" s="503"/>
      <c r="C2047" s="13"/>
      <c r="D2047" s="13" t="s">
        <v>115</v>
      </c>
      <c r="E2047" s="13"/>
      <c r="F2047" s="109"/>
      <c r="G2047" s="504"/>
      <c r="H2047" s="504"/>
      <c r="I2047" s="504"/>
      <c r="J2047" s="504"/>
      <c r="K2047" s="504"/>
      <c r="L2047" s="504"/>
      <c r="M2047" s="504"/>
      <c r="N2047" s="504"/>
      <c r="O2047" s="110"/>
      <c r="P2047" s="109"/>
      <c r="Q2047" s="504"/>
      <c r="R2047" s="107"/>
      <c r="S2047" s="503"/>
    </row>
    <row r="2048" spans="1:19" ht="9.75" customHeight="1">
      <c r="A2048" s="503"/>
      <c r="B2048" s="503"/>
      <c r="C2048" s="13"/>
      <c r="D2048" s="13" t="s">
        <v>115</v>
      </c>
      <c r="E2048" s="13"/>
      <c r="F2048" s="109"/>
      <c r="G2048" s="504"/>
      <c r="H2048" s="504"/>
      <c r="I2048" s="504"/>
      <c r="J2048" s="504"/>
      <c r="K2048" s="504"/>
      <c r="L2048" s="504"/>
      <c r="M2048" s="504"/>
      <c r="N2048" s="504"/>
      <c r="O2048" s="110"/>
      <c r="P2048" s="109"/>
      <c r="Q2048" s="504"/>
      <c r="R2048" s="107"/>
      <c r="S2048" s="503"/>
    </row>
    <row r="2049" spans="1:19" ht="9.75" customHeight="1">
      <c r="A2049" s="503"/>
      <c r="B2049" s="503"/>
      <c r="C2049" s="13"/>
      <c r="D2049" s="13" t="s">
        <v>32</v>
      </c>
      <c r="E2049" s="13">
        <v>3</v>
      </c>
      <c r="F2049" s="109">
        <v>0</v>
      </c>
      <c r="G2049" s="504">
        <v>1</v>
      </c>
      <c r="H2049" s="504">
        <v>1</v>
      </c>
      <c r="I2049" s="504">
        <v>1</v>
      </c>
      <c r="J2049" s="504">
        <v>1</v>
      </c>
      <c r="K2049" s="504">
        <v>2</v>
      </c>
      <c r="L2049" s="504">
        <v>0</v>
      </c>
      <c r="M2049" s="504">
        <v>0</v>
      </c>
      <c r="N2049" s="504">
        <v>0</v>
      </c>
      <c r="O2049" s="110">
        <v>0</v>
      </c>
      <c r="P2049" s="109">
        <f>MIN(F2049:O2049)</f>
        <v>0</v>
      </c>
      <c r="Q2049" s="504">
        <f>E2049-P2049</f>
        <v>3</v>
      </c>
      <c r="R2049" s="107">
        <f>Q2049/E2049</f>
        <v>1</v>
      </c>
      <c r="S2049" s="503"/>
    </row>
    <row r="2050" spans="1:19" ht="9.75" customHeight="1">
      <c r="A2050" s="503"/>
      <c r="B2050" s="503"/>
      <c r="C2050" s="13"/>
      <c r="D2050" s="13" t="s">
        <v>120</v>
      </c>
      <c r="E2050" s="13"/>
      <c r="F2050" s="109"/>
      <c r="G2050" s="504"/>
      <c r="H2050" s="504"/>
      <c r="I2050" s="504"/>
      <c r="J2050" s="504"/>
      <c r="K2050" s="504"/>
      <c r="L2050" s="504"/>
      <c r="M2050" s="504"/>
      <c r="N2050" s="504"/>
      <c r="O2050" s="110"/>
      <c r="P2050" s="109"/>
      <c r="Q2050" s="504"/>
      <c r="R2050" s="107"/>
      <c r="S2050" s="503"/>
    </row>
    <row r="2051" spans="1:19" ht="9.75" customHeight="1">
      <c r="A2051" s="503"/>
      <c r="B2051" s="503"/>
      <c r="C2051" s="13"/>
      <c r="D2051" s="13" t="s">
        <v>120</v>
      </c>
      <c r="E2051" s="13"/>
      <c r="F2051" s="109"/>
      <c r="G2051" s="504"/>
      <c r="H2051" s="504"/>
      <c r="I2051" s="504"/>
      <c r="J2051" s="504"/>
      <c r="K2051" s="504"/>
      <c r="L2051" s="504"/>
      <c r="M2051" s="504"/>
      <c r="N2051" s="504"/>
      <c r="O2051" s="110"/>
      <c r="P2051" s="109"/>
      <c r="Q2051" s="504"/>
      <c r="R2051" s="107"/>
      <c r="S2051" s="503"/>
    </row>
    <row r="2052" spans="1:19" ht="9.75" customHeight="1">
      <c r="A2052" s="503"/>
      <c r="B2052" s="503"/>
      <c r="C2052" s="13"/>
      <c r="D2052" s="13" t="s">
        <v>120</v>
      </c>
      <c r="E2052" s="13"/>
      <c r="F2052" s="109"/>
      <c r="G2052" s="504"/>
      <c r="H2052" s="504"/>
      <c r="I2052" s="504"/>
      <c r="J2052" s="504"/>
      <c r="K2052" s="504"/>
      <c r="L2052" s="504"/>
      <c r="M2052" s="504"/>
      <c r="N2052" s="504"/>
      <c r="O2052" s="110"/>
      <c r="P2052" s="109"/>
      <c r="Q2052" s="504"/>
      <c r="R2052" s="107"/>
      <c r="S2052" s="503"/>
    </row>
    <row r="2053" spans="1:19" ht="9.75" customHeight="1">
      <c r="A2053" s="503"/>
      <c r="B2053" s="503"/>
      <c r="C2053" s="13"/>
      <c r="D2053" s="13" t="s">
        <v>120</v>
      </c>
      <c r="E2053" s="13"/>
      <c r="F2053" s="109"/>
      <c r="G2053" s="504"/>
      <c r="H2053" s="504"/>
      <c r="I2053" s="504"/>
      <c r="J2053" s="504"/>
      <c r="K2053" s="504"/>
      <c r="L2053" s="504"/>
      <c r="M2053" s="504"/>
      <c r="N2053" s="504"/>
      <c r="O2053" s="110"/>
      <c r="P2053" s="109"/>
      <c r="Q2053" s="504"/>
      <c r="R2053" s="107"/>
      <c r="S2053" s="503"/>
    </row>
    <row r="2054" spans="1:19" ht="9.75" customHeight="1">
      <c r="A2054" s="503"/>
      <c r="B2054" s="503"/>
      <c r="C2054" s="13"/>
      <c r="D2054" s="13" t="s">
        <v>120</v>
      </c>
      <c r="E2054" s="13"/>
      <c r="F2054" s="109"/>
      <c r="G2054" s="504"/>
      <c r="H2054" s="504"/>
      <c r="I2054" s="504"/>
      <c r="J2054" s="504"/>
      <c r="K2054" s="504"/>
      <c r="L2054" s="504"/>
      <c r="M2054" s="504"/>
      <c r="N2054" s="504"/>
      <c r="O2054" s="110"/>
      <c r="P2054" s="109"/>
      <c r="Q2054" s="504"/>
      <c r="R2054" s="107"/>
      <c r="S2054" s="503"/>
    </row>
    <row r="2055" spans="1:19" ht="9.75" customHeight="1">
      <c r="A2055" s="503"/>
      <c r="B2055" s="503"/>
      <c r="C2055" s="13"/>
      <c r="D2055" s="13" t="s">
        <v>120</v>
      </c>
      <c r="E2055" s="13"/>
      <c r="F2055" s="109"/>
      <c r="G2055" s="504"/>
      <c r="H2055" s="504"/>
      <c r="I2055" s="504"/>
      <c r="J2055" s="504"/>
      <c r="K2055" s="504"/>
      <c r="L2055" s="504"/>
      <c r="M2055" s="504"/>
      <c r="N2055" s="504"/>
      <c r="O2055" s="110"/>
      <c r="P2055" s="109"/>
      <c r="Q2055" s="504"/>
      <c r="R2055" s="107"/>
      <c r="S2055" s="503"/>
    </row>
    <row r="2056" spans="1:19" ht="9.75" customHeight="1">
      <c r="A2056" s="503"/>
      <c r="B2056" s="503"/>
      <c r="C2056" s="13"/>
      <c r="D2056" s="13" t="s">
        <v>34</v>
      </c>
      <c r="E2056" s="13">
        <v>2</v>
      </c>
      <c r="F2056" s="109">
        <v>0</v>
      </c>
      <c r="G2056" s="504">
        <v>0</v>
      </c>
      <c r="H2056" s="504">
        <v>0</v>
      </c>
      <c r="I2056" s="504">
        <v>0</v>
      </c>
      <c r="J2056" s="504">
        <v>0</v>
      </c>
      <c r="K2056" s="504">
        <v>0</v>
      </c>
      <c r="L2056" s="504">
        <v>0</v>
      </c>
      <c r="M2056" s="504">
        <v>0</v>
      </c>
      <c r="N2056" s="504">
        <v>0</v>
      </c>
      <c r="O2056" s="110">
        <v>0</v>
      </c>
      <c r="P2056" s="109">
        <f>MIN(F2056:O2056)</f>
        <v>0</v>
      </c>
      <c r="Q2056" s="504">
        <f>E2056-P2056</f>
        <v>2</v>
      </c>
      <c r="R2056" s="107">
        <f>Q2056/E2056</f>
        <v>1</v>
      </c>
      <c r="S2056" s="503"/>
    </row>
    <row r="2057" spans="1:19" ht="9.75" customHeight="1">
      <c r="A2057" s="503"/>
      <c r="B2057" s="503"/>
      <c r="C2057" s="13"/>
      <c r="D2057" s="13" t="s">
        <v>35</v>
      </c>
      <c r="E2057" s="13"/>
      <c r="F2057" s="109"/>
      <c r="G2057" s="504"/>
      <c r="H2057" s="504"/>
      <c r="I2057" s="504"/>
      <c r="J2057" s="504"/>
      <c r="K2057" s="504"/>
      <c r="L2057" s="504"/>
      <c r="M2057" s="504"/>
      <c r="N2057" s="504"/>
      <c r="O2057" s="110"/>
      <c r="P2057" s="109"/>
      <c r="Q2057" s="504"/>
      <c r="R2057" s="107"/>
      <c r="S2057" s="503"/>
    </row>
    <row r="2058" spans="1:19" ht="9.75" customHeight="1">
      <c r="A2058" s="503"/>
      <c r="B2058" s="503"/>
      <c r="C2058" s="13"/>
      <c r="D2058" s="13" t="s">
        <v>36</v>
      </c>
      <c r="E2058" s="13"/>
      <c r="F2058" s="109"/>
      <c r="G2058" s="504"/>
      <c r="H2058" s="504"/>
      <c r="I2058" s="504"/>
      <c r="J2058" s="504"/>
      <c r="K2058" s="504"/>
      <c r="L2058" s="504"/>
      <c r="M2058" s="504"/>
      <c r="N2058" s="504"/>
      <c r="O2058" s="110"/>
      <c r="P2058" s="109"/>
      <c r="Q2058" s="504"/>
      <c r="R2058" s="107"/>
      <c r="S2058" s="503"/>
    </row>
    <row r="2059" spans="1:19" ht="9.75" customHeight="1">
      <c r="A2059" s="503"/>
      <c r="B2059" s="503"/>
      <c r="C2059" s="13"/>
      <c r="D2059" s="13" t="s">
        <v>37</v>
      </c>
      <c r="E2059" s="13">
        <v>5</v>
      </c>
      <c r="F2059" s="109">
        <v>3</v>
      </c>
      <c r="G2059" s="504">
        <v>2</v>
      </c>
      <c r="H2059" s="504">
        <v>2</v>
      </c>
      <c r="I2059" s="504">
        <v>3</v>
      </c>
      <c r="J2059" s="504">
        <v>2</v>
      </c>
      <c r="K2059" s="504">
        <v>2</v>
      </c>
      <c r="L2059" s="504">
        <v>0</v>
      </c>
      <c r="M2059" s="504">
        <v>1</v>
      </c>
      <c r="N2059" s="504">
        <v>1</v>
      </c>
      <c r="O2059" s="110">
        <v>2</v>
      </c>
      <c r="P2059" s="109">
        <f t="shared" ref="P2059:P2061" si="386">MIN(F2059:O2059)</f>
        <v>0</v>
      </c>
      <c r="Q2059" s="504">
        <f t="shared" ref="Q2059:Q2061" si="387">E2059-P2059</f>
        <v>5</v>
      </c>
      <c r="R2059" s="107">
        <f t="shared" ref="R2059:R2061" si="388">Q2059/E2059</f>
        <v>1</v>
      </c>
      <c r="S2059" s="503"/>
    </row>
    <row r="2060" spans="1:19" ht="9.75" customHeight="1">
      <c r="A2060" s="503"/>
      <c r="B2060" s="503" t="s">
        <v>127</v>
      </c>
      <c r="C2060" s="2"/>
      <c r="D2060" s="3" t="s">
        <v>38</v>
      </c>
      <c r="E2060" s="3">
        <f t="shared" ref="E2060:O2060" si="389">SUM(E2044:E2059)</f>
        <v>10</v>
      </c>
      <c r="F2060" s="21">
        <f t="shared" si="389"/>
        <v>3</v>
      </c>
      <c r="G2060" s="71">
        <f t="shared" si="389"/>
        <v>3</v>
      </c>
      <c r="H2060" s="71">
        <f t="shared" si="389"/>
        <v>3</v>
      </c>
      <c r="I2060" s="71">
        <f t="shared" si="389"/>
        <v>4</v>
      </c>
      <c r="J2060" s="71">
        <f t="shared" si="389"/>
        <v>3</v>
      </c>
      <c r="K2060" s="71">
        <f t="shared" si="389"/>
        <v>4</v>
      </c>
      <c r="L2060" s="71">
        <f t="shared" si="389"/>
        <v>0</v>
      </c>
      <c r="M2060" s="71">
        <f t="shared" si="389"/>
        <v>1</v>
      </c>
      <c r="N2060" s="71">
        <f t="shared" si="389"/>
        <v>1</v>
      </c>
      <c r="O2060" s="26">
        <f t="shared" si="389"/>
        <v>2</v>
      </c>
      <c r="P2060" s="21">
        <f t="shared" si="386"/>
        <v>0</v>
      </c>
      <c r="Q2060" s="71">
        <f t="shared" si="387"/>
        <v>10</v>
      </c>
      <c r="R2060" s="7">
        <f t="shared" si="388"/>
        <v>1</v>
      </c>
      <c r="S2060" s="503"/>
    </row>
    <row r="2061" spans="1:19" ht="9.75" customHeight="1">
      <c r="A2061" s="503"/>
      <c r="B2061" s="503"/>
      <c r="C2061" s="13" t="s">
        <v>338</v>
      </c>
      <c r="D2061" s="43" t="s">
        <v>23</v>
      </c>
      <c r="E2061" s="43">
        <v>116</v>
      </c>
      <c r="F2061" s="116">
        <f>E2061-25</f>
        <v>91</v>
      </c>
      <c r="G2061" s="128">
        <f>E2061-67</f>
        <v>49</v>
      </c>
      <c r="H2061" s="128">
        <v>0</v>
      </c>
      <c r="I2061" s="128">
        <v>0</v>
      </c>
      <c r="J2061" s="128">
        <v>2</v>
      </c>
      <c r="K2061" s="128">
        <v>4</v>
      </c>
      <c r="L2061" s="128">
        <v>4</v>
      </c>
      <c r="M2061" s="128">
        <v>16</v>
      </c>
      <c r="N2061" s="128">
        <v>18</v>
      </c>
      <c r="O2061" s="129">
        <v>42</v>
      </c>
      <c r="P2061" s="116">
        <f t="shared" si="386"/>
        <v>0</v>
      </c>
      <c r="Q2061" s="128">
        <f t="shared" si="387"/>
        <v>116</v>
      </c>
      <c r="R2061" s="141">
        <f t="shared" si="388"/>
        <v>1</v>
      </c>
      <c r="S2061" s="503"/>
    </row>
    <row r="2062" spans="1:19" ht="9.75" customHeight="1">
      <c r="A2062" s="503"/>
      <c r="B2062" s="503"/>
      <c r="C2062" s="13"/>
      <c r="D2062" s="13" t="s">
        <v>25</v>
      </c>
      <c r="E2062" s="13"/>
      <c r="F2062" s="109"/>
      <c r="G2062" s="504"/>
      <c r="H2062" s="504"/>
      <c r="I2062" s="504"/>
      <c r="J2062" s="504"/>
      <c r="K2062" s="504"/>
      <c r="L2062" s="504"/>
      <c r="M2062" s="504"/>
      <c r="N2062" s="504"/>
      <c r="O2062" s="110"/>
      <c r="P2062" s="109"/>
      <c r="Q2062" s="504"/>
      <c r="R2062" s="107"/>
      <c r="S2062" s="503"/>
    </row>
    <row r="2063" spans="1:19" ht="9.75" customHeight="1">
      <c r="A2063" s="503"/>
      <c r="B2063" s="503"/>
      <c r="C2063" s="13"/>
      <c r="D2063" s="13" t="s">
        <v>27</v>
      </c>
      <c r="E2063" s="13"/>
      <c r="F2063" s="109"/>
      <c r="G2063" s="504"/>
      <c r="H2063" s="504"/>
      <c r="I2063" s="504"/>
      <c r="J2063" s="504"/>
      <c r="K2063" s="504"/>
      <c r="L2063" s="504"/>
      <c r="M2063" s="504"/>
      <c r="N2063" s="504"/>
      <c r="O2063" s="110"/>
      <c r="P2063" s="109"/>
      <c r="Q2063" s="504"/>
      <c r="R2063" s="107"/>
      <c r="S2063" s="503"/>
    </row>
    <row r="2064" spans="1:19" ht="9.75" customHeight="1">
      <c r="A2064" s="503"/>
      <c r="B2064" s="503"/>
      <c r="C2064" s="13"/>
      <c r="D2064" s="13" t="s">
        <v>115</v>
      </c>
      <c r="E2064" s="13"/>
      <c r="F2064" s="109"/>
      <c r="G2064" s="504"/>
      <c r="H2064" s="504"/>
      <c r="I2064" s="504"/>
      <c r="J2064" s="504"/>
      <c r="K2064" s="504"/>
      <c r="L2064" s="504"/>
      <c r="M2064" s="504"/>
      <c r="N2064" s="504"/>
      <c r="O2064" s="110"/>
      <c r="P2064" s="109"/>
      <c r="Q2064" s="504"/>
      <c r="R2064" s="107"/>
      <c r="S2064" s="503"/>
    </row>
    <row r="2065" spans="1:19" ht="9.75" customHeight="1">
      <c r="A2065" s="503"/>
      <c r="B2065" s="503"/>
      <c r="C2065" s="13"/>
      <c r="D2065" s="13" t="s">
        <v>115</v>
      </c>
      <c r="E2065" s="13"/>
      <c r="F2065" s="109"/>
      <c r="G2065" s="504"/>
      <c r="H2065" s="504"/>
      <c r="I2065" s="504"/>
      <c r="J2065" s="504"/>
      <c r="K2065" s="504"/>
      <c r="L2065" s="504"/>
      <c r="M2065" s="504"/>
      <c r="N2065" s="504"/>
      <c r="O2065" s="110"/>
      <c r="P2065" s="109"/>
      <c r="Q2065" s="504"/>
      <c r="R2065" s="107"/>
      <c r="S2065" s="503"/>
    </row>
    <row r="2066" spans="1:19" ht="9.75" customHeight="1">
      <c r="A2066" s="503"/>
      <c r="B2066" s="503"/>
      <c r="C2066" s="13"/>
      <c r="D2066" s="13" t="s">
        <v>32</v>
      </c>
      <c r="E2066" s="13"/>
      <c r="F2066" s="109"/>
      <c r="G2066" s="504"/>
      <c r="H2066" s="504"/>
      <c r="I2066" s="504"/>
      <c r="J2066" s="504"/>
      <c r="K2066" s="504"/>
      <c r="L2066" s="504"/>
      <c r="M2066" s="504"/>
      <c r="N2066" s="504"/>
      <c r="O2066" s="110"/>
      <c r="P2066" s="109"/>
      <c r="Q2066" s="504"/>
      <c r="R2066" s="107"/>
      <c r="S2066" s="503"/>
    </row>
    <row r="2067" spans="1:19" ht="9.75" customHeight="1">
      <c r="A2067" s="503"/>
      <c r="B2067" s="503"/>
      <c r="C2067" s="13"/>
      <c r="D2067" s="13" t="s">
        <v>260</v>
      </c>
      <c r="E2067" s="13">
        <v>2</v>
      </c>
      <c r="F2067" s="109">
        <v>2</v>
      </c>
      <c r="G2067" s="504">
        <v>2</v>
      </c>
      <c r="H2067" s="504">
        <v>2</v>
      </c>
      <c r="I2067" s="504">
        <v>2</v>
      </c>
      <c r="J2067" s="504">
        <v>2</v>
      </c>
      <c r="K2067" s="504">
        <v>2</v>
      </c>
      <c r="L2067" s="504">
        <v>2</v>
      </c>
      <c r="M2067" s="504">
        <v>2</v>
      </c>
      <c r="N2067" s="504">
        <v>2</v>
      </c>
      <c r="O2067" s="110">
        <v>2</v>
      </c>
      <c r="P2067" s="109">
        <f t="shared" ref="P2067:P2068" si="390">MIN(F2067:O2067)</f>
        <v>2</v>
      </c>
      <c r="Q2067" s="504">
        <f t="shared" ref="Q2067:Q2068" si="391">E2067-P2067</f>
        <v>0</v>
      </c>
      <c r="R2067" s="107">
        <f t="shared" ref="R2067:R2068" si="392">Q2067/E2067</f>
        <v>0</v>
      </c>
      <c r="S2067" s="503"/>
    </row>
    <row r="2068" spans="1:19" ht="9.75" customHeight="1">
      <c r="A2068" s="503"/>
      <c r="B2068" s="503"/>
      <c r="C2068" s="13"/>
      <c r="D2068" s="13" t="s">
        <v>118</v>
      </c>
      <c r="E2068" s="13">
        <v>6</v>
      </c>
      <c r="F2068" s="109">
        <v>5</v>
      </c>
      <c r="G2068" s="504">
        <v>5</v>
      </c>
      <c r="H2068" s="504">
        <v>3</v>
      </c>
      <c r="I2068" s="504">
        <v>1</v>
      </c>
      <c r="J2068" s="504">
        <v>1</v>
      </c>
      <c r="K2068" s="504">
        <v>2</v>
      </c>
      <c r="L2068" s="504">
        <v>3</v>
      </c>
      <c r="M2068" s="504">
        <v>2</v>
      </c>
      <c r="N2068" s="504">
        <v>4</v>
      </c>
      <c r="O2068" s="110">
        <v>4</v>
      </c>
      <c r="P2068" s="109">
        <f t="shared" si="390"/>
        <v>1</v>
      </c>
      <c r="Q2068" s="504">
        <f t="shared" si="391"/>
        <v>5</v>
      </c>
      <c r="R2068" s="107">
        <f t="shared" si="392"/>
        <v>0.83333333333333337</v>
      </c>
      <c r="S2068" s="503"/>
    </row>
    <row r="2069" spans="1:19" ht="9.75" customHeight="1">
      <c r="A2069" s="503"/>
      <c r="B2069" s="503"/>
      <c r="C2069" s="13"/>
      <c r="D2069" s="13" t="s">
        <v>120</v>
      </c>
      <c r="E2069" s="13"/>
      <c r="F2069" s="109"/>
      <c r="G2069" s="504"/>
      <c r="H2069" s="504"/>
      <c r="I2069" s="504"/>
      <c r="J2069" s="504"/>
      <c r="K2069" s="504"/>
      <c r="L2069" s="504"/>
      <c r="M2069" s="504"/>
      <c r="N2069" s="504"/>
      <c r="O2069" s="110"/>
      <c r="P2069" s="109"/>
      <c r="Q2069" s="504"/>
      <c r="R2069" s="107"/>
      <c r="S2069" s="503"/>
    </row>
    <row r="2070" spans="1:19" ht="9.75" customHeight="1">
      <c r="A2070" s="503"/>
      <c r="B2070" s="503"/>
      <c r="C2070" s="13"/>
      <c r="D2070" s="13" t="s">
        <v>120</v>
      </c>
      <c r="E2070" s="13"/>
      <c r="F2070" s="109"/>
      <c r="G2070" s="504"/>
      <c r="H2070" s="504"/>
      <c r="I2070" s="504"/>
      <c r="J2070" s="504"/>
      <c r="K2070" s="504"/>
      <c r="L2070" s="504"/>
      <c r="M2070" s="504"/>
      <c r="N2070" s="504"/>
      <c r="O2070" s="110"/>
      <c r="P2070" s="109"/>
      <c r="Q2070" s="504"/>
      <c r="R2070" s="107"/>
      <c r="S2070" s="503"/>
    </row>
    <row r="2071" spans="1:19" ht="9.75" customHeight="1">
      <c r="A2071" s="503"/>
      <c r="B2071" s="503"/>
      <c r="C2071" s="13"/>
      <c r="D2071" s="13" t="s">
        <v>120</v>
      </c>
      <c r="E2071" s="13"/>
      <c r="F2071" s="109"/>
      <c r="G2071" s="504"/>
      <c r="H2071" s="504"/>
      <c r="I2071" s="504"/>
      <c r="J2071" s="504"/>
      <c r="K2071" s="504"/>
      <c r="L2071" s="504"/>
      <c r="M2071" s="504"/>
      <c r="N2071" s="504"/>
      <c r="O2071" s="110"/>
      <c r="P2071" s="109"/>
      <c r="Q2071" s="504"/>
      <c r="R2071" s="107"/>
      <c r="S2071" s="503"/>
    </row>
    <row r="2072" spans="1:19" ht="9.75" customHeight="1">
      <c r="A2072" s="503"/>
      <c r="B2072" s="503"/>
      <c r="C2072" s="13"/>
      <c r="D2072" s="13" t="s">
        <v>120</v>
      </c>
      <c r="E2072" s="13"/>
      <c r="F2072" s="109"/>
      <c r="G2072" s="504"/>
      <c r="H2072" s="504"/>
      <c r="I2072" s="504"/>
      <c r="J2072" s="504"/>
      <c r="K2072" s="504"/>
      <c r="L2072" s="504"/>
      <c r="M2072" s="504"/>
      <c r="N2072" s="504"/>
      <c r="O2072" s="110"/>
      <c r="P2072" s="109"/>
      <c r="Q2072" s="504"/>
      <c r="R2072" s="107"/>
      <c r="S2072" s="503"/>
    </row>
    <row r="2073" spans="1:19" ht="9.75" customHeight="1">
      <c r="A2073" s="503"/>
      <c r="B2073" s="503"/>
      <c r="C2073" s="13"/>
      <c r="D2073" s="13" t="s">
        <v>34</v>
      </c>
      <c r="E2073" s="13">
        <v>5</v>
      </c>
      <c r="F2073" s="109">
        <v>3</v>
      </c>
      <c r="G2073" s="504">
        <v>2</v>
      </c>
      <c r="H2073" s="504">
        <v>2</v>
      </c>
      <c r="I2073" s="504">
        <v>2</v>
      </c>
      <c r="J2073" s="504">
        <v>1</v>
      </c>
      <c r="K2073" s="504">
        <v>2</v>
      </c>
      <c r="L2073" s="504">
        <v>2</v>
      </c>
      <c r="M2073" s="504">
        <v>3</v>
      </c>
      <c r="N2073" s="504">
        <v>2</v>
      </c>
      <c r="O2073" s="110">
        <v>3</v>
      </c>
      <c r="P2073" s="109">
        <f>MIN(F2073:O2073)</f>
        <v>1</v>
      </c>
      <c r="Q2073" s="504">
        <f>E2073-P2073</f>
        <v>4</v>
      </c>
      <c r="R2073" s="107">
        <f>Q2073/E2073</f>
        <v>0.8</v>
      </c>
      <c r="S2073" s="503"/>
    </row>
    <row r="2074" spans="1:19" ht="9.75" customHeight="1">
      <c r="A2074" s="503"/>
      <c r="B2074" s="503"/>
      <c r="C2074" s="13"/>
      <c r="D2074" s="13" t="s">
        <v>35</v>
      </c>
      <c r="E2074" s="13"/>
      <c r="F2074" s="109"/>
      <c r="G2074" s="504"/>
      <c r="H2074" s="504"/>
      <c r="I2074" s="504"/>
      <c r="J2074" s="504"/>
      <c r="K2074" s="504"/>
      <c r="L2074" s="504"/>
      <c r="M2074" s="504"/>
      <c r="N2074" s="504"/>
      <c r="O2074" s="110"/>
      <c r="P2074" s="109"/>
      <c r="Q2074" s="504"/>
      <c r="R2074" s="107"/>
      <c r="S2074" s="503"/>
    </row>
    <row r="2075" spans="1:19" ht="9.75" customHeight="1">
      <c r="A2075" s="503"/>
      <c r="B2075" s="503"/>
      <c r="C2075" s="13"/>
      <c r="D2075" s="13" t="s">
        <v>36</v>
      </c>
      <c r="E2075" s="13"/>
      <c r="F2075" s="109"/>
      <c r="G2075" s="504"/>
      <c r="H2075" s="504"/>
      <c r="I2075" s="504"/>
      <c r="J2075" s="504"/>
      <c r="K2075" s="504"/>
      <c r="L2075" s="504"/>
      <c r="M2075" s="504"/>
      <c r="N2075" s="504"/>
      <c r="O2075" s="110"/>
      <c r="P2075" s="109"/>
      <c r="Q2075" s="504"/>
      <c r="R2075" s="107"/>
      <c r="S2075" s="503"/>
    </row>
    <row r="2076" spans="1:19" ht="9.75" customHeight="1">
      <c r="A2076" s="503"/>
      <c r="B2076" s="503"/>
      <c r="C2076" s="13"/>
      <c r="D2076" s="13" t="s">
        <v>37</v>
      </c>
      <c r="E2076" s="13"/>
      <c r="F2076" s="109"/>
      <c r="G2076" s="504"/>
      <c r="H2076" s="504"/>
      <c r="I2076" s="504"/>
      <c r="J2076" s="504"/>
      <c r="K2076" s="504"/>
      <c r="L2076" s="504"/>
      <c r="M2076" s="504"/>
      <c r="N2076" s="504"/>
      <c r="O2076" s="110"/>
      <c r="P2076" s="109"/>
      <c r="Q2076" s="504"/>
      <c r="R2076" s="107"/>
      <c r="S2076" s="503"/>
    </row>
    <row r="2077" spans="1:19" ht="9.75" customHeight="1">
      <c r="A2077" s="503"/>
      <c r="B2077" s="503" t="s">
        <v>127</v>
      </c>
      <c r="C2077" s="13"/>
      <c r="D2077" s="3" t="s">
        <v>38</v>
      </c>
      <c r="E2077" s="8">
        <f t="shared" ref="E2077:O2077" si="393">SUM(E2061:E2076)</f>
        <v>129</v>
      </c>
      <c r="F2077" s="18">
        <f>SUM(F2061:F2076)</f>
        <v>101</v>
      </c>
      <c r="G2077" s="19">
        <f>SUM(G2061:G2076)</f>
        <v>58</v>
      </c>
      <c r="H2077" s="19">
        <f>SUM(H2061:H2076)</f>
        <v>7</v>
      </c>
      <c r="I2077" s="19">
        <f>SUM(I2061:I2076)</f>
        <v>5</v>
      </c>
      <c r="J2077" s="19">
        <f>SUM(J2061:J2076)</f>
        <v>6</v>
      </c>
      <c r="K2077" s="19">
        <f t="shared" si="393"/>
        <v>10</v>
      </c>
      <c r="L2077" s="19">
        <f t="shared" si="393"/>
        <v>11</v>
      </c>
      <c r="M2077" s="19">
        <f t="shared" si="393"/>
        <v>23</v>
      </c>
      <c r="N2077" s="19">
        <f t="shared" si="393"/>
        <v>26</v>
      </c>
      <c r="O2077" s="20">
        <f t="shared" si="393"/>
        <v>51</v>
      </c>
      <c r="P2077" s="18">
        <f>MIN(F2077:O2077)</f>
        <v>5</v>
      </c>
      <c r="Q2077" s="19">
        <f>E2077-P2077</f>
        <v>124</v>
      </c>
      <c r="R2077" s="44">
        <f>Q2077/E2077</f>
        <v>0.96124031007751942</v>
      </c>
      <c r="S2077" s="503"/>
    </row>
    <row r="2078" spans="1:19" ht="9.75" customHeight="1">
      <c r="A2078" s="503"/>
      <c r="B2078" s="503"/>
      <c r="C2078" s="43" t="s">
        <v>339</v>
      </c>
      <c r="D2078" s="43" t="s">
        <v>23</v>
      </c>
      <c r="E2078" s="43"/>
      <c r="F2078" s="116"/>
      <c r="G2078" s="128"/>
      <c r="H2078" s="128"/>
      <c r="I2078" s="128"/>
      <c r="J2078" s="128"/>
      <c r="K2078" s="128"/>
      <c r="L2078" s="128"/>
      <c r="M2078" s="128"/>
      <c r="N2078" s="128"/>
      <c r="O2078" s="129"/>
      <c r="P2078" s="116"/>
      <c r="Q2078" s="128"/>
      <c r="R2078" s="141"/>
      <c r="S2078" s="503"/>
    </row>
    <row r="2079" spans="1:19" ht="9.75" customHeight="1">
      <c r="A2079" s="503"/>
      <c r="B2079" s="503"/>
      <c r="C2079" s="13"/>
      <c r="D2079" s="13" t="s">
        <v>25</v>
      </c>
      <c r="E2079" s="13"/>
      <c r="F2079" s="109"/>
      <c r="G2079" s="504"/>
      <c r="H2079" s="504"/>
      <c r="I2079" s="504"/>
      <c r="J2079" s="504"/>
      <c r="K2079" s="504"/>
      <c r="L2079" s="504"/>
      <c r="M2079" s="504"/>
      <c r="N2079" s="504"/>
      <c r="O2079" s="110"/>
      <c r="P2079" s="109"/>
      <c r="Q2079" s="504"/>
      <c r="R2079" s="107"/>
      <c r="S2079" s="503"/>
    </row>
    <row r="2080" spans="1:19" ht="9.75" customHeight="1">
      <c r="A2080" s="503"/>
      <c r="B2080" s="503"/>
      <c r="C2080" s="13"/>
      <c r="D2080" s="13" t="s">
        <v>27</v>
      </c>
      <c r="E2080" s="13">
        <v>250</v>
      </c>
      <c r="F2080" s="109">
        <f>190-14+18</f>
        <v>194</v>
      </c>
      <c r="G2080" s="504">
        <f>190-15+19</f>
        <v>194</v>
      </c>
      <c r="H2080" s="504">
        <f>190-16+11</f>
        <v>185</v>
      </c>
      <c r="I2080" s="504">
        <f>190-17+8</f>
        <v>181</v>
      </c>
      <c r="J2080" s="504">
        <f>190-15+11</f>
        <v>186</v>
      </c>
      <c r="K2080" s="504">
        <f>190-16+17</f>
        <v>191</v>
      </c>
      <c r="L2080" s="504">
        <f>190-15+17</f>
        <v>192</v>
      </c>
      <c r="M2080" s="504">
        <f>190-14+22</f>
        <v>198</v>
      </c>
      <c r="N2080" s="504">
        <f>190-13+29</f>
        <v>206</v>
      </c>
      <c r="O2080" s="110">
        <f>190-12+27</f>
        <v>205</v>
      </c>
      <c r="P2080" s="109">
        <f>MIN(F2080:O2080)</f>
        <v>181</v>
      </c>
      <c r="Q2080" s="504">
        <f>E2080-P2080</f>
        <v>69</v>
      </c>
      <c r="R2080" s="107">
        <f>Q2080/E2080</f>
        <v>0.27600000000000002</v>
      </c>
      <c r="S2080" s="503"/>
    </row>
    <row r="2081" spans="1:19" ht="9.75" customHeight="1">
      <c r="A2081" s="503"/>
      <c r="B2081" s="503"/>
      <c r="C2081" s="13"/>
      <c r="D2081" s="13" t="s">
        <v>115</v>
      </c>
      <c r="E2081" s="13"/>
      <c r="F2081" s="109"/>
      <c r="G2081" s="504"/>
      <c r="H2081" s="504"/>
      <c r="I2081" s="504"/>
      <c r="J2081" s="504"/>
      <c r="K2081" s="504"/>
      <c r="L2081" s="504"/>
      <c r="M2081" s="504"/>
      <c r="N2081" s="504"/>
      <c r="O2081" s="110"/>
      <c r="P2081" s="109"/>
      <c r="Q2081" s="504"/>
      <c r="R2081" s="107"/>
      <c r="S2081" s="503"/>
    </row>
    <row r="2082" spans="1:19" ht="9.75" customHeight="1">
      <c r="A2082" s="503"/>
      <c r="B2082" s="503"/>
      <c r="C2082" s="13"/>
      <c r="D2082" s="13" t="s">
        <v>115</v>
      </c>
      <c r="E2082" s="13"/>
      <c r="F2082" s="109"/>
      <c r="G2082" s="504"/>
      <c r="H2082" s="504"/>
      <c r="I2082" s="504"/>
      <c r="J2082" s="504"/>
      <c r="K2082" s="504"/>
      <c r="L2082" s="504"/>
      <c r="M2082" s="504"/>
      <c r="N2082" s="504"/>
      <c r="O2082" s="110"/>
      <c r="P2082" s="109"/>
      <c r="Q2082" s="504"/>
      <c r="R2082" s="107"/>
      <c r="S2082" s="503"/>
    </row>
    <row r="2083" spans="1:19" ht="9.75" customHeight="1">
      <c r="A2083" s="503"/>
      <c r="B2083" s="503"/>
      <c r="C2083" s="13"/>
      <c r="D2083" s="13" t="s">
        <v>32</v>
      </c>
      <c r="E2083" s="13"/>
      <c r="F2083" s="109"/>
      <c r="G2083" s="504"/>
      <c r="H2083" s="504"/>
      <c r="I2083" s="504"/>
      <c r="J2083" s="504"/>
      <c r="K2083" s="504"/>
      <c r="L2083" s="504"/>
      <c r="M2083" s="504"/>
      <c r="N2083" s="504"/>
      <c r="O2083" s="110"/>
      <c r="P2083" s="109"/>
      <c r="Q2083" s="504"/>
      <c r="R2083" s="107"/>
      <c r="S2083" s="503"/>
    </row>
    <row r="2084" spans="1:19" ht="9.75" customHeight="1">
      <c r="A2084" s="503"/>
      <c r="B2084" s="503"/>
      <c r="C2084" s="13"/>
      <c r="D2084" s="13" t="s">
        <v>118</v>
      </c>
      <c r="E2084" s="13">
        <v>8</v>
      </c>
      <c r="F2084" s="109">
        <v>8</v>
      </c>
      <c r="G2084" s="504">
        <v>8</v>
      </c>
      <c r="H2084" s="504">
        <v>8</v>
      </c>
      <c r="I2084" s="504">
        <v>8</v>
      </c>
      <c r="J2084" s="504">
        <v>8</v>
      </c>
      <c r="K2084" s="504">
        <v>8</v>
      </c>
      <c r="L2084" s="504">
        <v>8</v>
      </c>
      <c r="M2084" s="504">
        <v>8</v>
      </c>
      <c r="N2084" s="504">
        <v>8</v>
      </c>
      <c r="O2084" s="110">
        <v>8</v>
      </c>
      <c r="P2084" s="109">
        <f>MIN(F2084:O2084)</f>
        <v>8</v>
      </c>
      <c r="Q2084" s="504">
        <f>E2084-P2084</f>
        <v>0</v>
      </c>
      <c r="R2084" s="107">
        <f>Q2084/E2084</f>
        <v>0</v>
      </c>
      <c r="S2084" s="503"/>
    </row>
    <row r="2085" spans="1:19" ht="9.75" customHeight="1">
      <c r="A2085" s="503"/>
      <c r="B2085" s="503"/>
      <c r="C2085" s="13"/>
      <c r="D2085" s="13" t="s">
        <v>120</v>
      </c>
      <c r="E2085" s="13"/>
      <c r="F2085" s="109"/>
      <c r="G2085" s="504"/>
      <c r="H2085" s="504"/>
      <c r="I2085" s="504"/>
      <c r="J2085" s="504"/>
      <c r="K2085" s="504"/>
      <c r="L2085" s="504"/>
      <c r="M2085" s="504"/>
      <c r="N2085" s="504"/>
      <c r="O2085" s="110"/>
      <c r="P2085" s="109"/>
      <c r="Q2085" s="504"/>
      <c r="R2085" s="107"/>
      <c r="S2085" s="503"/>
    </row>
    <row r="2086" spans="1:19" ht="9.75" customHeight="1">
      <c r="A2086" s="503"/>
      <c r="B2086" s="503"/>
      <c r="C2086" s="13"/>
      <c r="D2086" s="13" t="s">
        <v>120</v>
      </c>
      <c r="E2086" s="13"/>
      <c r="F2086" s="109"/>
      <c r="G2086" s="504"/>
      <c r="H2086" s="504"/>
      <c r="I2086" s="504"/>
      <c r="J2086" s="504"/>
      <c r="K2086" s="504"/>
      <c r="L2086" s="504"/>
      <c r="M2086" s="504"/>
      <c r="N2086" s="504"/>
      <c r="O2086" s="110"/>
      <c r="P2086" s="109"/>
      <c r="Q2086" s="504"/>
      <c r="R2086" s="107"/>
      <c r="S2086" s="503"/>
    </row>
    <row r="2087" spans="1:19" ht="9.75" customHeight="1">
      <c r="A2087" s="503"/>
      <c r="B2087" s="503"/>
      <c r="C2087" s="13"/>
      <c r="D2087" s="13" t="s">
        <v>120</v>
      </c>
      <c r="E2087" s="13"/>
      <c r="F2087" s="109"/>
      <c r="G2087" s="504"/>
      <c r="H2087" s="504"/>
      <c r="I2087" s="504"/>
      <c r="J2087" s="504"/>
      <c r="K2087" s="504"/>
      <c r="L2087" s="504"/>
      <c r="M2087" s="504"/>
      <c r="N2087" s="504"/>
      <c r="O2087" s="110"/>
      <c r="P2087" s="109"/>
      <c r="Q2087" s="504"/>
      <c r="R2087" s="107"/>
      <c r="S2087" s="503"/>
    </row>
    <row r="2088" spans="1:19" ht="9.75" customHeight="1">
      <c r="A2088" s="503"/>
      <c r="B2088" s="503"/>
      <c r="C2088" s="13"/>
      <c r="D2088" s="13" t="s">
        <v>120</v>
      </c>
      <c r="E2088" s="13"/>
      <c r="F2088" s="109"/>
      <c r="G2088" s="504"/>
      <c r="H2088" s="504"/>
      <c r="I2088" s="504"/>
      <c r="J2088" s="504"/>
      <c r="K2088" s="504"/>
      <c r="L2088" s="504"/>
      <c r="M2088" s="504"/>
      <c r="N2088" s="504"/>
      <c r="O2088" s="110"/>
      <c r="P2088" s="109"/>
      <c r="Q2088" s="504"/>
      <c r="R2088" s="107"/>
      <c r="S2088" s="503"/>
    </row>
    <row r="2089" spans="1:19" ht="9.75" customHeight="1">
      <c r="A2089" s="503"/>
      <c r="B2089" s="503"/>
      <c r="C2089" s="13"/>
      <c r="D2089" s="13" t="s">
        <v>120</v>
      </c>
      <c r="E2089" s="13"/>
      <c r="F2089" s="109"/>
      <c r="G2089" s="504"/>
      <c r="H2089" s="504"/>
      <c r="I2089" s="504"/>
      <c r="J2089" s="504"/>
      <c r="K2089" s="504"/>
      <c r="L2089" s="504"/>
      <c r="M2089" s="504"/>
      <c r="N2089" s="504"/>
      <c r="O2089" s="110"/>
      <c r="P2089" s="109"/>
      <c r="Q2089" s="504"/>
      <c r="R2089" s="107"/>
      <c r="S2089" s="503"/>
    </row>
    <row r="2090" spans="1:19" ht="9.75" customHeight="1">
      <c r="A2090" s="503"/>
      <c r="B2090" s="503"/>
      <c r="C2090" s="13"/>
      <c r="D2090" s="13" t="s">
        <v>34</v>
      </c>
      <c r="E2090" s="13">
        <v>1</v>
      </c>
      <c r="F2090" s="109">
        <v>1</v>
      </c>
      <c r="G2090" s="504">
        <v>1</v>
      </c>
      <c r="H2090" s="504">
        <v>1</v>
      </c>
      <c r="I2090" s="504">
        <v>1</v>
      </c>
      <c r="J2090" s="504">
        <v>1</v>
      </c>
      <c r="K2090" s="504">
        <v>1</v>
      </c>
      <c r="L2090" s="504">
        <v>1</v>
      </c>
      <c r="M2090" s="504">
        <v>1</v>
      </c>
      <c r="N2090" s="504">
        <v>1</v>
      </c>
      <c r="O2090" s="110">
        <v>1</v>
      </c>
      <c r="P2090" s="109">
        <f t="shared" ref="P2090:P2092" si="394">MIN(F2090:O2090)</f>
        <v>1</v>
      </c>
      <c r="Q2090" s="504">
        <f t="shared" ref="Q2090:Q2092" si="395">E2090-P2090</f>
        <v>0</v>
      </c>
      <c r="R2090" s="107">
        <f t="shared" ref="R2090:R2092" si="396">Q2090/E2090</f>
        <v>0</v>
      </c>
      <c r="S2090" s="503"/>
    </row>
    <row r="2091" spans="1:19" ht="9.75" customHeight="1">
      <c r="A2091" s="503"/>
      <c r="B2091" s="503"/>
      <c r="C2091" s="13"/>
      <c r="D2091" s="13" t="s">
        <v>301</v>
      </c>
      <c r="E2091" s="13">
        <v>6</v>
      </c>
      <c r="F2091" s="109">
        <v>4</v>
      </c>
      <c r="G2091" s="504">
        <v>4</v>
      </c>
      <c r="H2091" s="504">
        <v>4</v>
      </c>
      <c r="I2091" s="504">
        <v>4</v>
      </c>
      <c r="J2091" s="504">
        <v>4</v>
      </c>
      <c r="K2091" s="504">
        <v>4</v>
      </c>
      <c r="L2091" s="504">
        <v>4</v>
      </c>
      <c r="M2091" s="504">
        <v>4</v>
      </c>
      <c r="N2091" s="504">
        <v>4</v>
      </c>
      <c r="O2091" s="110">
        <v>4</v>
      </c>
      <c r="P2091" s="109">
        <f t="shared" si="394"/>
        <v>4</v>
      </c>
      <c r="Q2091" s="504">
        <f t="shared" si="395"/>
        <v>2</v>
      </c>
      <c r="R2091" s="107">
        <f t="shared" si="396"/>
        <v>0.33333333333333331</v>
      </c>
      <c r="S2091" s="503"/>
    </row>
    <row r="2092" spans="1:19" ht="9.75" customHeight="1">
      <c r="A2092" s="503"/>
      <c r="B2092" s="503"/>
      <c r="C2092" s="13"/>
      <c r="D2092" s="13" t="s">
        <v>36</v>
      </c>
      <c r="E2092" s="13">
        <v>2</v>
      </c>
      <c r="F2092" s="109">
        <v>0</v>
      </c>
      <c r="G2092" s="504">
        <v>0</v>
      </c>
      <c r="H2092" s="504">
        <v>0</v>
      </c>
      <c r="I2092" s="504">
        <v>0</v>
      </c>
      <c r="J2092" s="504">
        <v>0</v>
      </c>
      <c r="K2092" s="504">
        <v>0</v>
      </c>
      <c r="L2092" s="504">
        <v>0</v>
      </c>
      <c r="M2092" s="504">
        <v>0</v>
      </c>
      <c r="N2092" s="504">
        <v>0</v>
      </c>
      <c r="O2092" s="110">
        <v>0</v>
      </c>
      <c r="P2092" s="109">
        <f t="shared" si="394"/>
        <v>0</v>
      </c>
      <c r="Q2092" s="504">
        <f t="shared" si="395"/>
        <v>2</v>
      </c>
      <c r="R2092" s="107">
        <f t="shared" si="396"/>
        <v>1</v>
      </c>
      <c r="S2092" s="503"/>
    </row>
    <row r="2093" spans="1:19" ht="9.75" customHeight="1">
      <c r="A2093" s="503"/>
      <c r="B2093" s="503"/>
      <c r="C2093" s="13"/>
      <c r="D2093" s="13" t="s">
        <v>37</v>
      </c>
      <c r="E2093" s="13"/>
      <c r="F2093" s="109"/>
      <c r="G2093" s="504"/>
      <c r="H2093" s="504"/>
      <c r="I2093" s="504"/>
      <c r="J2093" s="504"/>
      <c r="K2093" s="504"/>
      <c r="L2093" s="504"/>
      <c r="M2093" s="504"/>
      <c r="N2093" s="504"/>
      <c r="O2093" s="110"/>
      <c r="P2093" s="109"/>
      <c r="Q2093" s="504"/>
      <c r="R2093" s="107"/>
      <c r="S2093" s="503"/>
    </row>
    <row r="2094" spans="1:19" ht="9.75" customHeight="1">
      <c r="A2094" s="503"/>
      <c r="B2094" s="503" t="s">
        <v>127</v>
      </c>
      <c r="C2094" s="2"/>
      <c r="D2094" s="3" t="s">
        <v>38</v>
      </c>
      <c r="E2094" s="8">
        <f t="shared" ref="E2094:O2094" si="397">SUM(E2078:E2093)</f>
        <v>267</v>
      </c>
      <c r="F2094" s="18">
        <f>SUM(F2078:F2093)</f>
        <v>207</v>
      </c>
      <c r="G2094" s="19">
        <f>SUM(G2078:G2093)</f>
        <v>207</v>
      </c>
      <c r="H2094" s="19">
        <f>SUM(H2078:H2093)</f>
        <v>198</v>
      </c>
      <c r="I2094" s="19">
        <f>SUM(I2078:I2093)</f>
        <v>194</v>
      </c>
      <c r="J2094" s="19">
        <f>SUM(J2078:J2093)</f>
        <v>199</v>
      </c>
      <c r="K2094" s="19">
        <f t="shared" si="397"/>
        <v>204</v>
      </c>
      <c r="L2094" s="19">
        <f t="shared" si="397"/>
        <v>205</v>
      </c>
      <c r="M2094" s="19">
        <f t="shared" si="397"/>
        <v>211</v>
      </c>
      <c r="N2094" s="19">
        <f t="shared" si="397"/>
        <v>219</v>
      </c>
      <c r="O2094" s="20">
        <f t="shared" si="397"/>
        <v>218</v>
      </c>
      <c r="P2094" s="18">
        <f>MIN(F2094:O2094)</f>
        <v>194</v>
      </c>
      <c r="Q2094" s="19">
        <f>E2094-P2094</f>
        <v>73</v>
      </c>
      <c r="R2094" s="44">
        <f>Q2094/E2094</f>
        <v>0.27340823970037453</v>
      </c>
      <c r="S2094" s="503"/>
    </row>
    <row r="2095" spans="1:19" ht="9.75" customHeight="1">
      <c r="A2095" s="503"/>
      <c r="B2095" s="503"/>
      <c r="C2095" s="43" t="s">
        <v>340</v>
      </c>
      <c r="D2095" s="43" t="s">
        <v>23</v>
      </c>
      <c r="E2095" s="43"/>
      <c r="F2095" s="116"/>
      <c r="G2095" s="128"/>
      <c r="H2095" s="128"/>
      <c r="I2095" s="128"/>
      <c r="J2095" s="128"/>
      <c r="K2095" s="128"/>
      <c r="L2095" s="128"/>
      <c r="M2095" s="128"/>
      <c r="N2095" s="128"/>
      <c r="O2095" s="129"/>
      <c r="P2095" s="116"/>
      <c r="Q2095" s="128"/>
      <c r="R2095" s="141"/>
      <c r="S2095" s="503"/>
    </row>
    <row r="2096" spans="1:19" ht="9.75" customHeight="1">
      <c r="A2096" s="503"/>
      <c r="B2096" s="503"/>
      <c r="C2096" s="13"/>
      <c r="D2096" s="13" t="s">
        <v>25</v>
      </c>
      <c r="E2096" s="13"/>
      <c r="F2096" s="109"/>
      <c r="G2096" s="504"/>
      <c r="H2096" s="504"/>
      <c r="I2096" s="504"/>
      <c r="J2096" s="504"/>
      <c r="K2096" s="504"/>
      <c r="L2096" s="504"/>
      <c r="M2096" s="504"/>
      <c r="N2096" s="504"/>
      <c r="O2096" s="110"/>
      <c r="P2096" s="109"/>
      <c r="Q2096" s="504"/>
      <c r="R2096" s="107"/>
      <c r="S2096" s="503"/>
    </row>
    <row r="2097" spans="1:19" ht="9.75" customHeight="1">
      <c r="A2097" s="503"/>
      <c r="B2097" s="503"/>
      <c r="C2097" s="13"/>
      <c r="D2097" s="13" t="s">
        <v>27</v>
      </c>
      <c r="E2097" s="13">
        <v>178</v>
      </c>
      <c r="F2097" s="109">
        <f>178-49</f>
        <v>129</v>
      </c>
      <c r="G2097" s="504">
        <f>178-67</f>
        <v>111</v>
      </c>
      <c r="H2097" s="504">
        <f>178-112</f>
        <v>66</v>
      </c>
      <c r="I2097" s="504">
        <f>45</f>
        <v>45</v>
      </c>
      <c r="J2097" s="504">
        <f>46</f>
        <v>46</v>
      </c>
      <c r="K2097" s="504">
        <f>55</f>
        <v>55</v>
      </c>
      <c r="L2097" s="504">
        <f>59</f>
        <v>59</v>
      </c>
      <c r="M2097" s="504">
        <f>76</f>
        <v>76</v>
      </c>
      <c r="N2097" s="504">
        <f>85</f>
        <v>85</v>
      </c>
      <c r="O2097" s="110">
        <f>178-76</f>
        <v>102</v>
      </c>
      <c r="P2097" s="109">
        <f>MIN(F2097:O2097)</f>
        <v>45</v>
      </c>
      <c r="Q2097" s="504">
        <f>E2097-P2097</f>
        <v>133</v>
      </c>
      <c r="R2097" s="107">
        <f>Q2097/E2097</f>
        <v>0.7471910112359551</v>
      </c>
      <c r="S2097" s="503"/>
    </row>
    <row r="2098" spans="1:19" ht="9.75" customHeight="1">
      <c r="A2098" s="503"/>
      <c r="B2098" s="503"/>
      <c r="C2098" s="13"/>
      <c r="D2098" s="13" t="s">
        <v>115</v>
      </c>
      <c r="E2098" s="13"/>
      <c r="F2098" s="109"/>
      <c r="G2098" s="504"/>
      <c r="H2098" s="504"/>
      <c r="I2098" s="504"/>
      <c r="J2098" s="504"/>
      <c r="K2098" s="504"/>
      <c r="L2098" s="504"/>
      <c r="M2098" s="504"/>
      <c r="N2098" s="504"/>
      <c r="O2098" s="110"/>
      <c r="P2098" s="109"/>
      <c r="Q2098" s="504"/>
      <c r="R2098" s="107"/>
      <c r="S2098" s="503"/>
    </row>
    <row r="2099" spans="1:19" ht="9.75" customHeight="1">
      <c r="A2099" s="503"/>
      <c r="B2099" s="503"/>
      <c r="C2099" s="13"/>
      <c r="D2099" s="13" t="s">
        <v>115</v>
      </c>
      <c r="E2099" s="13"/>
      <c r="F2099" s="109"/>
      <c r="G2099" s="504"/>
      <c r="H2099" s="504"/>
      <c r="I2099" s="504"/>
      <c r="J2099" s="504"/>
      <c r="K2099" s="504"/>
      <c r="L2099" s="504"/>
      <c r="M2099" s="504"/>
      <c r="N2099" s="504"/>
      <c r="O2099" s="110"/>
      <c r="P2099" s="109"/>
      <c r="Q2099" s="504"/>
      <c r="R2099" s="107"/>
      <c r="S2099" s="503"/>
    </row>
    <row r="2100" spans="1:19" ht="9.75" customHeight="1">
      <c r="A2100" s="503"/>
      <c r="B2100" s="503"/>
      <c r="C2100" s="13"/>
      <c r="D2100" s="13" t="s">
        <v>32</v>
      </c>
      <c r="E2100" s="13"/>
      <c r="F2100" s="109"/>
      <c r="G2100" s="504"/>
      <c r="H2100" s="504"/>
      <c r="I2100" s="504"/>
      <c r="J2100" s="504"/>
      <c r="K2100" s="504"/>
      <c r="L2100" s="504"/>
      <c r="M2100" s="504"/>
      <c r="N2100" s="504"/>
      <c r="O2100" s="110"/>
      <c r="P2100" s="109"/>
      <c r="Q2100" s="504"/>
      <c r="R2100" s="107"/>
      <c r="S2100" s="503"/>
    </row>
    <row r="2101" spans="1:19" ht="9.75" customHeight="1">
      <c r="A2101" s="503"/>
      <c r="B2101" s="503"/>
      <c r="C2101" s="13"/>
      <c r="D2101" s="13" t="s">
        <v>155</v>
      </c>
      <c r="E2101" s="13">
        <v>63</v>
      </c>
      <c r="F2101" s="109">
        <v>60</v>
      </c>
      <c r="G2101" s="504">
        <v>58</v>
      </c>
      <c r="H2101" s="504">
        <v>52</v>
      </c>
      <c r="I2101" s="504">
        <v>50</v>
      </c>
      <c r="J2101" s="504">
        <v>49</v>
      </c>
      <c r="K2101" s="504">
        <v>51</v>
      </c>
      <c r="L2101" s="504">
        <v>48</v>
      </c>
      <c r="M2101" s="504">
        <v>45</v>
      </c>
      <c r="N2101" s="504">
        <v>46</v>
      </c>
      <c r="O2101" s="110">
        <v>51</v>
      </c>
      <c r="P2101" s="109">
        <f>MIN(F2101:O2101)</f>
        <v>45</v>
      </c>
      <c r="Q2101" s="504">
        <f t="shared" ref="Q2101:Q2102" si="398">E2101-P2101</f>
        <v>18</v>
      </c>
      <c r="R2101" s="107">
        <f t="shared" ref="R2101:R2102" si="399">Q2101/E2101</f>
        <v>0.2857142857142857</v>
      </c>
      <c r="S2101" s="503"/>
    </row>
    <row r="2102" spans="1:19" ht="9.75" customHeight="1">
      <c r="A2102" s="503"/>
      <c r="B2102" s="503"/>
      <c r="C2102" s="13"/>
      <c r="D2102" s="13" t="s">
        <v>118</v>
      </c>
      <c r="E2102" s="13">
        <v>8</v>
      </c>
      <c r="F2102" s="109">
        <v>8</v>
      </c>
      <c r="G2102" s="504">
        <v>7</v>
      </c>
      <c r="H2102" s="504">
        <v>7</v>
      </c>
      <c r="I2102" s="504">
        <v>8</v>
      </c>
      <c r="J2102" s="504">
        <v>8</v>
      </c>
      <c r="K2102" s="504">
        <v>7</v>
      </c>
      <c r="L2102" s="504">
        <v>6</v>
      </c>
      <c r="M2102" s="504">
        <v>7</v>
      </c>
      <c r="N2102" s="504">
        <v>7</v>
      </c>
      <c r="O2102" s="110">
        <v>6</v>
      </c>
      <c r="P2102" s="109">
        <f t="shared" ref="P2102" si="400">MIN(F2102:O2102)</f>
        <v>6</v>
      </c>
      <c r="Q2102" s="504">
        <f t="shared" si="398"/>
        <v>2</v>
      </c>
      <c r="R2102" s="107">
        <f t="shared" si="399"/>
        <v>0.25</v>
      </c>
      <c r="S2102" s="503"/>
    </row>
    <row r="2103" spans="1:19" ht="9.75" customHeight="1">
      <c r="A2103" s="503"/>
      <c r="B2103" s="503"/>
      <c r="C2103" s="13"/>
      <c r="D2103" s="13" t="s">
        <v>120</v>
      </c>
      <c r="E2103" s="13"/>
      <c r="F2103" s="109"/>
      <c r="G2103" s="504"/>
      <c r="H2103" s="504"/>
      <c r="I2103" s="504"/>
      <c r="J2103" s="504"/>
      <c r="K2103" s="504"/>
      <c r="L2103" s="504"/>
      <c r="M2103" s="504"/>
      <c r="N2103" s="504"/>
      <c r="O2103" s="110"/>
      <c r="P2103" s="109"/>
      <c r="Q2103" s="504"/>
      <c r="R2103" s="107"/>
      <c r="S2103" s="503"/>
    </row>
    <row r="2104" spans="1:19" ht="9.75" customHeight="1">
      <c r="A2104" s="503"/>
      <c r="B2104" s="503"/>
      <c r="C2104" s="13"/>
      <c r="D2104" s="13" t="s">
        <v>120</v>
      </c>
      <c r="E2104" s="13"/>
      <c r="F2104" s="109"/>
      <c r="G2104" s="504"/>
      <c r="H2104" s="504"/>
      <c r="I2104" s="504"/>
      <c r="J2104" s="504"/>
      <c r="K2104" s="504"/>
      <c r="L2104" s="504"/>
      <c r="M2104" s="504"/>
      <c r="N2104" s="504"/>
      <c r="O2104" s="110"/>
      <c r="P2104" s="109"/>
      <c r="Q2104" s="504"/>
      <c r="R2104" s="107"/>
      <c r="S2104" s="503"/>
    </row>
    <row r="2105" spans="1:19" ht="9.75" customHeight="1">
      <c r="A2105" s="503"/>
      <c r="B2105" s="503"/>
      <c r="C2105" s="13"/>
      <c r="D2105" s="13" t="s">
        <v>120</v>
      </c>
      <c r="E2105" s="13"/>
      <c r="F2105" s="109"/>
      <c r="G2105" s="504"/>
      <c r="H2105" s="504"/>
      <c r="I2105" s="504"/>
      <c r="J2105" s="504"/>
      <c r="K2105" s="504"/>
      <c r="L2105" s="504"/>
      <c r="M2105" s="504"/>
      <c r="N2105" s="504"/>
      <c r="O2105" s="110"/>
      <c r="P2105" s="109"/>
      <c r="Q2105" s="504"/>
      <c r="R2105" s="107"/>
      <c r="S2105" s="503"/>
    </row>
    <row r="2106" spans="1:19" ht="9.75" customHeight="1">
      <c r="A2106" s="503"/>
      <c r="B2106" s="503"/>
      <c r="C2106" s="13"/>
      <c r="D2106" s="13" t="s">
        <v>120</v>
      </c>
      <c r="E2106" s="13"/>
      <c r="F2106" s="109"/>
      <c r="G2106" s="504"/>
      <c r="H2106" s="504"/>
      <c r="I2106" s="504"/>
      <c r="J2106" s="504"/>
      <c r="K2106" s="504"/>
      <c r="L2106" s="504"/>
      <c r="M2106" s="504"/>
      <c r="N2106" s="504"/>
      <c r="O2106" s="110"/>
      <c r="P2106" s="109"/>
      <c r="Q2106" s="504"/>
      <c r="R2106" s="107"/>
      <c r="S2106" s="503"/>
    </row>
    <row r="2107" spans="1:19" ht="9.75" customHeight="1">
      <c r="A2107" s="503"/>
      <c r="B2107" s="503"/>
      <c r="C2107" s="13"/>
      <c r="D2107" s="13" t="s">
        <v>34</v>
      </c>
      <c r="E2107" s="13">
        <v>6</v>
      </c>
      <c r="F2107" s="109">
        <v>6</v>
      </c>
      <c r="G2107" s="504">
        <v>6</v>
      </c>
      <c r="H2107" s="504">
        <v>6</v>
      </c>
      <c r="I2107" s="504">
        <v>6</v>
      </c>
      <c r="J2107" s="504">
        <v>6</v>
      </c>
      <c r="K2107" s="504">
        <v>6</v>
      </c>
      <c r="L2107" s="504">
        <v>6</v>
      </c>
      <c r="M2107" s="504">
        <v>6</v>
      </c>
      <c r="N2107" s="504">
        <v>6</v>
      </c>
      <c r="O2107" s="110">
        <v>6</v>
      </c>
      <c r="P2107" s="109">
        <f t="shared" ref="P2107:P2108" si="401">MIN(F2107:O2107)</f>
        <v>6</v>
      </c>
      <c r="Q2107" s="504">
        <f t="shared" ref="Q2107:Q2108" si="402">E2107-P2107</f>
        <v>0</v>
      </c>
      <c r="R2107" s="107">
        <f t="shared" ref="R2107:R2108" si="403">Q2107/E2107</f>
        <v>0</v>
      </c>
      <c r="S2107" s="503"/>
    </row>
    <row r="2108" spans="1:19" ht="9.75" customHeight="1">
      <c r="A2108" s="503"/>
      <c r="B2108" s="503"/>
      <c r="C2108" s="13"/>
      <c r="D2108" s="13" t="s">
        <v>301</v>
      </c>
      <c r="E2108" s="13">
        <v>2</v>
      </c>
      <c r="F2108" s="109">
        <v>2</v>
      </c>
      <c r="G2108" s="504">
        <v>2</v>
      </c>
      <c r="H2108" s="504">
        <v>2</v>
      </c>
      <c r="I2108" s="504">
        <v>2</v>
      </c>
      <c r="J2108" s="504">
        <v>2</v>
      </c>
      <c r="K2108" s="504">
        <v>2</v>
      </c>
      <c r="L2108" s="504">
        <v>2</v>
      </c>
      <c r="M2108" s="504">
        <v>2</v>
      </c>
      <c r="N2108" s="504">
        <v>2</v>
      </c>
      <c r="O2108" s="110">
        <v>2</v>
      </c>
      <c r="P2108" s="109">
        <f t="shared" si="401"/>
        <v>2</v>
      </c>
      <c r="Q2108" s="504">
        <f t="shared" si="402"/>
        <v>0</v>
      </c>
      <c r="R2108" s="107">
        <f t="shared" si="403"/>
        <v>0</v>
      </c>
      <c r="S2108" s="503"/>
    </row>
    <row r="2109" spans="1:19" ht="9.75" customHeight="1">
      <c r="A2109" s="503"/>
      <c r="B2109" s="503"/>
      <c r="C2109" s="13"/>
      <c r="D2109" s="13" t="s">
        <v>36</v>
      </c>
      <c r="E2109" s="13"/>
      <c r="F2109" s="109"/>
      <c r="G2109" s="504"/>
      <c r="H2109" s="504"/>
      <c r="I2109" s="504"/>
      <c r="J2109" s="504"/>
      <c r="K2109" s="504"/>
      <c r="L2109" s="504"/>
      <c r="M2109" s="504"/>
      <c r="N2109" s="504"/>
      <c r="O2109" s="110"/>
      <c r="P2109" s="109"/>
      <c r="Q2109" s="504"/>
      <c r="R2109" s="107"/>
      <c r="S2109" s="503"/>
    </row>
    <row r="2110" spans="1:19" ht="9.75" customHeight="1">
      <c r="A2110" s="503"/>
      <c r="B2110" s="503"/>
      <c r="C2110" s="13"/>
      <c r="D2110" s="13" t="s">
        <v>37</v>
      </c>
      <c r="E2110" s="13"/>
      <c r="F2110" s="109"/>
      <c r="G2110" s="504"/>
      <c r="H2110" s="504"/>
      <c r="I2110" s="504"/>
      <c r="J2110" s="504"/>
      <c r="K2110" s="504"/>
      <c r="L2110" s="504"/>
      <c r="M2110" s="504"/>
      <c r="N2110" s="504"/>
      <c r="O2110" s="110"/>
      <c r="P2110" s="109"/>
      <c r="Q2110" s="504"/>
      <c r="R2110" s="107"/>
      <c r="S2110" s="503"/>
    </row>
    <row r="2111" spans="1:19" ht="9.75" customHeight="1">
      <c r="A2111" s="503"/>
      <c r="B2111" s="503" t="s">
        <v>127</v>
      </c>
      <c r="C2111" s="2"/>
      <c r="D2111" s="3" t="s">
        <v>38</v>
      </c>
      <c r="E2111" s="8">
        <f t="shared" ref="E2111:O2111" si="404">SUM(E2095:E2110)</f>
        <v>257</v>
      </c>
      <c r="F2111" s="18">
        <f t="shared" si="404"/>
        <v>205</v>
      </c>
      <c r="G2111" s="19">
        <f t="shared" si="404"/>
        <v>184</v>
      </c>
      <c r="H2111" s="19">
        <f t="shared" si="404"/>
        <v>133</v>
      </c>
      <c r="I2111" s="19">
        <f t="shared" si="404"/>
        <v>111</v>
      </c>
      <c r="J2111" s="19">
        <f t="shared" si="404"/>
        <v>111</v>
      </c>
      <c r="K2111" s="19">
        <f t="shared" si="404"/>
        <v>121</v>
      </c>
      <c r="L2111" s="19">
        <f t="shared" si="404"/>
        <v>121</v>
      </c>
      <c r="M2111" s="19">
        <f t="shared" si="404"/>
        <v>136</v>
      </c>
      <c r="N2111" s="19">
        <f t="shared" si="404"/>
        <v>146</v>
      </c>
      <c r="O2111" s="20">
        <f t="shared" si="404"/>
        <v>167</v>
      </c>
      <c r="P2111" s="18">
        <f>MIN(F2111:O2111)</f>
        <v>111</v>
      </c>
      <c r="Q2111" s="19">
        <f>E2111-P2111</f>
        <v>146</v>
      </c>
      <c r="R2111" s="44">
        <f>Q2111/E2111</f>
        <v>0.56809338521400776</v>
      </c>
      <c r="S2111" s="503"/>
    </row>
    <row r="2112" spans="1:19" ht="9.75" customHeight="1">
      <c r="A2112" s="503"/>
      <c r="B2112" s="503"/>
      <c r="C2112" s="43" t="s">
        <v>341</v>
      </c>
      <c r="D2112" s="43" t="s">
        <v>23</v>
      </c>
      <c r="E2112" s="43"/>
      <c r="F2112" s="116"/>
      <c r="G2112" s="128"/>
      <c r="H2112" s="128"/>
      <c r="I2112" s="128"/>
      <c r="J2112" s="128"/>
      <c r="K2112" s="128"/>
      <c r="L2112" s="128"/>
      <c r="M2112" s="128"/>
      <c r="N2112" s="128"/>
      <c r="O2112" s="129"/>
      <c r="P2112" s="116"/>
      <c r="Q2112" s="128"/>
      <c r="R2112" s="141"/>
      <c r="S2112" s="503"/>
    </row>
    <row r="2113" spans="1:19" ht="9.75" customHeight="1">
      <c r="A2113" s="503"/>
      <c r="B2113" s="503"/>
      <c r="C2113" s="13"/>
      <c r="D2113" s="13" t="s">
        <v>25</v>
      </c>
      <c r="E2113" s="13">
        <f>124+54</f>
        <v>178</v>
      </c>
      <c r="F2113" s="109">
        <v>0</v>
      </c>
      <c r="G2113" s="504">
        <v>0</v>
      </c>
      <c r="H2113" s="504">
        <v>0</v>
      </c>
      <c r="I2113" s="504">
        <v>0</v>
      </c>
      <c r="J2113" s="504">
        <v>0</v>
      </c>
      <c r="K2113" s="504">
        <v>1</v>
      </c>
      <c r="L2113" s="504">
        <v>1</v>
      </c>
      <c r="M2113" s="504">
        <v>6</v>
      </c>
      <c r="N2113" s="504">
        <v>15</v>
      </c>
      <c r="O2113" s="110">
        <v>23</v>
      </c>
      <c r="P2113" s="109">
        <f>MIN(F2113:O2113)</f>
        <v>0</v>
      </c>
      <c r="Q2113" s="504">
        <f>E2113-P2113</f>
        <v>178</v>
      </c>
      <c r="R2113" s="107">
        <f>Q2113/E2113</f>
        <v>1</v>
      </c>
      <c r="S2113" s="503"/>
    </row>
    <row r="2114" spans="1:19" ht="9.75" customHeight="1">
      <c r="A2114" s="503"/>
      <c r="B2114" s="503"/>
      <c r="C2114" s="13"/>
      <c r="D2114" s="13" t="s">
        <v>27</v>
      </c>
      <c r="E2114" s="13"/>
      <c r="F2114" s="109"/>
      <c r="G2114" s="504"/>
      <c r="H2114" s="504"/>
      <c r="I2114" s="504"/>
      <c r="J2114" s="504"/>
      <c r="K2114" s="504"/>
      <c r="L2114" s="504"/>
      <c r="M2114" s="504"/>
      <c r="N2114" s="504"/>
      <c r="O2114" s="110"/>
      <c r="P2114" s="109"/>
      <c r="Q2114" s="504"/>
      <c r="R2114" s="107"/>
      <c r="S2114" s="503"/>
    </row>
    <row r="2115" spans="1:19" ht="9.75" customHeight="1">
      <c r="A2115" s="503"/>
      <c r="B2115" s="503"/>
      <c r="C2115" s="13"/>
      <c r="D2115" s="13" t="s">
        <v>115</v>
      </c>
      <c r="E2115" s="13">
        <v>47</v>
      </c>
      <c r="F2115" s="109">
        <v>13</v>
      </c>
      <c r="G2115" s="504">
        <v>0</v>
      </c>
      <c r="H2115" s="504">
        <v>0</v>
      </c>
      <c r="I2115" s="504">
        <v>0</v>
      </c>
      <c r="J2115" s="504">
        <v>0</v>
      </c>
      <c r="K2115" s="504">
        <v>0</v>
      </c>
      <c r="L2115" s="504">
        <v>2</v>
      </c>
      <c r="M2115" s="504">
        <v>1</v>
      </c>
      <c r="N2115" s="504">
        <v>13</v>
      </c>
      <c r="O2115" s="110">
        <v>16</v>
      </c>
      <c r="P2115" s="109">
        <f>MIN(F2115:O2115)</f>
        <v>0</v>
      </c>
      <c r="Q2115" s="504">
        <f>E2115-P2115</f>
        <v>47</v>
      </c>
      <c r="R2115" s="107">
        <f>Q2115/E2115</f>
        <v>1</v>
      </c>
      <c r="S2115" s="503"/>
    </row>
    <row r="2116" spans="1:19" ht="9.75" customHeight="1">
      <c r="A2116" s="503"/>
      <c r="B2116" s="503"/>
      <c r="C2116" s="13"/>
      <c r="D2116" s="13" t="s">
        <v>115</v>
      </c>
      <c r="E2116" s="13"/>
      <c r="F2116" s="109"/>
      <c r="G2116" s="504"/>
      <c r="H2116" s="504"/>
      <c r="I2116" s="504"/>
      <c r="J2116" s="504"/>
      <c r="K2116" s="504"/>
      <c r="L2116" s="504"/>
      <c r="M2116" s="504"/>
      <c r="N2116" s="504"/>
      <c r="O2116" s="110"/>
      <c r="P2116" s="109"/>
      <c r="Q2116" s="504"/>
      <c r="R2116" s="107"/>
      <c r="S2116" s="503"/>
    </row>
    <row r="2117" spans="1:19" ht="9.75" customHeight="1">
      <c r="A2117" s="503"/>
      <c r="B2117" s="503"/>
      <c r="C2117" s="13"/>
      <c r="D2117" s="13" t="s">
        <v>32</v>
      </c>
      <c r="E2117" s="13">
        <v>6</v>
      </c>
      <c r="F2117" s="109">
        <v>4</v>
      </c>
      <c r="G2117" s="504">
        <v>4</v>
      </c>
      <c r="H2117" s="504">
        <v>4</v>
      </c>
      <c r="I2117" s="504">
        <v>4</v>
      </c>
      <c r="J2117" s="504">
        <v>4</v>
      </c>
      <c r="K2117" s="504">
        <v>5</v>
      </c>
      <c r="L2117" s="504">
        <v>5</v>
      </c>
      <c r="M2117" s="504">
        <v>5</v>
      </c>
      <c r="N2117" s="504">
        <v>5</v>
      </c>
      <c r="O2117" s="110">
        <v>5</v>
      </c>
      <c r="P2117" s="109"/>
      <c r="Q2117" s="504"/>
      <c r="R2117" s="107"/>
      <c r="S2117" s="503"/>
    </row>
    <row r="2118" spans="1:19" ht="9.75" customHeight="1">
      <c r="A2118" s="503"/>
      <c r="B2118" s="503"/>
      <c r="C2118" s="13"/>
      <c r="D2118" s="13" t="s">
        <v>245</v>
      </c>
      <c r="E2118" s="13">
        <v>3</v>
      </c>
      <c r="F2118" s="109">
        <v>3</v>
      </c>
      <c r="G2118" s="504">
        <v>3</v>
      </c>
      <c r="H2118" s="504">
        <v>3</v>
      </c>
      <c r="I2118" s="504">
        <v>1</v>
      </c>
      <c r="J2118" s="504">
        <v>3</v>
      </c>
      <c r="K2118" s="504">
        <v>2</v>
      </c>
      <c r="L2118" s="504">
        <v>1</v>
      </c>
      <c r="M2118" s="504">
        <v>1</v>
      </c>
      <c r="N2118" s="504">
        <v>1</v>
      </c>
      <c r="O2118" s="110">
        <v>1</v>
      </c>
      <c r="P2118" s="109">
        <f t="shared" ref="P2118:P2120" si="405">MIN(F2118:O2118)</f>
        <v>1</v>
      </c>
      <c r="Q2118" s="504">
        <f t="shared" ref="Q2118:Q2120" si="406">E2118-P2118</f>
        <v>2</v>
      </c>
      <c r="R2118" s="107">
        <f t="shared" ref="R2118:R2120" si="407">Q2118/E2118</f>
        <v>0.66666666666666663</v>
      </c>
      <c r="S2118" s="503"/>
    </row>
    <row r="2119" spans="1:19" ht="9.75" customHeight="1">
      <c r="A2119" s="503"/>
      <c r="B2119" s="503"/>
      <c r="C2119" s="13"/>
      <c r="D2119" s="13" t="s">
        <v>118</v>
      </c>
      <c r="E2119" s="13">
        <v>8</v>
      </c>
      <c r="F2119" s="109">
        <v>6</v>
      </c>
      <c r="G2119" s="504">
        <v>6</v>
      </c>
      <c r="H2119" s="504">
        <v>5</v>
      </c>
      <c r="I2119" s="504">
        <v>5</v>
      </c>
      <c r="J2119" s="504">
        <v>5</v>
      </c>
      <c r="K2119" s="504">
        <v>4</v>
      </c>
      <c r="L2119" s="504">
        <v>5</v>
      </c>
      <c r="M2119" s="504">
        <v>7</v>
      </c>
      <c r="N2119" s="504">
        <v>7</v>
      </c>
      <c r="O2119" s="110">
        <v>6</v>
      </c>
      <c r="P2119" s="109">
        <f t="shared" si="405"/>
        <v>4</v>
      </c>
      <c r="Q2119" s="504">
        <f t="shared" si="406"/>
        <v>4</v>
      </c>
      <c r="R2119" s="107">
        <f t="shared" si="407"/>
        <v>0.5</v>
      </c>
      <c r="S2119" s="503"/>
    </row>
    <row r="2120" spans="1:19" ht="9.75" customHeight="1">
      <c r="A2120" s="503"/>
      <c r="B2120" s="503"/>
      <c r="C2120" s="13"/>
      <c r="D2120" s="13" t="s">
        <v>342</v>
      </c>
      <c r="E2120" s="13">
        <v>5</v>
      </c>
      <c r="F2120" s="109">
        <v>3</v>
      </c>
      <c r="G2120" s="504">
        <v>2</v>
      </c>
      <c r="H2120" s="504">
        <v>4</v>
      </c>
      <c r="I2120" s="504">
        <v>3</v>
      </c>
      <c r="J2120" s="504">
        <v>3</v>
      </c>
      <c r="K2120" s="504">
        <v>4</v>
      </c>
      <c r="L2120" s="504">
        <v>4</v>
      </c>
      <c r="M2120" s="504">
        <v>4</v>
      </c>
      <c r="N2120" s="504">
        <v>4</v>
      </c>
      <c r="O2120" s="110">
        <v>4</v>
      </c>
      <c r="P2120" s="109">
        <f t="shared" si="405"/>
        <v>2</v>
      </c>
      <c r="Q2120" s="504">
        <f t="shared" si="406"/>
        <v>3</v>
      </c>
      <c r="R2120" s="107">
        <f t="shared" si="407"/>
        <v>0.6</v>
      </c>
      <c r="S2120" s="503"/>
    </row>
    <row r="2121" spans="1:19" ht="9.75" customHeight="1">
      <c r="A2121" s="503"/>
      <c r="B2121" s="503"/>
      <c r="C2121" s="13"/>
      <c r="D2121" s="13" t="s">
        <v>120</v>
      </c>
      <c r="E2121" s="13"/>
      <c r="F2121" s="109"/>
      <c r="G2121" s="504"/>
      <c r="H2121" s="504"/>
      <c r="I2121" s="504"/>
      <c r="J2121" s="504"/>
      <c r="K2121" s="504"/>
      <c r="L2121" s="504"/>
      <c r="M2121" s="504"/>
      <c r="N2121" s="504"/>
      <c r="O2121" s="110"/>
      <c r="P2121" s="109"/>
      <c r="Q2121" s="504"/>
      <c r="R2121" s="107"/>
      <c r="S2121" s="503"/>
    </row>
    <row r="2122" spans="1:19" ht="9.75" customHeight="1">
      <c r="A2122" s="503"/>
      <c r="B2122" s="503"/>
      <c r="C2122" s="13"/>
      <c r="D2122" s="13" t="s">
        <v>120</v>
      </c>
      <c r="E2122" s="13"/>
      <c r="F2122" s="109"/>
      <c r="G2122" s="504"/>
      <c r="H2122" s="504"/>
      <c r="I2122" s="504"/>
      <c r="J2122" s="504"/>
      <c r="K2122" s="504"/>
      <c r="L2122" s="504"/>
      <c r="M2122" s="504"/>
      <c r="N2122" s="504"/>
      <c r="O2122" s="110"/>
      <c r="P2122" s="109"/>
      <c r="Q2122" s="504"/>
      <c r="R2122" s="107"/>
      <c r="S2122" s="503"/>
    </row>
    <row r="2123" spans="1:19" ht="9.75" customHeight="1">
      <c r="A2123" s="503"/>
      <c r="B2123" s="503"/>
      <c r="C2123" s="13"/>
      <c r="D2123" s="13" t="s">
        <v>120</v>
      </c>
      <c r="E2123" s="13"/>
      <c r="F2123" s="109"/>
      <c r="G2123" s="504"/>
      <c r="H2123" s="504"/>
      <c r="I2123" s="504"/>
      <c r="J2123" s="504"/>
      <c r="K2123" s="504"/>
      <c r="L2123" s="504"/>
      <c r="M2123" s="504"/>
      <c r="N2123" s="504"/>
      <c r="O2123" s="110"/>
      <c r="P2123" s="109"/>
      <c r="Q2123" s="504"/>
      <c r="R2123" s="107"/>
      <c r="S2123" s="503"/>
    </row>
    <row r="2124" spans="1:19" ht="9.75" customHeight="1">
      <c r="A2124" s="503"/>
      <c r="B2124" s="503"/>
      <c r="C2124" s="13"/>
      <c r="D2124" s="13" t="s">
        <v>34</v>
      </c>
      <c r="E2124" s="13">
        <v>6</v>
      </c>
      <c r="F2124" s="109">
        <v>4</v>
      </c>
      <c r="G2124" s="504">
        <v>4</v>
      </c>
      <c r="H2124" s="504">
        <v>4</v>
      </c>
      <c r="I2124" s="504">
        <v>4</v>
      </c>
      <c r="J2124" s="504">
        <v>5</v>
      </c>
      <c r="K2124" s="504">
        <v>5</v>
      </c>
      <c r="L2124" s="504">
        <v>5</v>
      </c>
      <c r="M2124" s="504">
        <v>6</v>
      </c>
      <c r="N2124" s="504">
        <v>6</v>
      </c>
      <c r="O2124" s="110">
        <v>6</v>
      </c>
      <c r="P2124" s="109">
        <f t="shared" ref="P2124:P2125" si="408">MIN(F2124:O2124)</f>
        <v>4</v>
      </c>
      <c r="Q2124" s="504">
        <f t="shared" ref="Q2124:Q2125" si="409">E2124-P2124</f>
        <v>2</v>
      </c>
      <c r="R2124" s="107">
        <f t="shared" ref="R2124:R2125" si="410">Q2124/E2124</f>
        <v>0.33333333333333331</v>
      </c>
      <c r="S2124" s="503"/>
    </row>
    <row r="2125" spans="1:19" ht="9.75" customHeight="1">
      <c r="A2125" s="503"/>
      <c r="B2125" s="503"/>
      <c r="C2125" s="13"/>
      <c r="D2125" s="13" t="s">
        <v>301</v>
      </c>
      <c r="E2125" s="13">
        <v>3</v>
      </c>
      <c r="F2125" s="109">
        <v>0</v>
      </c>
      <c r="G2125" s="504">
        <v>0</v>
      </c>
      <c r="H2125" s="504">
        <v>0</v>
      </c>
      <c r="I2125" s="504">
        <v>0</v>
      </c>
      <c r="J2125" s="504">
        <v>0</v>
      </c>
      <c r="K2125" s="504">
        <v>0</v>
      </c>
      <c r="L2125" s="504">
        <v>0</v>
      </c>
      <c r="M2125" s="504">
        <v>1</v>
      </c>
      <c r="N2125" s="504">
        <v>0</v>
      </c>
      <c r="O2125" s="110">
        <v>0</v>
      </c>
      <c r="P2125" s="109">
        <f t="shared" si="408"/>
        <v>0</v>
      </c>
      <c r="Q2125" s="504">
        <f t="shared" si="409"/>
        <v>3</v>
      </c>
      <c r="R2125" s="107">
        <f t="shared" si="410"/>
        <v>1</v>
      </c>
      <c r="S2125" s="503"/>
    </row>
    <row r="2126" spans="1:19" ht="9.75" customHeight="1">
      <c r="A2126" s="503"/>
      <c r="B2126" s="503"/>
      <c r="C2126" s="13"/>
      <c r="D2126" s="13" t="s">
        <v>36</v>
      </c>
      <c r="E2126" s="13"/>
      <c r="F2126" s="109"/>
      <c r="G2126" s="504"/>
      <c r="H2126" s="504"/>
      <c r="I2126" s="504"/>
      <c r="J2126" s="504"/>
      <c r="K2126" s="504"/>
      <c r="L2126" s="504"/>
      <c r="M2126" s="504"/>
      <c r="N2126" s="504"/>
      <c r="O2126" s="110"/>
      <c r="P2126" s="109"/>
      <c r="Q2126" s="504"/>
      <c r="R2126" s="107"/>
      <c r="S2126" s="503"/>
    </row>
    <row r="2127" spans="1:19" ht="9.75" customHeight="1">
      <c r="A2127" s="503"/>
      <c r="B2127" s="503"/>
      <c r="C2127" s="13"/>
      <c r="D2127" s="13" t="s">
        <v>37</v>
      </c>
      <c r="E2127" s="13"/>
      <c r="F2127" s="109"/>
      <c r="G2127" s="504"/>
      <c r="H2127" s="504"/>
      <c r="I2127" s="504"/>
      <c r="J2127" s="504"/>
      <c r="K2127" s="504"/>
      <c r="L2127" s="504"/>
      <c r="M2127" s="504"/>
      <c r="N2127" s="504"/>
      <c r="O2127" s="110"/>
      <c r="P2127" s="109"/>
      <c r="Q2127" s="504"/>
      <c r="R2127" s="107"/>
      <c r="S2127" s="503"/>
    </row>
    <row r="2128" spans="1:19" ht="9.75" customHeight="1">
      <c r="A2128" s="503"/>
      <c r="B2128" s="503" t="s">
        <v>127</v>
      </c>
      <c r="C2128" s="2"/>
      <c r="D2128" s="3" t="s">
        <v>38</v>
      </c>
      <c r="E2128" s="21">
        <f t="shared" ref="E2128:O2128" si="411">SUM(E2112:E2127)</f>
        <v>256</v>
      </c>
      <c r="F2128" s="21">
        <f t="shared" si="411"/>
        <v>33</v>
      </c>
      <c r="G2128" s="71">
        <f t="shared" si="411"/>
        <v>19</v>
      </c>
      <c r="H2128" s="71">
        <f>SUM(H2112:H2127)</f>
        <v>20</v>
      </c>
      <c r="I2128" s="71">
        <f>SUM(I2112:I2127)</f>
        <v>17</v>
      </c>
      <c r="J2128" s="71">
        <f>SUM(J2112:J2127)</f>
        <v>20</v>
      </c>
      <c r="K2128" s="71">
        <f t="shared" si="411"/>
        <v>21</v>
      </c>
      <c r="L2128" s="71">
        <f t="shared" si="411"/>
        <v>23</v>
      </c>
      <c r="M2128" s="71">
        <f t="shared" si="411"/>
        <v>31</v>
      </c>
      <c r="N2128" s="71">
        <f t="shared" si="411"/>
        <v>51</v>
      </c>
      <c r="O2128" s="26">
        <f t="shared" si="411"/>
        <v>61</v>
      </c>
      <c r="P2128" s="71">
        <f t="shared" ref="P2128:P2130" si="412">MIN(F2128:O2128)</f>
        <v>17</v>
      </c>
      <c r="Q2128" s="71">
        <f t="shared" ref="Q2128:Q2130" si="413">E2128-P2128</f>
        <v>239</v>
      </c>
      <c r="R2128" s="7">
        <f t="shared" ref="R2128:R2130" si="414">Q2128/E2128</f>
        <v>0.93359375</v>
      </c>
      <c r="S2128" s="503"/>
    </row>
    <row r="2129" spans="1:19" ht="9.75" customHeight="1">
      <c r="A2129" s="503"/>
      <c r="B2129" s="503"/>
      <c r="C2129" s="43" t="s">
        <v>343</v>
      </c>
      <c r="D2129" s="43" t="s">
        <v>23</v>
      </c>
      <c r="E2129" s="43">
        <v>156</v>
      </c>
      <c r="F2129" s="109">
        <f>E2129-26</f>
        <v>130</v>
      </c>
      <c r="G2129" s="504">
        <f>E2129-53</f>
        <v>103</v>
      </c>
      <c r="H2129" s="504">
        <v>61</v>
      </c>
      <c r="I2129" s="504">
        <v>54</v>
      </c>
      <c r="J2129" s="504">
        <v>53</v>
      </c>
      <c r="K2129" s="504">
        <v>58</v>
      </c>
      <c r="L2129" s="504">
        <v>59</v>
      </c>
      <c r="M2129" s="504">
        <v>70</v>
      </c>
      <c r="N2129" s="504">
        <v>76</v>
      </c>
      <c r="O2129" s="110">
        <v>97</v>
      </c>
      <c r="P2129" s="109">
        <f t="shared" si="412"/>
        <v>53</v>
      </c>
      <c r="Q2129" s="504">
        <f t="shared" si="413"/>
        <v>103</v>
      </c>
      <c r="R2129" s="107">
        <f t="shared" si="414"/>
        <v>0.66025641025641024</v>
      </c>
      <c r="S2129" s="503"/>
    </row>
    <row r="2130" spans="1:19" ht="9.75" customHeight="1">
      <c r="A2130" s="503"/>
      <c r="B2130" s="503"/>
      <c r="C2130" s="13"/>
      <c r="D2130" s="13" t="s">
        <v>25</v>
      </c>
      <c r="E2130" s="13">
        <v>89</v>
      </c>
      <c r="F2130" s="109">
        <v>1</v>
      </c>
      <c r="G2130" s="504">
        <v>0</v>
      </c>
      <c r="H2130" s="504">
        <v>0</v>
      </c>
      <c r="I2130" s="504">
        <v>0</v>
      </c>
      <c r="J2130" s="504">
        <v>1</v>
      </c>
      <c r="K2130" s="504">
        <v>0</v>
      </c>
      <c r="L2130" s="504">
        <v>0</v>
      </c>
      <c r="M2130" s="504">
        <v>10</v>
      </c>
      <c r="N2130" s="504">
        <v>11</v>
      </c>
      <c r="O2130" s="110">
        <v>21</v>
      </c>
      <c r="P2130" s="109">
        <f t="shared" si="412"/>
        <v>0</v>
      </c>
      <c r="Q2130" s="504">
        <f t="shared" si="413"/>
        <v>89</v>
      </c>
      <c r="R2130" s="107">
        <f t="shared" si="414"/>
        <v>1</v>
      </c>
      <c r="S2130" s="503"/>
    </row>
    <row r="2131" spans="1:19" ht="9.75" customHeight="1">
      <c r="A2131" s="503"/>
      <c r="B2131" s="503"/>
      <c r="C2131" s="13"/>
      <c r="D2131" s="13" t="s">
        <v>27</v>
      </c>
      <c r="E2131" s="13"/>
      <c r="F2131" s="109"/>
      <c r="G2131" s="504"/>
      <c r="H2131" s="504"/>
      <c r="I2131" s="504"/>
      <c r="J2131" s="504"/>
      <c r="K2131" s="504"/>
      <c r="L2131" s="504"/>
      <c r="M2131" s="504"/>
      <c r="N2131" s="504"/>
      <c r="O2131" s="110"/>
      <c r="P2131" s="109"/>
      <c r="Q2131" s="504"/>
      <c r="R2131" s="107"/>
      <c r="S2131" s="503"/>
    </row>
    <row r="2132" spans="1:19" ht="9.75" customHeight="1">
      <c r="A2132" s="503"/>
      <c r="B2132" s="503"/>
      <c r="C2132" s="13"/>
      <c r="D2132" s="13" t="s">
        <v>115</v>
      </c>
      <c r="E2132" s="13"/>
      <c r="F2132" s="109"/>
      <c r="G2132" s="504"/>
      <c r="H2132" s="504"/>
      <c r="I2132" s="504"/>
      <c r="J2132" s="504"/>
      <c r="K2132" s="504"/>
      <c r="L2132" s="504"/>
      <c r="M2132" s="504"/>
      <c r="N2132" s="504"/>
      <c r="O2132" s="110"/>
      <c r="P2132" s="109"/>
      <c r="Q2132" s="504"/>
      <c r="R2132" s="107"/>
      <c r="S2132" s="503"/>
    </row>
    <row r="2133" spans="1:19" ht="9.75" customHeight="1">
      <c r="A2133" s="503"/>
      <c r="B2133" s="503"/>
      <c r="C2133" s="13"/>
      <c r="D2133" s="13" t="s">
        <v>115</v>
      </c>
      <c r="E2133" s="13"/>
      <c r="F2133" s="109"/>
      <c r="G2133" s="504"/>
      <c r="H2133" s="504"/>
      <c r="I2133" s="504"/>
      <c r="J2133" s="504"/>
      <c r="K2133" s="504"/>
      <c r="L2133" s="504"/>
      <c r="M2133" s="504"/>
      <c r="N2133" s="504"/>
      <c r="O2133" s="110"/>
      <c r="P2133" s="109"/>
      <c r="Q2133" s="504"/>
      <c r="R2133" s="107"/>
      <c r="S2133" s="503"/>
    </row>
    <row r="2134" spans="1:19" ht="9.75" customHeight="1">
      <c r="A2134" s="503"/>
      <c r="B2134" s="503"/>
      <c r="C2134" s="13"/>
      <c r="D2134" s="13" t="s">
        <v>32</v>
      </c>
      <c r="E2134" s="13"/>
      <c r="F2134" s="109"/>
      <c r="G2134" s="504"/>
      <c r="H2134" s="504"/>
      <c r="I2134" s="504"/>
      <c r="J2134" s="504"/>
      <c r="K2134" s="504"/>
      <c r="L2134" s="504"/>
      <c r="M2134" s="504"/>
      <c r="N2134" s="504"/>
      <c r="O2134" s="110"/>
      <c r="P2134" s="109"/>
      <c r="Q2134" s="504"/>
      <c r="R2134" s="107"/>
      <c r="S2134" s="503"/>
    </row>
    <row r="2135" spans="1:19" ht="9.75" customHeight="1">
      <c r="A2135" s="503"/>
      <c r="B2135" s="503"/>
      <c r="C2135" s="13"/>
      <c r="D2135" s="13" t="s">
        <v>118</v>
      </c>
      <c r="E2135" s="13">
        <v>8</v>
      </c>
      <c r="F2135" s="109">
        <v>8</v>
      </c>
      <c r="G2135" s="504">
        <v>7</v>
      </c>
      <c r="H2135" s="504">
        <v>5</v>
      </c>
      <c r="I2135" s="504">
        <v>3</v>
      </c>
      <c r="J2135" s="504">
        <v>3</v>
      </c>
      <c r="K2135" s="504">
        <v>4</v>
      </c>
      <c r="L2135" s="504">
        <v>4</v>
      </c>
      <c r="M2135" s="504">
        <v>4</v>
      </c>
      <c r="N2135" s="504">
        <v>6</v>
      </c>
      <c r="O2135" s="110">
        <v>5</v>
      </c>
      <c r="P2135" s="109">
        <f>MIN(F2135:O2135)</f>
        <v>3</v>
      </c>
      <c r="Q2135" s="504">
        <f>E2135-P2135</f>
        <v>5</v>
      </c>
      <c r="R2135" s="107">
        <f>Q2135/E2135</f>
        <v>0.625</v>
      </c>
      <c r="S2135" s="503"/>
    </row>
    <row r="2136" spans="1:19" ht="9.75" customHeight="1">
      <c r="A2136" s="503"/>
      <c r="B2136" s="503"/>
      <c r="C2136" s="13"/>
      <c r="D2136" s="13" t="s">
        <v>120</v>
      </c>
      <c r="E2136" s="13"/>
      <c r="F2136" s="109"/>
      <c r="G2136" s="504"/>
      <c r="H2136" s="504"/>
      <c r="I2136" s="504"/>
      <c r="J2136" s="504"/>
      <c r="K2136" s="504"/>
      <c r="L2136" s="504"/>
      <c r="M2136" s="504"/>
      <c r="N2136" s="504"/>
      <c r="O2136" s="110"/>
      <c r="P2136" s="109"/>
      <c r="Q2136" s="504"/>
      <c r="R2136" s="107"/>
      <c r="S2136" s="503"/>
    </row>
    <row r="2137" spans="1:19" ht="9.75" customHeight="1">
      <c r="A2137" s="503"/>
      <c r="B2137" s="503"/>
      <c r="C2137" s="13"/>
      <c r="D2137" s="13" t="s">
        <v>120</v>
      </c>
      <c r="E2137" s="13"/>
      <c r="F2137" s="109"/>
      <c r="G2137" s="504"/>
      <c r="H2137" s="504"/>
      <c r="I2137" s="504"/>
      <c r="J2137" s="504"/>
      <c r="K2137" s="504"/>
      <c r="L2137" s="504"/>
      <c r="M2137" s="504"/>
      <c r="N2137" s="504"/>
      <c r="O2137" s="110"/>
      <c r="P2137" s="109"/>
      <c r="Q2137" s="504"/>
      <c r="R2137" s="107"/>
      <c r="S2137" s="503"/>
    </row>
    <row r="2138" spans="1:19" ht="9.75" customHeight="1">
      <c r="A2138" s="503"/>
      <c r="B2138" s="503"/>
      <c r="C2138" s="13"/>
      <c r="D2138" s="13" t="s">
        <v>120</v>
      </c>
      <c r="E2138" s="13"/>
      <c r="F2138" s="109"/>
      <c r="G2138" s="504"/>
      <c r="H2138" s="504"/>
      <c r="I2138" s="504"/>
      <c r="J2138" s="504"/>
      <c r="K2138" s="504"/>
      <c r="L2138" s="504"/>
      <c r="M2138" s="504"/>
      <c r="N2138" s="504"/>
      <c r="O2138" s="110"/>
      <c r="P2138" s="109"/>
      <c r="Q2138" s="504"/>
      <c r="R2138" s="107"/>
      <c r="S2138" s="503"/>
    </row>
    <row r="2139" spans="1:19" ht="9.75" customHeight="1">
      <c r="A2139" s="503"/>
      <c r="B2139" s="503"/>
      <c r="C2139" s="13"/>
      <c r="D2139" s="13" t="s">
        <v>120</v>
      </c>
      <c r="E2139" s="13"/>
      <c r="F2139" s="109"/>
      <c r="G2139" s="504"/>
      <c r="H2139" s="504"/>
      <c r="I2139" s="504"/>
      <c r="J2139" s="504"/>
      <c r="K2139" s="504"/>
      <c r="L2139" s="504"/>
      <c r="M2139" s="504"/>
      <c r="N2139" s="504"/>
      <c r="O2139" s="110"/>
      <c r="P2139" s="109"/>
      <c r="Q2139" s="504"/>
      <c r="R2139" s="107"/>
      <c r="S2139" s="503"/>
    </row>
    <row r="2140" spans="1:19" ht="9.75" customHeight="1">
      <c r="A2140" s="503"/>
      <c r="B2140" s="503"/>
      <c r="C2140" s="13"/>
      <c r="D2140" s="13" t="s">
        <v>120</v>
      </c>
      <c r="E2140" s="13"/>
      <c r="F2140" s="109"/>
      <c r="G2140" s="504"/>
      <c r="H2140" s="504"/>
      <c r="I2140" s="504"/>
      <c r="J2140" s="504"/>
      <c r="K2140" s="504"/>
      <c r="L2140" s="504"/>
      <c r="M2140" s="504"/>
      <c r="N2140" s="504"/>
      <c r="O2140" s="110"/>
      <c r="P2140" s="109"/>
      <c r="Q2140" s="504"/>
      <c r="R2140" s="107"/>
      <c r="S2140" s="503"/>
    </row>
    <row r="2141" spans="1:19" ht="9.75" customHeight="1">
      <c r="A2141" s="503"/>
      <c r="B2141" s="503"/>
      <c r="C2141" s="13"/>
      <c r="D2141" s="13" t="s">
        <v>34</v>
      </c>
      <c r="E2141" s="13">
        <v>6</v>
      </c>
      <c r="F2141" s="109">
        <v>5</v>
      </c>
      <c r="G2141" s="504">
        <v>5</v>
      </c>
      <c r="H2141" s="504">
        <v>5</v>
      </c>
      <c r="I2141" s="504">
        <v>4</v>
      </c>
      <c r="J2141" s="504">
        <v>4</v>
      </c>
      <c r="K2141" s="504">
        <v>4</v>
      </c>
      <c r="L2141" s="504">
        <v>4</v>
      </c>
      <c r="M2141" s="504">
        <v>5</v>
      </c>
      <c r="N2141" s="504">
        <v>5</v>
      </c>
      <c r="O2141" s="110">
        <v>5</v>
      </c>
      <c r="P2141" s="109">
        <f t="shared" ref="P2141:P2142" si="415">MIN(F2141:O2141)</f>
        <v>4</v>
      </c>
      <c r="Q2141" s="504">
        <f t="shared" ref="Q2141:Q2142" si="416">E2141-P2141</f>
        <v>2</v>
      </c>
      <c r="R2141" s="107">
        <f t="shared" ref="R2141:R2142" si="417">Q2141/E2141</f>
        <v>0.33333333333333331</v>
      </c>
      <c r="S2141" s="503"/>
    </row>
    <row r="2142" spans="1:19" ht="9.75" customHeight="1">
      <c r="A2142" s="503"/>
      <c r="B2142" s="503"/>
      <c r="C2142" s="13"/>
      <c r="D2142" s="13" t="s">
        <v>301</v>
      </c>
      <c r="E2142" s="13">
        <v>2</v>
      </c>
      <c r="F2142" s="109">
        <v>2</v>
      </c>
      <c r="G2142" s="504">
        <v>2</v>
      </c>
      <c r="H2142" s="504">
        <v>2</v>
      </c>
      <c r="I2142" s="504">
        <v>2</v>
      </c>
      <c r="J2142" s="504">
        <v>2</v>
      </c>
      <c r="K2142" s="504">
        <v>2</v>
      </c>
      <c r="L2142" s="504">
        <v>2</v>
      </c>
      <c r="M2142" s="504">
        <v>2</v>
      </c>
      <c r="N2142" s="504">
        <v>2</v>
      </c>
      <c r="O2142" s="110">
        <v>2</v>
      </c>
      <c r="P2142" s="109">
        <f t="shared" si="415"/>
        <v>2</v>
      </c>
      <c r="Q2142" s="504">
        <f t="shared" si="416"/>
        <v>0</v>
      </c>
      <c r="R2142" s="107">
        <f t="shared" si="417"/>
        <v>0</v>
      </c>
      <c r="S2142" s="503"/>
    </row>
    <row r="2143" spans="1:19" ht="9.75" customHeight="1">
      <c r="A2143" s="503"/>
      <c r="B2143" s="503"/>
      <c r="C2143" s="13"/>
      <c r="D2143" s="13" t="s">
        <v>36</v>
      </c>
      <c r="E2143" s="13"/>
      <c r="F2143" s="109"/>
      <c r="G2143" s="504"/>
      <c r="H2143" s="504"/>
      <c r="I2143" s="504"/>
      <c r="J2143" s="504"/>
      <c r="K2143" s="504"/>
      <c r="L2143" s="504"/>
      <c r="M2143" s="504"/>
      <c r="N2143" s="504"/>
      <c r="O2143" s="110"/>
      <c r="P2143" s="109"/>
      <c r="Q2143" s="504"/>
      <c r="R2143" s="107"/>
      <c r="S2143" s="503"/>
    </row>
    <row r="2144" spans="1:19" ht="9.75" customHeight="1">
      <c r="A2144" s="503"/>
      <c r="B2144" s="503"/>
      <c r="C2144" s="13"/>
      <c r="D2144" s="13" t="s">
        <v>37</v>
      </c>
      <c r="E2144" s="13"/>
      <c r="F2144" s="109"/>
      <c r="G2144" s="504"/>
      <c r="H2144" s="504"/>
      <c r="I2144" s="504"/>
      <c r="J2144" s="504"/>
      <c r="K2144" s="504"/>
      <c r="L2144" s="504"/>
      <c r="M2144" s="504"/>
      <c r="N2144" s="504"/>
      <c r="O2144" s="110"/>
      <c r="P2144" s="109"/>
      <c r="Q2144" s="504"/>
      <c r="R2144" s="107"/>
      <c r="S2144" s="503"/>
    </row>
    <row r="2145" spans="1:19" ht="9.75" customHeight="1">
      <c r="A2145" s="503"/>
      <c r="B2145" s="503" t="s">
        <v>127</v>
      </c>
      <c r="C2145" s="2"/>
      <c r="D2145" s="3" t="s">
        <v>38</v>
      </c>
      <c r="E2145" s="3">
        <f t="shared" ref="E2145:O2145" si="418">SUM(E2129:E2144)</f>
        <v>261</v>
      </c>
      <c r="F2145" s="21">
        <f t="shared" si="418"/>
        <v>146</v>
      </c>
      <c r="G2145" s="71">
        <f t="shared" si="418"/>
        <v>117</v>
      </c>
      <c r="H2145" s="71">
        <f t="shared" si="418"/>
        <v>73</v>
      </c>
      <c r="I2145" s="71">
        <f t="shared" si="418"/>
        <v>63</v>
      </c>
      <c r="J2145" s="71">
        <f t="shared" si="418"/>
        <v>63</v>
      </c>
      <c r="K2145" s="71">
        <f t="shared" si="418"/>
        <v>68</v>
      </c>
      <c r="L2145" s="71">
        <f t="shared" si="418"/>
        <v>69</v>
      </c>
      <c r="M2145" s="71">
        <f t="shared" si="418"/>
        <v>91</v>
      </c>
      <c r="N2145" s="71">
        <f t="shared" si="418"/>
        <v>100</v>
      </c>
      <c r="O2145" s="26">
        <f t="shared" si="418"/>
        <v>130</v>
      </c>
      <c r="P2145" s="21">
        <f>MIN(F2145:O2145)</f>
        <v>63</v>
      </c>
      <c r="Q2145" s="71">
        <f>E2145-P2145</f>
        <v>198</v>
      </c>
      <c r="R2145" s="7">
        <f>Q2145/E2145</f>
        <v>0.75862068965517238</v>
      </c>
      <c r="S2145" s="503"/>
    </row>
    <row r="2146" spans="1:19" ht="9.75" customHeight="1">
      <c r="A2146" s="503"/>
      <c r="B2146" s="503"/>
      <c r="C2146" s="43" t="s">
        <v>344</v>
      </c>
      <c r="D2146" s="43" t="s">
        <v>23</v>
      </c>
      <c r="E2146" s="43"/>
      <c r="F2146" s="116"/>
      <c r="G2146" s="128"/>
      <c r="H2146" s="128"/>
      <c r="I2146" s="128"/>
      <c r="J2146" s="128"/>
      <c r="K2146" s="128"/>
      <c r="L2146" s="128"/>
      <c r="M2146" s="128"/>
      <c r="N2146" s="128"/>
      <c r="O2146" s="129"/>
      <c r="P2146" s="116"/>
      <c r="Q2146" s="128"/>
      <c r="R2146" s="141"/>
      <c r="S2146" s="503"/>
    </row>
    <row r="2147" spans="1:19" ht="9.75" customHeight="1">
      <c r="A2147" s="503"/>
      <c r="B2147" s="503"/>
      <c r="C2147" s="13"/>
      <c r="D2147" s="13" t="s">
        <v>25</v>
      </c>
      <c r="E2147" s="13">
        <v>253</v>
      </c>
      <c r="F2147" s="109">
        <f>190-13+61</f>
        <v>238</v>
      </c>
      <c r="G2147" s="504">
        <f>E2147-75</f>
        <v>178</v>
      </c>
      <c r="H2147" s="504">
        <f>63-13+36</f>
        <v>86</v>
      </c>
      <c r="I2147" s="504">
        <f>63-23+13</f>
        <v>53</v>
      </c>
      <c r="J2147" s="504">
        <f>63-24+18</f>
        <v>57</v>
      </c>
      <c r="K2147" s="504">
        <f>63-22+26</f>
        <v>67</v>
      </c>
      <c r="L2147" s="504">
        <f>63-21+28</f>
        <v>70</v>
      </c>
      <c r="M2147" s="504">
        <f>63-21+53</f>
        <v>95</v>
      </c>
      <c r="N2147" s="504">
        <f>63-17+72</f>
        <v>118</v>
      </c>
      <c r="O2147" s="110">
        <f>E2147-15-88</f>
        <v>150</v>
      </c>
      <c r="P2147" s="109">
        <f>MIN(F2147:O2147)</f>
        <v>53</v>
      </c>
      <c r="Q2147" s="504">
        <f>E2147-P2147</f>
        <v>200</v>
      </c>
      <c r="R2147" s="107">
        <f>Q2147/E2147</f>
        <v>0.79051383399209485</v>
      </c>
      <c r="S2147" s="503"/>
    </row>
    <row r="2148" spans="1:19" ht="9.75" customHeight="1">
      <c r="A2148" s="503"/>
      <c r="B2148" s="503"/>
      <c r="C2148" s="13"/>
      <c r="D2148" s="13" t="s">
        <v>27</v>
      </c>
      <c r="E2148" s="13"/>
      <c r="F2148" s="109"/>
      <c r="G2148" s="504"/>
      <c r="H2148" s="504"/>
      <c r="I2148" s="504"/>
      <c r="J2148" s="504"/>
      <c r="K2148" s="504"/>
      <c r="L2148" s="504"/>
      <c r="M2148" s="504"/>
      <c r="N2148" s="504"/>
      <c r="O2148" s="110"/>
      <c r="P2148" s="109"/>
      <c r="Q2148" s="504"/>
      <c r="R2148" s="107"/>
      <c r="S2148" s="503"/>
    </row>
    <row r="2149" spans="1:19" ht="9.75" customHeight="1">
      <c r="A2149" s="503"/>
      <c r="B2149" s="503"/>
      <c r="C2149" s="13"/>
      <c r="D2149" s="13" t="s">
        <v>115</v>
      </c>
      <c r="E2149" s="13"/>
      <c r="F2149" s="109"/>
      <c r="G2149" s="504"/>
      <c r="H2149" s="504"/>
      <c r="I2149" s="504"/>
      <c r="J2149" s="504"/>
      <c r="K2149" s="504"/>
      <c r="L2149" s="504"/>
      <c r="M2149" s="504"/>
      <c r="N2149" s="504"/>
      <c r="O2149" s="110"/>
      <c r="P2149" s="109"/>
      <c r="Q2149" s="504"/>
      <c r="R2149" s="107"/>
      <c r="S2149" s="503"/>
    </row>
    <row r="2150" spans="1:19" ht="9.75" customHeight="1">
      <c r="A2150" s="503"/>
      <c r="B2150" s="503"/>
      <c r="C2150" s="13"/>
      <c r="D2150" s="13" t="s">
        <v>115</v>
      </c>
      <c r="E2150" s="13"/>
      <c r="F2150" s="109"/>
      <c r="G2150" s="504"/>
      <c r="H2150" s="504"/>
      <c r="I2150" s="504"/>
      <c r="J2150" s="504"/>
      <c r="K2150" s="504"/>
      <c r="L2150" s="504"/>
      <c r="M2150" s="504"/>
      <c r="N2150" s="504"/>
      <c r="O2150" s="110"/>
      <c r="P2150" s="109"/>
      <c r="Q2150" s="504"/>
      <c r="R2150" s="107"/>
      <c r="S2150" s="503"/>
    </row>
    <row r="2151" spans="1:19" ht="9.75" customHeight="1">
      <c r="A2151" s="503"/>
      <c r="B2151" s="503"/>
      <c r="C2151" s="13"/>
      <c r="D2151" s="13" t="s">
        <v>32</v>
      </c>
      <c r="E2151" s="13"/>
      <c r="F2151" s="109"/>
      <c r="G2151" s="504"/>
      <c r="H2151" s="504"/>
      <c r="I2151" s="504"/>
      <c r="J2151" s="504"/>
      <c r="K2151" s="504"/>
      <c r="L2151" s="504"/>
      <c r="M2151" s="504"/>
      <c r="N2151" s="504"/>
      <c r="O2151" s="110"/>
      <c r="P2151" s="109"/>
      <c r="Q2151" s="504"/>
      <c r="R2151" s="107"/>
      <c r="S2151" s="503"/>
    </row>
    <row r="2152" spans="1:19" ht="9.75" customHeight="1">
      <c r="A2152" s="503"/>
      <c r="B2152" s="503"/>
      <c r="C2152" s="13"/>
      <c r="D2152" s="13" t="s">
        <v>118</v>
      </c>
      <c r="E2152" s="13">
        <v>8</v>
      </c>
      <c r="F2152" s="109">
        <v>8</v>
      </c>
      <c r="G2152" s="504">
        <v>8</v>
      </c>
      <c r="H2152" s="504">
        <v>8</v>
      </c>
      <c r="I2152" s="504">
        <v>8</v>
      </c>
      <c r="J2152" s="504">
        <v>8</v>
      </c>
      <c r="K2152" s="504">
        <v>8</v>
      </c>
      <c r="L2152" s="504">
        <v>8</v>
      </c>
      <c r="M2152" s="504">
        <v>8</v>
      </c>
      <c r="N2152" s="504">
        <v>8</v>
      </c>
      <c r="O2152" s="110">
        <v>8</v>
      </c>
      <c r="P2152" s="109">
        <f>MIN(F2152:O2152)</f>
        <v>8</v>
      </c>
      <c r="Q2152" s="504">
        <f>E2152-P2152</f>
        <v>0</v>
      </c>
      <c r="R2152" s="107">
        <f>Q2152/E2152</f>
        <v>0</v>
      </c>
      <c r="S2152" s="503"/>
    </row>
    <row r="2153" spans="1:19" ht="9.75" customHeight="1">
      <c r="A2153" s="503"/>
      <c r="B2153" s="503"/>
      <c r="C2153" s="13"/>
      <c r="D2153" s="13" t="s">
        <v>120</v>
      </c>
      <c r="E2153" s="13"/>
      <c r="F2153" s="109"/>
      <c r="G2153" s="504"/>
      <c r="H2153" s="504"/>
      <c r="I2153" s="504"/>
      <c r="J2153" s="504"/>
      <c r="K2153" s="504"/>
      <c r="L2153" s="504"/>
      <c r="M2153" s="504"/>
      <c r="N2153" s="504"/>
      <c r="O2153" s="110"/>
      <c r="P2153" s="109"/>
      <c r="Q2153" s="504"/>
      <c r="R2153" s="107"/>
      <c r="S2153" s="503"/>
    </row>
    <row r="2154" spans="1:19" ht="9.75" customHeight="1">
      <c r="A2154" s="503"/>
      <c r="B2154" s="503"/>
      <c r="C2154" s="13"/>
      <c r="D2154" s="13" t="s">
        <v>120</v>
      </c>
      <c r="E2154" s="13"/>
      <c r="F2154" s="109"/>
      <c r="G2154" s="504"/>
      <c r="H2154" s="504"/>
      <c r="I2154" s="504"/>
      <c r="J2154" s="504"/>
      <c r="K2154" s="504"/>
      <c r="L2154" s="504"/>
      <c r="M2154" s="504"/>
      <c r="N2154" s="504"/>
      <c r="O2154" s="110"/>
      <c r="P2154" s="109"/>
      <c r="Q2154" s="504"/>
      <c r="R2154" s="107"/>
      <c r="S2154" s="503"/>
    </row>
    <row r="2155" spans="1:19" ht="9.75" customHeight="1">
      <c r="A2155" s="503"/>
      <c r="B2155" s="503"/>
      <c r="C2155" s="13"/>
      <c r="D2155" s="13" t="s">
        <v>120</v>
      </c>
      <c r="E2155" s="13"/>
      <c r="F2155" s="109"/>
      <c r="G2155" s="504"/>
      <c r="H2155" s="504"/>
      <c r="I2155" s="504"/>
      <c r="J2155" s="504"/>
      <c r="K2155" s="504"/>
      <c r="L2155" s="504"/>
      <c r="M2155" s="504"/>
      <c r="N2155" s="504"/>
      <c r="O2155" s="110"/>
      <c r="P2155" s="109"/>
      <c r="Q2155" s="504"/>
      <c r="R2155" s="107"/>
      <c r="S2155" s="503"/>
    </row>
    <row r="2156" spans="1:19" ht="9.75" customHeight="1">
      <c r="A2156" s="503"/>
      <c r="B2156" s="503"/>
      <c r="C2156" s="13"/>
      <c r="D2156" s="13" t="s">
        <v>120</v>
      </c>
      <c r="E2156" s="13"/>
      <c r="F2156" s="109"/>
      <c r="G2156" s="504"/>
      <c r="H2156" s="504"/>
      <c r="I2156" s="504"/>
      <c r="J2156" s="504"/>
      <c r="K2156" s="504"/>
      <c r="L2156" s="504"/>
      <c r="M2156" s="504"/>
      <c r="N2156" s="504"/>
      <c r="O2156" s="110"/>
      <c r="P2156" s="109"/>
      <c r="Q2156" s="504"/>
      <c r="R2156" s="107"/>
      <c r="S2156" s="503"/>
    </row>
    <row r="2157" spans="1:19" ht="9.75" customHeight="1">
      <c r="A2157" s="503"/>
      <c r="B2157" s="503"/>
      <c r="C2157" s="13"/>
      <c r="D2157" s="13" t="s">
        <v>120</v>
      </c>
      <c r="E2157" s="13"/>
      <c r="F2157" s="109"/>
      <c r="G2157" s="504"/>
      <c r="H2157" s="504"/>
      <c r="I2157" s="504"/>
      <c r="J2157" s="504"/>
      <c r="K2157" s="504"/>
      <c r="L2157" s="504"/>
      <c r="M2157" s="504"/>
      <c r="N2157" s="504"/>
      <c r="O2157" s="110"/>
      <c r="P2157" s="109"/>
      <c r="Q2157" s="504"/>
      <c r="R2157" s="107"/>
      <c r="S2157" s="503"/>
    </row>
    <row r="2158" spans="1:19" ht="9.75" customHeight="1">
      <c r="A2158" s="503"/>
      <c r="B2158" s="503"/>
      <c r="C2158" s="13"/>
      <c r="D2158" s="13" t="s">
        <v>34</v>
      </c>
      <c r="E2158" s="13">
        <v>5</v>
      </c>
      <c r="F2158" s="109">
        <v>5</v>
      </c>
      <c r="G2158" s="504">
        <v>5</v>
      </c>
      <c r="H2158" s="504">
        <v>5</v>
      </c>
      <c r="I2158" s="504">
        <v>5</v>
      </c>
      <c r="J2158" s="504">
        <v>5</v>
      </c>
      <c r="K2158" s="504">
        <v>5</v>
      </c>
      <c r="L2158" s="504">
        <v>5</v>
      </c>
      <c r="M2158" s="504">
        <v>5</v>
      </c>
      <c r="N2158" s="504">
        <v>5</v>
      </c>
      <c r="O2158" s="110">
        <v>5</v>
      </c>
      <c r="P2158" s="109">
        <f t="shared" ref="P2158:P2159" si="419">MIN(F2158:O2158)</f>
        <v>5</v>
      </c>
      <c r="Q2158" s="504">
        <f t="shared" ref="Q2158:Q2159" si="420">E2158-P2158</f>
        <v>0</v>
      </c>
      <c r="R2158" s="107">
        <f t="shared" ref="R2158:R2159" si="421">Q2158/E2158</f>
        <v>0</v>
      </c>
      <c r="S2158" s="503"/>
    </row>
    <row r="2159" spans="1:19" ht="9.75" customHeight="1">
      <c r="A2159" s="503"/>
      <c r="B2159" s="503"/>
      <c r="C2159" s="13"/>
      <c r="D2159" s="13" t="s">
        <v>301</v>
      </c>
      <c r="E2159" s="13">
        <v>1</v>
      </c>
      <c r="F2159" s="109">
        <v>1</v>
      </c>
      <c r="G2159" s="504">
        <v>1</v>
      </c>
      <c r="H2159" s="504">
        <v>1</v>
      </c>
      <c r="I2159" s="504">
        <v>1</v>
      </c>
      <c r="J2159" s="504">
        <v>1</v>
      </c>
      <c r="K2159" s="504">
        <v>1</v>
      </c>
      <c r="L2159" s="504">
        <v>1</v>
      </c>
      <c r="M2159" s="504">
        <v>1</v>
      </c>
      <c r="N2159" s="504">
        <v>1</v>
      </c>
      <c r="O2159" s="110">
        <v>1</v>
      </c>
      <c r="P2159" s="109">
        <f t="shared" si="419"/>
        <v>1</v>
      </c>
      <c r="Q2159" s="504">
        <f t="shared" si="420"/>
        <v>0</v>
      </c>
      <c r="R2159" s="107">
        <f t="shared" si="421"/>
        <v>0</v>
      </c>
      <c r="S2159" s="503"/>
    </row>
    <row r="2160" spans="1:19" ht="9.75" customHeight="1">
      <c r="A2160" s="503"/>
      <c r="B2160" s="503"/>
      <c r="C2160" s="13"/>
      <c r="D2160" s="13" t="s">
        <v>36</v>
      </c>
      <c r="E2160" s="13"/>
      <c r="F2160" s="109"/>
      <c r="G2160" s="504"/>
      <c r="H2160" s="504"/>
      <c r="I2160" s="504"/>
      <c r="J2160" s="504"/>
      <c r="K2160" s="504"/>
      <c r="L2160" s="504"/>
      <c r="M2160" s="504"/>
      <c r="N2160" s="504"/>
      <c r="O2160" s="110"/>
      <c r="P2160" s="109"/>
      <c r="Q2160" s="504"/>
      <c r="R2160" s="107"/>
      <c r="S2160" s="503"/>
    </row>
    <row r="2161" spans="1:19" ht="9.75" customHeight="1">
      <c r="A2161" s="503"/>
      <c r="B2161" s="503"/>
      <c r="C2161" s="13"/>
      <c r="D2161" s="13" t="s">
        <v>37</v>
      </c>
      <c r="E2161" s="13"/>
      <c r="F2161" s="109"/>
      <c r="G2161" s="504"/>
      <c r="H2161" s="504"/>
      <c r="I2161" s="504"/>
      <c r="J2161" s="504"/>
      <c r="K2161" s="504"/>
      <c r="L2161" s="504"/>
      <c r="M2161" s="504"/>
      <c r="N2161" s="504"/>
      <c r="O2161" s="110"/>
      <c r="P2161" s="109"/>
      <c r="Q2161" s="504"/>
      <c r="R2161" s="107"/>
      <c r="S2161" s="503"/>
    </row>
    <row r="2162" spans="1:19" ht="9.75" customHeight="1">
      <c r="A2162" s="503"/>
      <c r="B2162" s="503" t="s">
        <v>127</v>
      </c>
      <c r="C2162" s="2"/>
      <c r="D2162" s="3" t="s">
        <v>38</v>
      </c>
      <c r="E2162" s="8">
        <f t="shared" ref="E2162:O2162" si="422">SUM(E2146:E2161)</f>
        <v>267</v>
      </c>
      <c r="F2162" s="21">
        <f t="shared" si="422"/>
        <v>252</v>
      </c>
      <c r="G2162" s="71">
        <f t="shared" si="422"/>
        <v>192</v>
      </c>
      <c r="H2162" s="71">
        <f t="shared" si="422"/>
        <v>100</v>
      </c>
      <c r="I2162" s="71">
        <f t="shared" si="422"/>
        <v>67</v>
      </c>
      <c r="J2162" s="71">
        <f t="shared" si="422"/>
        <v>71</v>
      </c>
      <c r="K2162" s="71">
        <f t="shared" si="422"/>
        <v>81</v>
      </c>
      <c r="L2162" s="71">
        <f t="shared" si="422"/>
        <v>84</v>
      </c>
      <c r="M2162" s="71">
        <f t="shared" si="422"/>
        <v>109</v>
      </c>
      <c r="N2162" s="71">
        <f t="shared" si="422"/>
        <v>132</v>
      </c>
      <c r="O2162" s="26">
        <f t="shared" si="422"/>
        <v>164</v>
      </c>
      <c r="P2162" s="21">
        <f>MIN(F2162:O2162)</f>
        <v>67</v>
      </c>
      <c r="Q2162" s="71">
        <f>E2162-P2162</f>
        <v>200</v>
      </c>
      <c r="R2162" s="7">
        <f>Q2162/E2162</f>
        <v>0.74906367041198507</v>
      </c>
      <c r="S2162" s="503"/>
    </row>
    <row r="2163" spans="1:19" ht="9.75" customHeight="1">
      <c r="A2163" s="503"/>
      <c r="B2163" s="503"/>
      <c r="C2163" s="492" t="s">
        <v>345</v>
      </c>
      <c r="D2163" s="492" t="s">
        <v>23</v>
      </c>
      <c r="E2163" s="492"/>
      <c r="F2163" s="493"/>
      <c r="G2163" s="494"/>
      <c r="H2163" s="494"/>
      <c r="I2163" s="494"/>
      <c r="J2163" s="494"/>
      <c r="K2163" s="494"/>
      <c r="L2163" s="494"/>
      <c r="M2163" s="494"/>
      <c r="N2163" s="494"/>
      <c r="O2163" s="495"/>
      <c r="P2163" s="493"/>
      <c r="Q2163" s="494"/>
      <c r="R2163" s="496"/>
      <c r="S2163" s="503"/>
    </row>
    <row r="2164" spans="1:19" ht="9.75" customHeight="1">
      <c r="A2164" s="503"/>
      <c r="B2164" s="503"/>
      <c r="C2164" s="497"/>
      <c r="D2164" s="497" t="s">
        <v>25</v>
      </c>
      <c r="E2164" s="497">
        <v>63</v>
      </c>
      <c r="F2164" s="498"/>
      <c r="G2164" s="499"/>
      <c r="H2164" s="499"/>
      <c r="I2164" s="499"/>
      <c r="J2164" s="499"/>
      <c r="K2164" s="499"/>
      <c r="L2164" s="499"/>
      <c r="M2164" s="499"/>
      <c r="N2164" s="499"/>
      <c r="O2164" s="500"/>
      <c r="P2164" s="498">
        <f t="shared" ref="P2164:P2165" si="423">MIN(F2164:O2164)</f>
        <v>0</v>
      </c>
      <c r="Q2164" s="499">
        <f t="shared" ref="Q2164:Q2165" si="424">E2164-P2164</f>
        <v>63</v>
      </c>
      <c r="R2164" s="501">
        <f t="shared" ref="R2164:R2165" si="425">Q2164/E2164</f>
        <v>1</v>
      </c>
      <c r="S2164" s="503"/>
    </row>
    <row r="2165" spans="1:19" ht="9.75" customHeight="1">
      <c r="A2165" s="503"/>
      <c r="B2165" s="503"/>
      <c r="C2165" s="497" t="s">
        <v>346</v>
      </c>
      <c r="D2165" s="497" t="s">
        <v>27</v>
      </c>
      <c r="E2165" s="497">
        <v>257</v>
      </c>
      <c r="F2165" s="498"/>
      <c r="G2165" s="499"/>
      <c r="H2165" s="499"/>
      <c r="I2165" s="499"/>
      <c r="J2165" s="499"/>
      <c r="K2165" s="499"/>
      <c r="L2165" s="499"/>
      <c r="M2165" s="499"/>
      <c r="N2165" s="499"/>
      <c r="O2165" s="500"/>
      <c r="P2165" s="498">
        <f t="shared" si="423"/>
        <v>0</v>
      </c>
      <c r="Q2165" s="499">
        <f t="shared" si="424"/>
        <v>257</v>
      </c>
      <c r="R2165" s="501">
        <f t="shared" si="425"/>
        <v>1</v>
      </c>
      <c r="S2165" s="503"/>
    </row>
    <row r="2166" spans="1:19" ht="9.75" customHeight="1">
      <c r="A2166" s="503"/>
      <c r="B2166" s="503"/>
      <c r="C2166" s="497" t="s">
        <v>347</v>
      </c>
      <c r="D2166" s="497" t="s">
        <v>115</v>
      </c>
      <c r="E2166" s="497"/>
      <c r="F2166" s="498"/>
      <c r="G2166" s="499"/>
      <c r="H2166" s="499"/>
      <c r="I2166" s="499"/>
      <c r="J2166" s="499"/>
      <c r="K2166" s="499"/>
      <c r="L2166" s="499"/>
      <c r="M2166" s="499"/>
      <c r="N2166" s="499"/>
      <c r="O2166" s="500"/>
      <c r="P2166" s="498"/>
      <c r="Q2166" s="499"/>
      <c r="R2166" s="501"/>
      <c r="S2166" s="503"/>
    </row>
    <row r="2167" spans="1:19" ht="9.75" customHeight="1">
      <c r="A2167" s="503"/>
      <c r="B2167" s="503"/>
      <c r="C2167" s="497" t="s">
        <v>160</v>
      </c>
      <c r="D2167" s="497" t="s">
        <v>115</v>
      </c>
      <c r="E2167" s="497"/>
      <c r="F2167" s="498"/>
      <c r="G2167" s="499"/>
      <c r="H2167" s="499"/>
      <c r="I2167" s="499"/>
      <c r="J2167" s="499"/>
      <c r="K2167" s="499"/>
      <c r="L2167" s="499"/>
      <c r="M2167" s="499"/>
      <c r="N2167" s="499"/>
      <c r="O2167" s="500"/>
      <c r="P2167" s="498"/>
      <c r="Q2167" s="499"/>
      <c r="R2167" s="501"/>
      <c r="S2167" s="503"/>
    </row>
    <row r="2168" spans="1:19" ht="9.75" customHeight="1">
      <c r="A2168" s="503"/>
      <c r="B2168" s="503"/>
      <c r="C2168" s="497" t="s">
        <v>139</v>
      </c>
      <c r="D2168" s="497" t="s">
        <v>32</v>
      </c>
      <c r="E2168" s="497"/>
      <c r="F2168" s="498"/>
      <c r="G2168" s="499"/>
      <c r="H2168" s="499"/>
      <c r="I2168" s="499"/>
      <c r="J2168" s="499"/>
      <c r="K2168" s="499"/>
      <c r="L2168" s="499"/>
      <c r="M2168" s="499"/>
      <c r="N2168" s="499"/>
      <c r="O2168" s="500"/>
      <c r="P2168" s="498"/>
      <c r="Q2168" s="499"/>
      <c r="R2168" s="501"/>
      <c r="S2168" s="503"/>
    </row>
    <row r="2169" spans="1:19" ht="9.75" customHeight="1">
      <c r="A2169" s="503"/>
      <c r="B2169" s="503"/>
      <c r="C2169" s="497"/>
      <c r="D2169" s="497" t="s">
        <v>120</v>
      </c>
      <c r="E2169" s="497"/>
      <c r="F2169" s="498"/>
      <c r="G2169" s="499"/>
      <c r="H2169" s="499"/>
      <c r="I2169" s="499"/>
      <c r="J2169" s="499"/>
      <c r="K2169" s="499"/>
      <c r="L2169" s="499"/>
      <c r="M2169" s="499"/>
      <c r="N2169" s="499"/>
      <c r="O2169" s="500"/>
      <c r="P2169" s="498"/>
      <c r="Q2169" s="499"/>
      <c r="R2169" s="501"/>
      <c r="S2169" s="503"/>
    </row>
    <row r="2170" spans="1:19" ht="9.75" customHeight="1">
      <c r="A2170" s="503"/>
      <c r="B2170" s="503"/>
      <c r="C2170" s="497"/>
      <c r="D2170" s="497" t="s">
        <v>120</v>
      </c>
      <c r="E2170" s="497"/>
      <c r="F2170" s="498"/>
      <c r="G2170" s="499"/>
      <c r="H2170" s="499"/>
      <c r="I2170" s="499"/>
      <c r="J2170" s="499"/>
      <c r="K2170" s="499"/>
      <c r="L2170" s="499"/>
      <c r="M2170" s="499"/>
      <c r="N2170" s="499"/>
      <c r="O2170" s="500"/>
      <c r="P2170" s="498"/>
      <c r="Q2170" s="499"/>
      <c r="R2170" s="501"/>
      <c r="S2170" s="503"/>
    </row>
    <row r="2171" spans="1:19" ht="9.75" customHeight="1">
      <c r="A2171" s="503"/>
      <c r="B2171" s="503"/>
      <c r="C2171" s="497"/>
      <c r="D2171" s="497" t="s">
        <v>120</v>
      </c>
      <c r="E2171" s="497"/>
      <c r="F2171" s="498"/>
      <c r="G2171" s="499"/>
      <c r="H2171" s="499"/>
      <c r="I2171" s="499"/>
      <c r="J2171" s="499"/>
      <c r="K2171" s="499"/>
      <c r="L2171" s="499"/>
      <c r="M2171" s="499"/>
      <c r="N2171" s="499"/>
      <c r="O2171" s="500"/>
      <c r="P2171" s="498"/>
      <c r="Q2171" s="499"/>
      <c r="R2171" s="501"/>
      <c r="S2171" s="503"/>
    </row>
    <row r="2172" spans="1:19" ht="9.75" customHeight="1">
      <c r="A2172" s="503"/>
      <c r="B2172" s="503"/>
      <c r="C2172" s="497"/>
      <c r="D2172" s="497" t="s">
        <v>120</v>
      </c>
      <c r="E2172" s="497"/>
      <c r="F2172" s="498"/>
      <c r="G2172" s="499"/>
      <c r="H2172" s="499"/>
      <c r="I2172" s="499"/>
      <c r="J2172" s="499"/>
      <c r="K2172" s="499"/>
      <c r="L2172" s="499"/>
      <c r="M2172" s="499"/>
      <c r="N2172" s="499"/>
      <c r="O2172" s="500"/>
      <c r="P2172" s="498"/>
      <c r="Q2172" s="499"/>
      <c r="R2172" s="501"/>
      <c r="S2172" s="503"/>
    </row>
    <row r="2173" spans="1:19" ht="9.75" customHeight="1">
      <c r="A2173" s="503"/>
      <c r="B2173" s="503"/>
      <c r="C2173" s="497"/>
      <c r="D2173" s="497" t="s">
        <v>120</v>
      </c>
      <c r="E2173" s="497"/>
      <c r="F2173" s="498"/>
      <c r="G2173" s="499"/>
      <c r="H2173" s="499"/>
      <c r="I2173" s="499"/>
      <c r="J2173" s="499"/>
      <c r="K2173" s="499"/>
      <c r="L2173" s="499"/>
      <c r="M2173" s="499"/>
      <c r="N2173" s="499"/>
      <c r="O2173" s="500"/>
      <c r="P2173" s="498"/>
      <c r="Q2173" s="499"/>
      <c r="R2173" s="501"/>
      <c r="S2173" s="503"/>
    </row>
    <row r="2174" spans="1:19" ht="9.75" customHeight="1">
      <c r="A2174" s="503"/>
      <c r="B2174" s="503"/>
      <c r="C2174" s="497"/>
      <c r="D2174" s="497" t="s">
        <v>120</v>
      </c>
      <c r="E2174" s="497"/>
      <c r="F2174" s="498"/>
      <c r="G2174" s="499"/>
      <c r="H2174" s="499"/>
      <c r="I2174" s="499"/>
      <c r="J2174" s="499"/>
      <c r="K2174" s="499"/>
      <c r="L2174" s="499"/>
      <c r="M2174" s="499"/>
      <c r="N2174" s="499"/>
      <c r="O2174" s="500"/>
      <c r="P2174" s="498"/>
      <c r="Q2174" s="499"/>
      <c r="R2174" s="501"/>
      <c r="S2174" s="503"/>
    </row>
    <row r="2175" spans="1:19" ht="9.75" customHeight="1">
      <c r="A2175" s="503"/>
      <c r="B2175" s="503"/>
      <c r="C2175" s="497"/>
      <c r="D2175" s="497" t="s">
        <v>34</v>
      </c>
      <c r="E2175" s="497"/>
      <c r="F2175" s="498"/>
      <c r="G2175" s="499"/>
      <c r="H2175" s="499"/>
      <c r="I2175" s="499"/>
      <c r="J2175" s="499"/>
      <c r="K2175" s="499"/>
      <c r="L2175" s="499"/>
      <c r="M2175" s="499"/>
      <c r="N2175" s="499"/>
      <c r="O2175" s="500"/>
      <c r="P2175" s="498"/>
      <c r="Q2175" s="499"/>
      <c r="R2175" s="501"/>
      <c r="S2175" s="503"/>
    </row>
    <row r="2176" spans="1:19" ht="9.75" customHeight="1">
      <c r="A2176" s="503"/>
      <c r="B2176" s="503"/>
      <c r="C2176" s="497"/>
      <c r="D2176" s="497" t="s">
        <v>35</v>
      </c>
      <c r="E2176" s="497"/>
      <c r="F2176" s="498"/>
      <c r="G2176" s="499"/>
      <c r="H2176" s="499"/>
      <c r="I2176" s="499"/>
      <c r="J2176" s="499"/>
      <c r="K2176" s="499"/>
      <c r="L2176" s="499"/>
      <c r="M2176" s="499"/>
      <c r="N2176" s="499"/>
      <c r="O2176" s="500"/>
      <c r="P2176" s="498"/>
      <c r="Q2176" s="499"/>
      <c r="R2176" s="501"/>
      <c r="S2176" s="503"/>
    </row>
    <row r="2177" spans="1:19" ht="9.75" customHeight="1">
      <c r="A2177" s="503"/>
      <c r="B2177" s="503"/>
      <c r="C2177" s="497"/>
      <c r="D2177" s="497" t="s">
        <v>36</v>
      </c>
      <c r="E2177" s="497"/>
      <c r="F2177" s="498"/>
      <c r="G2177" s="499"/>
      <c r="H2177" s="499"/>
      <c r="I2177" s="499"/>
      <c r="J2177" s="499"/>
      <c r="K2177" s="499"/>
      <c r="L2177" s="499"/>
      <c r="M2177" s="499"/>
      <c r="N2177" s="499"/>
      <c r="O2177" s="500"/>
      <c r="P2177" s="498"/>
      <c r="Q2177" s="499"/>
      <c r="R2177" s="501"/>
      <c r="S2177" s="503"/>
    </row>
    <row r="2178" spans="1:19" ht="9.75" customHeight="1">
      <c r="A2178" s="503"/>
      <c r="B2178" s="503"/>
      <c r="C2178" s="497"/>
      <c r="D2178" s="497" t="s">
        <v>37</v>
      </c>
      <c r="E2178" s="497"/>
      <c r="F2178" s="498"/>
      <c r="G2178" s="499"/>
      <c r="H2178" s="499"/>
      <c r="I2178" s="499"/>
      <c r="J2178" s="499"/>
      <c r="K2178" s="499"/>
      <c r="L2178" s="499"/>
      <c r="M2178" s="499"/>
      <c r="N2178" s="499"/>
      <c r="O2178" s="500"/>
      <c r="P2178" s="498"/>
      <c r="Q2178" s="499"/>
      <c r="R2178" s="501"/>
      <c r="S2178" s="503"/>
    </row>
    <row r="2179" spans="1:19" ht="9.75" customHeight="1">
      <c r="A2179" s="503"/>
      <c r="B2179" s="503"/>
      <c r="C2179" s="449"/>
      <c r="D2179" s="456" t="s">
        <v>38</v>
      </c>
      <c r="E2179" s="456">
        <f t="shared" ref="E2179:O2179" si="426">SUM(E2163:E2178)</f>
        <v>320</v>
      </c>
      <c r="F2179" s="456">
        <f t="shared" si="426"/>
        <v>0</v>
      </c>
      <c r="G2179" s="457">
        <f t="shared" si="426"/>
        <v>0</v>
      </c>
      <c r="H2179" s="457">
        <f t="shared" si="426"/>
        <v>0</v>
      </c>
      <c r="I2179" s="457">
        <f t="shared" si="426"/>
        <v>0</v>
      </c>
      <c r="J2179" s="457">
        <f t="shared" si="426"/>
        <v>0</v>
      </c>
      <c r="K2179" s="457">
        <f t="shared" si="426"/>
        <v>0</v>
      </c>
      <c r="L2179" s="457">
        <f t="shared" si="426"/>
        <v>0</v>
      </c>
      <c r="M2179" s="457">
        <f t="shared" si="426"/>
        <v>0</v>
      </c>
      <c r="N2179" s="457">
        <f t="shared" si="426"/>
        <v>0</v>
      </c>
      <c r="O2179" s="458">
        <f t="shared" si="426"/>
        <v>0</v>
      </c>
      <c r="P2179" s="457">
        <f>MIN(F2179:O2179)</f>
        <v>0</v>
      </c>
      <c r="Q2179" s="457">
        <f>E2179-P2179</f>
        <v>320</v>
      </c>
      <c r="R2179" s="459">
        <f>Q2179/E2179</f>
        <v>1</v>
      </c>
      <c r="S2179" s="503"/>
    </row>
    <row r="2180" spans="1:19" ht="9.75" customHeight="1">
      <c r="A2180" s="503"/>
      <c r="B2180" s="503"/>
      <c r="C2180" s="43" t="s">
        <v>348</v>
      </c>
      <c r="D2180" s="43" t="s">
        <v>23</v>
      </c>
      <c r="E2180" s="13"/>
      <c r="F2180" s="109"/>
      <c r="G2180" s="504"/>
      <c r="H2180" s="504"/>
      <c r="I2180" s="504"/>
      <c r="J2180" s="504"/>
      <c r="K2180" s="504"/>
      <c r="L2180" s="504"/>
      <c r="M2180" s="504"/>
      <c r="N2180" s="504"/>
      <c r="O2180" s="110"/>
      <c r="P2180" s="109"/>
      <c r="Q2180" s="504"/>
      <c r="R2180" s="107"/>
      <c r="S2180" s="503"/>
    </row>
    <row r="2181" spans="1:19" ht="9.75" customHeight="1">
      <c r="A2181" s="503"/>
      <c r="B2181" s="503"/>
      <c r="C2181" s="13"/>
      <c r="D2181" s="13" t="s">
        <v>25</v>
      </c>
      <c r="E2181" s="13"/>
      <c r="F2181" s="109"/>
      <c r="G2181" s="504"/>
      <c r="H2181" s="504"/>
      <c r="I2181" s="504"/>
      <c r="J2181" s="504"/>
      <c r="K2181" s="504"/>
      <c r="L2181" s="504"/>
      <c r="M2181" s="504"/>
      <c r="N2181" s="504"/>
      <c r="O2181" s="110"/>
      <c r="P2181" s="109"/>
      <c r="Q2181" s="504"/>
      <c r="R2181" s="107"/>
      <c r="S2181" s="503"/>
    </row>
    <row r="2182" spans="1:19" ht="9.75" customHeight="1">
      <c r="A2182" s="503"/>
      <c r="B2182" s="503"/>
      <c r="C2182" s="13"/>
      <c r="D2182" s="13" t="s">
        <v>30</v>
      </c>
      <c r="E2182" s="13">
        <f>83+111+116</f>
        <v>310</v>
      </c>
      <c r="F2182" s="109">
        <f>37+56+116-33</f>
        <v>176</v>
      </c>
      <c r="G2182" s="504">
        <f>22+35+70</f>
        <v>127</v>
      </c>
      <c r="H2182" s="504">
        <f>34+10+73</f>
        <v>117</v>
      </c>
      <c r="I2182" s="504">
        <f>5+33+70</f>
        <v>108</v>
      </c>
      <c r="J2182" s="504">
        <f>11+36+85</f>
        <v>132</v>
      </c>
      <c r="K2182" s="11">
        <f>8+29+78</f>
        <v>115</v>
      </c>
      <c r="L2182" s="11">
        <f>14+32+74</f>
        <v>120</v>
      </c>
      <c r="M2182" s="11">
        <f>22+53+116-37</f>
        <v>154</v>
      </c>
      <c r="N2182" s="11">
        <f>34+54+116-28</f>
        <v>176</v>
      </c>
      <c r="O2182" s="11">
        <f>E2182-36-29-23</f>
        <v>222</v>
      </c>
      <c r="P2182" s="109">
        <f>MIN(F2182:O2182)</f>
        <v>108</v>
      </c>
      <c r="Q2182" s="504">
        <f>E2182-P2182</f>
        <v>202</v>
      </c>
      <c r="R2182" s="107">
        <f>Q2182/E2182</f>
        <v>0.65161290322580645</v>
      </c>
      <c r="S2182" s="503"/>
    </row>
    <row r="2183" spans="1:19" ht="9.75" customHeight="1">
      <c r="A2183" s="503"/>
      <c r="B2183" s="503"/>
      <c r="C2183" s="13"/>
      <c r="D2183" s="13" t="s">
        <v>27</v>
      </c>
      <c r="E2183" s="13"/>
      <c r="F2183" s="109"/>
      <c r="G2183" s="504"/>
      <c r="H2183" s="504"/>
      <c r="I2183" s="504"/>
      <c r="J2183" s="153"/>
      <c r="K2183" s="504"/>
      <c r="L2183" s="504"/>
      <c r="M2183" s="504"/>
      <c r="N2183" s="504"/>
      <c r="O2183" s="110"/>
      <c r="P2183" s="109"/>
      <c r="Q2183" s="504"/>
      <c r="R2183" s="107"/>
      <c r="S2183" s="503"/>
    </row>
    <row r="2184" spans="1:19" ht="9.75" customHeight="1">
      <c r="A2184" s="503"/>
      <c r="B2184" s="503"/>
      <c r="C2184" s="13"/>
      <c r="D2184" s="13" t="s">
        <v>115</v>
      </c>
      <c r="E2184" s="13"/>
      <c r="F2184" s="109"/>
      <c r="G2184" s="504"/>
      <c r="H2184" s="504"/>
      <c r="I2184" s="504"/>
      <c r="J2184" s="504"/>
      <c r="K2184" s="504"/>
      <c r="L2184" s="504"/>
      <c r="M2184" s="504"/>
      <c r="N2184" s="504"/>
      <c r="O2184" s="110"/>
      <c r="P2184" s="109"/>
      <c r="Q2184" s="504"/>
      <c r="R2184" s="107"/>
      <c r="S2184" s="503"/>
    </row>
    <row r="2185" spans="1:19" ht="9.75" customHeight="1">
      <c r="A2185" s="503"/>
      <c r="B2185" s="503"/>
      <c r="C2185" s="13"/>
      <c r="D2185" s="13" t="s">
        <v>115</v>
      </c>
      <c r="E2185" s="13"/>
      <c r="F2185" s="109"/>
      <c r="G2185" s="504"/>
      <c r="H2185" s="504"/>
      <c r="I2185" s="504"/>
      <c r="J2185" s="504"/>
      <c r="K2185" s="504"/>
      <c r="L2185" s="504"/>
      <c r="M2185" s="504"/>
      <c r="N2185" s="504"/>
      <c r="O2185" s="110"/>
      <c r="P2185" s="109"/>
      <c r="Q2185" s="504"/>
      <c r="R2185" s="107"/>
      <c r="S2185" s="503"/>
    </row>
    <row r="2186" spans="1:19" ht="9.75" customHeight="1">
      <c r="A2186" s="503"/>
      <c r="B2186" s="503"/>
      <c r="C2186" s="13"/>
      <c r="D2186" s="13" t="s">
        <v>233</v>
      </c>
      <c r="E2186" s="13">
        <v>8</v>
      </c>
      <c r="F2186" s="109">
        <v>6</v>
      </c>
      <c r="G2186" s="504">
        <v>6</v>
      </c>
      <c r="H2186" s="504">
        <v>5</v>
      </c>
      <c r="I2186" s="504">
        <v>5</v>
      </c>
      <c r="J2186" s="504">
        <v>5</v>
      </c>
      <c r="K2186" s="504">
        <v>5</v>
      </c>
      <c r="L2186" s="504">
        <v>5</v>
      </c>
      <c r="M2186" s="504">
        <v>5</v>
      </c>
      <c r="N2186" s="504">
        <v>5</v>
      </c>
      <c r="O2186" s="110">
        <v>5</v>
      </c>
      <c r="P2186" s="109">
        <f t="shared" ref="P2186:P2189" si="427">MIN(F2186:O2186)</f>
        <v>5</v>
      </c>
      <c r="Q2186" s="504">
        <f t="shared" ref="Q2186:Q2189" si="428">E2186-P2186</f>
        <v>3</v>
      </c>
      <c r="R2186" s="107">
        <f t="shared" ref="R2186:R2189" si="429">Q2186/E2186</f>
        <v>0.375</v>
      </c>
      <c r="S2186" s="503"/>
    </row>
    <row r="2187" spans="1:19" ht="9.75" customHeight="1">
      <c r="A2187" s="503"/>
      <c r="B2187" s="503"/>
      <c r="C2187" s="13"/>
      <c r="D2187" s="13" t="s">
        <v>349</v>
      </c>
      <c r="E2187" s="13">
        <v>2</v>
      </c>
      <c r="F2187" s="109">
        <v>2</v>
      </c>
      <c r="G2187" s="504">
        <v>2</v>
      </c>
      <c r="H2187" s="504">
        <v>2</v>
      </c>
      <c r="I2187" s="504">
        <v>2</v>
      </c>
      <c r="J2187" s="504">
        <v>2</v>
      </c>
      <c r="K2187" s="504">
        <v>2</v>
      </c>
      <c r="L2187" s="504">
        <v>2</v>
      </c>
      <c r="M2187" s="504">
        <v>2</v>
      </c>
      <c r="N2187" s="504">
        <v>2</v>
      </c>
      <c r="O2187" s="110">
        <v>2</v>
      </c>
      <c r="P2187" s="109">
        <f t="shared" si="427"/>
        <v>2</v>
      </c>
      <c r="Q2187" s="504">
        <f t="shared" si="428"/>
        <v>0</v>
      </c>
      <c r="R2187" s="107">
        <f t="shared" si="429"/>
        <v>0</v>
      </c>
      <c r="S2187" s="503"/>
    </row>
    <row r="2188" spans="1:19" ht="9.75" customHeight="1">
      <c r="A2188" s="503"/>
      <c r="B2188" s="503"/>
      <c r="C2188" s="13"/>
      <c r="D2188" s="13" t="s">
        <v>118</v>
      </c>
      <c r="E2188" s="13">
        <v>8</v>
      </c>
      <c r="F2188" s="109">
        <v>7</v>
      </c>
      <c r="G2188" s="504">
        <v>7</v>
      </c>
      <c r="H2188" s="504">
        <v>6</v>
      </c>
      <c r="I2188" s="504">
        <v>7</v>
      </c>
      <c r="J2188" s="504">
        <v>7</v>
      </c>
      <c r="K2188" s="504">
        <v>8</v>
      </c>
      <c r="L2188" s="504">
        <v>7</v>
      </c>
      <c r="M2188" s="504">
        <v>8</v>
      </c>
      <c r="N2188" s="504">
        <v>8</v>
      </c>
      <c r="O2188" s="110">
        <v>8</v>
      </c>
      <c r="P2188" s="109">
        <f t="shared" si="427"/>
        <v>6</v>
      </c>
      <c r="Q2188" s="504">
        <f t="shared" si="428"/>
        <v>2</v>
      </c>
      <c r="R2188" s="107">
        <f t="shared" si="429"/>
        <v>0.25</v>
      </c>
      <c r="S2188" s="503"/>
    </row>
    <row r="2189" spans="1:19" ht="9.75" customHeight="1">
      <c r="A2189" s="503"/>
      <c r="B2189" s="503"/>
      <c r="C2189" s="13"/>
      <c r="D2189" s="13" t="s">
        <v>350</v>
      </c>
      <c r="E2189" s="13">
        <v>17</v>
      </c>
      <c r="F2189" s="109">
        <v>13</v>
      </c>
      <c r="G2189" s="504">
        <v>11</v>
      </c>
      <c r="H2189" s="504">
        <v>10</v>
      </c>
      <c r="I2189" s="504">
        <v>11</v>
      </c>
      <c r="J2189" s="504">
        <v>9</v>
      </c>
      <c r="K2189" s="504">
        <v>12</v>
      </c>
      <c r="L2189" s="504">
        <v>9</v>
      </c>
      <c r="M2189" s="504">
        <v>11</v>
      </c>
      <c r="N2189" s="504">
        <v>12</v>
      </c>
      <c r="O2189" s="110">
        <v>10</v>
      </c>
      <c r="P2189" s="109">
        <f t="shared" si="427"/>
        <v>9</v>
      </c>
      <c r="Q2189" s="504">
        <f t="shared" si="428"/>
        <v>8</v>
      </c>
      <c r="R2189" s="107">
        <f t="shared" si="429"/>
        <v>0.47058823529411764</v>
      </c>
      <c r="S2189" s="503"/>
    </row>
    <row r="2190" spans="1:19" ht="9.75" customHeight="1">
      <c r="A2190" s="503"/>
      <c r="B2190" s="503"/>
      <c r="C2190" s="13"/>
      <c r="D2190" s="13" t="s">
        <v>191</v>
      </c>
      <c r="E2190" s="13"/>
      <c r="F2190" s="109"/>
      <c r="G2190" s="504"/>
      <c r="H2190" s="504"/>
      <c r="I2190" s="504"/>
      <c r="J2190" s="504"/>
      <c r="K2190" s="504"/>
      <c r="L2190" s="504"/>
      <c r="M2190" s="504"/>
      <c r="N2190" s="504"/>
      <c r="O2190" s="110"/>
      <c r="P2190" s="109"/>
      <c r="Q2190" s="504"/>
      <c r="R2190" s="107"/>
      <c r="S2190" s="503"/>
    </row>
    <row r="2191" spans="1:19" ht="9.75" customHeight="1">
      <c r="A2191" s="503"/>
      <c r="B2191" s="503"/>
      <c r="C2191" s="13"/>
      <c r="D2191" s="13" t="s">
        <v>191</v>
      </c>
      <c r="E2191" s="13"/>
      <c r="F2191" s="109"/>
      <c r="G2191" s="504"/>
      <c r="H2191" s="504"/>
      <c r="I2191" s="504"/>
      <c r="J2191" s="504"/>
      <c r="K2191" s="504"/>
      <c r="L2191" s="504"/>
      <c r="M2191" s="504"/>
      <c r="N2191" s="504"/>
      <c r="O2191" s="110"/>
      <c r="P2191" s="109"/>
      <c r="Q2191" s="504"/>
      <c r="R2191" s="107"/>
      <c r="S2191" s="503"/>
    </row>
    <row r="2192" spans="1:19" ht="9.75" customHeight="1">
      <c r="A2192" s="503"/>
      <c r="B2192" s="503"/>
      <c r="C2192" s="13"/>
      <c r="D2192" s="13" t="s">
        <v>120</v>
      </c>
      <c r="E2192" s="13"/>
      <c r="F2192" s="109"/>
      <c r="G2192" s="504"/>
      <c r="H2192" s="504"/>
      <c r="I2192" s="504"/>
      <c r="J2192" s="504"/>
      <c r="K2192" s="504"/>
      <c r="L2192" s="504"/>
      <c r="M2192" s="504"/>
      <c r="N2192" s="504"/>
      <c r="O2192" s="110"/>
      <c r="P2192" s="109"/>
      <c r="Q2192" s="504"/>
      <c r="R2192" s="107"/>
      <c r="S2192" s="503"/>
    </row>
    <row r="2193" spans="1:19" ht="9.75" customHeight="1">
      <c r="A2193" s="503"/>
      <c r="B2193" s="503"/>
      <c r="C2193" s="13"/>
      <c r="D2193" s="13" t="s">
        <v>34</v>
      </c>
      <c r="E2193" s="13">
        <v>11</v>
      </c>
      <c r="F2193" s="151">
        <v>11</v>
      </c>
      <c r="G2193" s="504">
        <v>6</v>
      </c>
      <c r="H2193" s="504">
        <v>7</v>
      </c>
      <c r="I2193" s="504">
        <v>9</v>
      </c>
      <c r="J2193" s="504">
        <v>8</v>
      </c>
      <c r="K2193" s="504">
        <v>8</v>
      </c>
      <c r="L2193" s="504">
        <v>8</v>
      </c>
      <c r="M2193" s="504">
        <v>7</v>
      </c>
      <c r="N2193" s="504">
        <v>8</v>
      </c>
      <c r="O2193" s="110">
        <v>11</v>
      </c>
      <c r="P2193" s="109">
        <f t="shared" ref="P2193:P2194" si="430">MIN(F2193:O2193)</f>
        <v>6</v>
      </c>
      <c r="Q2193" s="504">
        <f t="shared" ref="Q2193:Q2194" si="431">E2193-P2193</f>
        <v>5</v>
      </c>
      <c r="R2193" s="107">
        <f t="shared" ref="R2193:R2194" si="432">Q2193/E2193</f>
        <v>0.45454545454545453</v>
      </c>
      <c r="S2193" s="503"/>
    </row>
    <row r="2194" spans="1:19" ht="9.75" customHeight="1">
      <c r="A2194" s="503"/>
      <c r="B2194" s="503"/>
      <c r="C2194" s="13"/>
      <c r="D2194" s="13" t="s">
        <v>301</v>
      </c>
      <c r="E2194" s="13">
        <v>9</v>
      </c>
      <c r="F2194" s="109">
        <v>8</v>
      </c>
      <c r="G2194" s="504">
        <v>8</v>
      </c>
      <c r="H2194" s="504">
        <v>8</v>
      </c>
      <c r="I2194" s="504">
        <v>7</v>
      </c>
      <c r="J2194" s="504">
        <v>7</v>
      </c>
      <c r="K2194" s="504">
        <v>7</v>
      </c>
      <c r="L2194" s="504">
        <v>7</v>
      </c>
      <c r="M2194" s="504">
        <v>7</v>
      </c>
      <c r="N2194" s="504">
        <v>7</v>
      </c>
      <c r="O2194" s="110">
        <v>7</v>
      </c>
      <c r="P2194" s="109">
        <f t="shared" si="430"/>
        <v>7</v>
      </c>
      <c r="Q2194" s="504">
        <f t="shared" si="431"/>
        <v>2</v>
      </c>
      <c r="R2194" s="107">
        <f t="shared" si="432"/>
        <v>0.22222222222222221</v>
      </c>
      <c r="S2194" s="503"/>
    </row>
    <row r="2195" spans="1:19" ht="9.75" customHeight="1">
      <c r="A2195" s="503"/>
      <c r="B2195" s="503"/>
      <c r="C2195" s="13"/>
      <c r="D2195" s="13" t="s">
        <v>36</v>
      </c>
      <c r="E2195" s="13"/>
      <c r="F2195" s="109"/>
      <c r="G2195" s="504"/>
      <c r="H2195" s="504"/>
      <c r="I2195" s="504"/>
      <c r="J2195" s="504"/>
      <c r="K2195" s="504"/>
      <c r="L2195" s="504"/>
      <c r="M2195" s="504"/>
      <c r="N2195" s="504"/>
      <c r="O2195" s="110"/>
      <c r="P2195" s="109"/>
      <c r="Q2195" s="504"/>
      <c r="R2195" s="107"/>
      <c r="S2195" s="503"/>
    </row>
    <row r="2196" spans="1:19" ht="9.75" customHeight="1">
      <c r="A2196" s="503"/>
      <c r="B2196" s="503"/>
      <c r="C2196" s="13"/>
      <c r="D2196" s="13" t="s">
        <v>37</v>
      </c>
      <c r="E2196" s="13">
        <v>2</v>
      </c>
      <c r="F2196" s="109">
        <v>1</v>
      </c>
      <c r="G2196" s="504">
        <v>1</v>
      </c>
      <c r="H2196" s="504">
        <v>0</v>
      </c>
      <c r="I2196" s="504">
        <v>2</v>
      </c>
      <c r="J2196" s="504">
        <v>2</v>
      </c>
      <c r="K2196" s="504">
        <v>2</v>
      </c>
      <c r="L2196" s="504">
        <v>1</v>
      </c>
      <c r="M2196" s="504">
        <v>1</v>
      </c>
      <c r="N2196" s="504">
        <v>1</v>
      </c>
      <c r="O2196" s="110">
        <v>0</v>
      </c>
      <c r="P2196" s="109">
        <f t="shared" ref="P2196:P2197" si="433">MIN(F2196:O2196)</f>
        <v>0</v>
      </c>
      <c r="Q2196" s="504">
        <f t="shared" ref="Q2196:Q2197" si="434">E2196-P2196</f>
        <v>2</v>
      </c>
      <c r="R2196" s="107">
        <f t="shared" ref="R2196:R2197" si="435">Q2196/E2196</f>
        <v>1</v>
      </c>
      <c r="S2196" s="503"/>
    </row>
    <row r="2197" spans="1:19" ht="9.75" customHeight="1">
      <c r="A2197" s="503"/>
      <c r="B2197" s="503" t="s">
        <v>127</v>
      </c>
      <c r="C2197" s="2"/>
      <c r="D2197" s="21" t="s">
        <v>38</v>
      </c>
      <c r="E2197" s="21">
        <f t="shared" ref="E2197:O2197" si="436">SUM(E2180:E2196)</f>
        <v>367</v>
      </c>
      <c r="F2197" s="21">
        <f t="shared" si="436"/>
        <v>224</v>
      </c>
      <c r="G2197" s="71">
        <f t="shared" si="436"/>
        <v>168</v>
      </c>
      <c r="H2197" s="71">
        <f t="shared" si="436"/>
        <v>155</v>
      </c>
      <c r="I2197" s="71">
        <f t="shared" si="436"/>
        <v>151</v>
      </c>
      <c r="J2197" s="71">
        <f t="shared" si="436"/>
        <v>172</v>
      </c>
      <c r="K2197" s="71">
        <f t="shared" si="436"/>
        <v>159</v>
      </c>
      <c r="L2197" s="71">
        <f t="shared" si="436"/>
        <v>159</v>
      </c>
      <c r="M2197" s="71">
        <f t="shared" si="436"/>
        <v>195</v>
      </c>
      <c r="N2197" s="71">
        <f t="shared" si="436"/>
        <v>219</v>
      </c>
      <c r="O2197" s="26">
        <f t="shared" si="436"/>
        <v>265</v>
      </c>
      <c r="P2197" s="71">
        <f t="shared" si="433"/>
        <v>151</v>
      </c>
      <c r="Q2197" s="71">
        <f t="shared" si="434"/>
        <v>216</v>
      </c>
      <c r="R2197" s="7">
        <f t="shared" si="435"/>
        <v>0.58855585831062673</v>
      </c>
      <c r="S2197" s="503"/>
    </row>
    <row r="2198" spans="1:19" ht="9.75" customHeight="1">
      <c r="A2198" s="503"/>
      <c r="B2198" s="503"/>
      <c r="C2198" s="43" t="s">
        <v>351</v>
      </c>
      <c r="D2198" s="43" t="s">
        <v>23</v>
      </c>
      <c r="E2198" s="13"/>
      <c r="F2198" s="109"/>
      <c r="G2198" s="504"/>
      <c r="H2198" s="504"/>
      <c r="I2198" s="504"/>
      <c r="J2198" s="504"/>
      <c r="K2198" s="504"/>
      <c r="L2198" s="504"/>
      <c r="M2198" s="504"/>
      <c r="N2198" s="504"/>
      <c r="O2198" s="110"/>
      <c r="P2198" s="116"/>
      <c r="Q2198" s="128"/>
      <c r="R2198" s="141"/>
      <c r="S2198" s="503"/>
    </row>
    <row r="2199" spans="1:19" ht="9.75" customHeight="1">
      <c r="A2199" s="503"/>
      <c r="B2199" s="503"/>
      <c r="C2199" s="13"/>
      <c r="D2199" s="13" t="s">
        <v>25</v>
      </c>
      <c r="E2199" s="13"/>
      <c r="F2199" s="109"/>
      <c r="G2199" s="504"/>
      <c r="H2199" s="504"/>
      <c r="I2199" s="504"/>
      <c r="J2199" s="504"/>
      <c r="K2199" s="504"/>
      <c r="L2199" s="504"/>
      <c r="M2199" s="504"/>
      <c r="N2199" s="504"/>
      <c r="O2199" s="110"/>
      <c r="P2199" s="109"/>
      <c r="Q2199" s="504"/>
      <c r="R2199" s="107"/>
      <c r="S2199" s="503"/>
    </row>
    <row r="2200" spans="1:19" ht="9.75" customHeight="1">
      <c r="A2200" s="503"/>
      <c r="B2200" s="503"/>
      <c r="C2200" s="45" t="s">
        <v>352</v>
      </c>
      <c r="D2200" s="45" t="s">
        <v>30</v>
      </c>
      <c r="E2200" s="45">
        <v>326</v>
      </c>
      <c r="F2200" s="109">
        <f>E2200-28-11</f>
        <v>287</v>
      </c>
      <c r="G2200" s="504">
        <f>E2200-33-14</f>
        <v>279</v>
      </c>
      <c r="H2200" s="504">
        <f>E2200-43-16</f>
        <v>267</v>
      </c>
      <c r="I2200" s="504">
        <f>E2200-40-11</f>
        <v>275</v>
      </c>
      <c r="J2200" s="504">
        <f>E2200-53-19</f>
        <v>254</v>
      </c>
      <c r="K2200" s="504">
        <f>E2200-35-19</f>
        <v>272</v>
      </c>
      <c r="L2200" s="504">
        <f>E2200-38-18</f>
        <v>270</v>
      </c>
      <c r="M2200" s="504">
        <f>E2200-33-14</f>
        <v>279</v>
      </c>
      <c r="N2200" s="504">
        <f>E2200-33-12</f>
        <v>281</v>
      </c>
      <c r="O2200" s="110">
        <f>E2200-25-8</f>
        <v>293</v>
      </c>
      <c r="P2200" s="109">
        <f>MIN(F2200:O2200)</f>
        <v>254</v>
      </c>
      <c r="Q2200" s="504">
        <f>E2200-P2200</f>
        <v>72</v>
      </c>
      <c r="R2200" s="107">
        <f>Q2200/E2200</f>
        <v>0.22085889570552147</v>
      </c>
      <c r="S2200" s="503"/>
    </row>
    <row r="2201" spans="1:19" ht="9.75" customHeight="1">
      <c r="A2201" s="503"/>
      <c r="B2201" s="503"/>
      <c r="C2201" s="45" t="s">
        <v>353</v>
      </c>
      <c r="D2201" s="13" t="s">
        <v>115</v>
      </c>
      <c r="E2201" s="13"/>
      <c r="F2201" s="109"/>
      <c r="G2201" s="504"/>
      <c r="H2201" s="504"/>
      <c r="I2201" s="504"/>
      <c r="J2201" s="504"/>
      <c r="K2201" s="504"/>
      <c r="L2201" s="504"/>
      <c r="M2201" s="504"/>
      <c r="N2201" s="504"/>
      <c r="O2201" s="110"/>
      <c r="P2201" s="109"/>
      <c r="Q2201" s="504"/>
      <c r="R2201" s="107"/>
      <c r="S2201" s="503"/>
    </row>
    <row r="2202" spans="1:19" ht="9.75" customHeight="1">
      <c r="A2202" s="503"/>
      <c r="B2202" s="503"/>
      <c r="C2202" s="45" t="s">
        <v>354</v>
      </c>
      <c r="D2202" s="13" t="s">
        <v>115</v>
      </c>
      <c r="E2202" s="13"/>
      <c r="F2202" s="109"/>
      <c r="G2202" s="504"/>
      <c r="H2202" s="504"/>
      <c r="I2202" s="504"/>
      <c r="J2202" s="504"/>
      <c r="K2202" s="504"/>
      <c r="L2202" s="504"/>
      <c r="M2202" s="504"/>
      <c r="N2202" s="504"/>
      <c r="O2202" s="110"/>
      <c r="P2202" s="109"/>
      <c r="Q2202" s="504"/>
      <c r="R2202" s="107"/>
      <c r="S2202" s="503"/>
    </row>
    <row r="2203" spans="1:19" ht="9.75" customHeight="1">
      <c r="A2203" s="503"/>
      <c r="B2203" s="503"/>
      <c r="C2203" s="13"/>
      <c r="D2203" s="13" t="s">
        <v>32</v>
      </c>
      <c r="E2203" s="13"/>
      <c r="F2203" s="109"/>
      <c r="G2203" s="504"/>
      <c r="H2203" s="504"/>
      <c r="I2203" s="504"/>
      <c r="J2203" s="504"/>
      <c r="K2203" s="504"/>
      <c r="L2203" s="504"/>
      <c r="M2203" s="504"/>
      <c r="N2203" s="504"/>
      <c r="O2203" s="110"/>
      <c r="P2203" s="109"/>
      <c r="Q2203" s="504"/>
      <c r="R2203" s="107"/>
      <c r="S2203" s="503"/>
    </row>
    <row r="2204" spans="1:19" ht="9.75" customHeight="1">
      <c r="A2204" s="503"/>
      <c r="B2204" s="503"/>
      <c r="C2204" s="13"/>
      <c r="D2204" s="13" t="s">
        <v>120</v>
      </c>
      <c r="E2204" s="13"/>
      <c r="F2204" s="109"/>
      <c r="G2204" s="504"/>
      <c r="H2204" s="504"/>
      <c r="I2204" s="504"/>
      <c r="J2204" s="504"/>
      <c r="K2204" s="504"/>
      <c r="L2204" s="504"/>
      <c r="M2204" s="504"/>
      <c r="N2204" s="504"/>
      <c r="O2204" s="110"/>
      <c r="P2204" s="109"/>
      <c r="Q2204" s="504"/>
      <c r="R2204" s="107"/>
      <c r="S2204" s="503"/>
    </row>
    <row r="2205" spans="1:19" ht="9.75" customHeight="1">
      <c r="A2205" s="503"/>
      <c r="B2205" s="503"/>
      <c r="C2205" s="13"/>
      <c r="D2205" s="13" t="s">
        <v>120</v>
      </c>
      <c r="E2205" s="13"/>
      <c r="F2205" s="109"/>
      <c r="G2205" s="504"/>
      <c r="H2205" s="504"/>
      <c r="I2205" s="504"/>
      <c r="J2205" s="504"/>
      <c r="K2205" s="504"/>
      <c r="L2205" s="504"/>
      <c r="M2205" s="504"/>
      <c r="N2205" s="504"/>
      <c r="O2205" s="110"/>
      <c r="P2205" s="109"/>
      <c r="Q2205" s="504"/>
      <c r="R2205" s="107"/>
      <c r="S2205" s="503"/>
    </row>
    <row r="2206" spans="1:19" ht="9.75" customHeight="1">
      <c r="A2206" s="503"/>
      <c r="B2206" s="503"/>
      <c r="C2206" s="13"/>
      <c r="D2206" s="13" t="s">
        <v>120</v>
      </c>
      <c r="E2206" s="13"/>
      <c r="F2206" s="109"/>
      <c r="G2206" s="504"/>
      <c r="H2206" s="504"/>
      <c r="I2206" s="504"/>
      <c r="J2206" s="504"/>
      <c r="K2206" s="504"/>
      <c r="L2206" s="504"/>
      <c r="M2206" s="504"/>
      <c r="N2206" s="504"/>
      <c r="O2206" s="110"/>
      <c r="P2206" s="109"/>
      <c r="Q2206" s="504"/>
      <c r="R2206" s="107"/>
      <c r="S2206" s="503"/>
    </row>
    <row r="2207" spans="1:19" ht="9.75" customHeight="1">
      <c r="A2207" s="503"/>
      <c r="B2207" s="503"/>
      <c r="C2207" s="13"/>
      <c r="D2207" s="13" t="s">
        <v>120</v>
      </c>
      <c r="E2207" s="13"/>
      <c r="F2207" s="109"/>
      <c r="G2207" s="504"/>
      <c r="H2207" s="504"/>
      <c r="I2207" s="504"/>
      <c r="J2207" s="504"/>
      <c r="K2207" s="504"/>
      <c r="L2207" s="504"/>
      <c r="M2207" s="504"/>
      <c r="N2207" s="504"/>
      <c r="O2207" s="110"/>
      <c r="P2207" s="109"/>
      <c r="Q2207" s="504"/>
      <c r="R2207" s="107"/>
      <c r="S2207" s="503"/>
    </row>
    <row r="2208" spans="1:19" ht="9.75" customHeight="1">
      <c r="A2208" s="503"/>
      <c r="B2208" s="503"/>
      <c r="C2208" s="13"/>
      <c r="D2208" s="13" t="s">
        <v>120</v>
      </c>
      <c r="E2208" s="13"/>
      <c r="F2208" s="109"/>
      <c r="G2208" s="504"/>
      <c r="H2208" s="504"/>
      <c r="I2208" s="504"/>
      <c r="J2208" s="504"/>
      <c r="K2208" s="504"/>
      <c r="L2208" s="504"/>
      <c r="M2208" s="504"/>
      <c r="N2208" s="504"/>
      <c r="O2208" s="110"/>
      <c r="P2208" s="109"/>
      <c r="Q2208" s="504"/>
      <c r="R2208" s="107"/>
      <c r="S2208" s="503"/>
    </row>
    <row r="2209" spans="1:19" ht="9.75" customHeight="1">
      <c r="A2209" s="503"/>
      <c r="B2209" s="503"/>
      <c r="C2209" s="13"/>
      <c r="D2209" s="13" t="s">
        <v>120</v>
      </c>
      <c r="E2209" s="13"/>
      <c r="F2209" s="109"/>
      <c r="G2209" s="504"/>
      <c r="H2209" s="504"/>
      <c r="I2209" s="504"/>
      <c r="J2209" s="504"/>
      <c r="K2209" s="504"/>
      <c r="L2209" s="504"/>
      <c r="M2209" s="504"/>
      <c r="N2209" s="504"/>
      <c r="O2209" s="110"/>
      <c r="P2209" s="109"/>
      <c r="Q2209" s="504"/>
      <c r="R2209" s="107"/>
      <c r="S2209" s="503"/>
    </row>
    <row r="2210" spans="1:19" ht="9.75" customHeight="1">
      <c r="A2210" s="503"/>
      <c r="B2210" s="503"/>
      <c r="C2210" s="13"/>
      <c r="D2210" s="13" t="s">
        <v>34</v>
      </c>
      <c r="E2210" s="13"/>
      <c r="F2210" s="109"/>
      <c r="G2210" s="504"/>
      <c r="H2210" s="504"/>
      <c r="I2210" s="504"/>
      <c r="J2210" s="504"/>
      <c r="K2210" s="504"/>
      <c r="L2210" s="504"/>
      <c r="M2210" s="504"/>
      <c r="N2210" s="504"/>
      <c r="O2210" s="110"/>
      <c r="P2210" s="109"/>
      <c r="Q2210" s="504"/>
      <c r="R2210" s="107"/>
      <c r="S2210" s="503"/>
    </row>
    <row r="2211" spans="1:19" ht="9.75" customHeight="1">
      <c r="A2211" s="503"/>
      <c r="B2211" s="503"/>
      <c r="C2211" s="13"/>
      <c r="D2211" s="13" t="s">
        <v>35</v>
      </c>
      <c r="E2211" s="13"/>
      <c r="F2211" s="109"/>
      <c r="G2211" s="504"/>
      <c r="H2211" s="504"/>
      <c r="I2211" s="504"/>
      <c r="J2211" s="504"/>
      <c r="K2211" s="504"/>
      <c r="L2211" s="504"/>
      <c r="M2211" s="504"/>
      <c r="N2211" s="504"/>
      <c r="O2211" s="110"/>
      <c r="P2211" s="109"/>
      <c r="Q2211" s="504"/>
      <c r="R2211" s="107"/>
      <c r="S2211" s="503"/>
    </row>
    <row r="2212" spans="1:19" ht="9.75" customHeight="1">
      <c r="A2212" s="503"/>
      <c r="B2212" s="503"/>
      <c r="C2212" s="13"/>
      <c r="D2212" s="13" t="s">
        <v>36</v>
      </c>
      <c r="E2212" s="13"/>
      <c r="F2212" s="109"/>
      <c r="G2212" s="504"/>
      <c r="H2212" s="504"/>
      <c r="I2212" s="504"/>
      <c r="J2212" s="504"/>
      <c r="K2212" s="504"/>
      <c r="L2212" s="504"/>
      <c r="M2212" s="504"/>
      <c r="N2212" s="504"/>
      <c r="O2212" s="110"/>
      <c r="P2212" s="109"/>
      <c r="Q2212" s="504"/>
      <c r="R2212" s="107"/>
      <c r="S2212" s="503"/>
    </row>
    <row r="2213" spans="1:19" ht="9.75" customHeight="1">
      <c r="A2213" s="503"/>
      <c r="B2213" s="503"/>
      <c r="C2213" s="13"/>
      <c r="D2213" s="13" t="s">
        <v>37</v>
      </c>
      <c r="E2213" s="13"/>
      <c r="F2213" s="109"/>
      <c r="G2213" s="504"/>
      <c r="H2213" s="504"/>
      <c r="I2213" s="504"/>
      <c r="J2213" s="504"/>
      <c r="K2213" s="504"/>
      <c r="L2213" s="504"/>
      <c r="M2213" s="504"/>
      <c r="N2213" s="504"/>
      <c r="O2213" s="110"/>
      <c r="P2213" s="109"/>
      <c r="Q2213" s="504"/>
      <c r="R2213" s="107"/>
      <c r="S2213" s="503"/>
    </row>
    <row r="2214" spans="1:19" ht="9.75" customHeight="1">
      <c r="A2214" s="503"/>
      <c r="B2214" s="503" t="s">
        <v>127</v>
      </c>
      <c r="C2214" s="2"/>
      <c r="D2214" s="21" t="s">
        <v>38</v>
      </c>
      <c r="E2214" s="21">
        <f t="shared" ref="E2214:O2214" si="437">SUM(E2198:E2213)</f>
        <v>326</v>
      </c>
      <c r="F2214" s="21">
        <f t="shared" si="437"/>
        <v>287</v>
      </c>
      <c r="G2214" s="71">
        <f t="shared" si="437"/>
        <v>279</v>
      </c>
      <c r="H2214" s="71">
        <f t="shared" si="437"/>
        <v>267</v>
      </c>
      <c r="I2214" s="71">
        <f t="shared" si="437"/>
        <v>275</v>
      </c>
      <c r="J2214" s="71">
        <f t="shared" si="437"/>
        <v>254</v>
      </c>
      <c r="K2214" s="71">
        <f t="shared" si="437"/>
        <v>272</v>
      </c>
      <c r="L2214" s="71">
        <f t="shared" si="437"/>
        <v>270</v>
      </c>
      <c r="M2214" s="71">
        <f t="shared" si="437"/>
        <v>279</v>
      </c>
      <c r="N2214" s="71">
        <f t="shared" si="437"/>
        <v>281</v>
      </c>
      <c r="O2214" s="26">
        <f t="shared" si="437"/>
        <v>293</v>
      </c>
      <c r="P2214" s="71">
        <f>MIN(F2214:O2214)</f>
        <v>254</v>
      </c>
      <c r="Q2214" s="71">
        <f>E2214-P2214</f>
        <v>72</v>
      </c>
      <c r="R2214" s="7">
        <f>Q2214/E2214</f>
        <v>0.22085889570552147</v>
      </c>
      <c r="S2214" s="503"/>
    </row>
    <row r="2215" spans="1:19" ht="9.75" customHeight="1">
      <c r="A2215" s="503"/>
      <c r="B2215" s="503"/>
      <c r="C2215" s="43" t="s">
        <v>355</v>
      </c>
      <c r="D2215" s="43" t="s">
        <v>23</v>
      </c>
      <c r="E2215" s="13"/>
      <c r="F2215" s="109"/>
      <c r="G2215" s="504"/>
      <c r="H2215" s="504"/>
      <c r="I2215" s="504"/>
      <c r="J2215" s="504"/>
      <c r="K2215" s="504"/>
      <c r="L2215" s="504"/>
      <c r="M2215" s="504"/>
      <c r="N2215" s="504"/>
      <c r="O2215" s="110"/>
      <c r="P2215" s="116"/>
      <c r="Q2215" s="128"/>
      <c r="R2215" s="141"/>
      <c r="S2215" s="503"/>
    </row>
    <row r="2216" spans="1:19" ht="9.75" customHeight="1">
      <c r="A2216" s="503"/>
      <c r="B2216" s="503"/>
      <c r="C2216" s="13"/>
      <c r="D2216" s="13" t="s">
        <v>25</v>
      </c>
      <c r="E2216" s="13"/>
      <c r="F2216" s="109"/>
      <c r="G2216" s="504"/>
      <c r="H2216" s="504"/>
      <c r="I2216" s="504"/>
      <c r="J2216" s="504"/>
      <c r="K2216" s="504"/>
      <c r="L2216" s="504"/>
      <c r="M2216" s="504"/>
      <c r="N2216" s="504"/>
      <c r="O2216" s="110"/>
      <c r="P2216" s="109"/>
      <c r="Q2216" s="504"/>
      <c r="R2216" s="107"/>
      <c r="S2216" s="503"/>
    </row>
    <row r="2217" spans="1:19" ht="9.75" customHeight="1">
      <c r="A2217" s="503"/>
      <c r="B2217" s="503"/>
      <c r="C2217" s="45" t="s">
        <v>66</v>
      </c>
      <c r="D2217" s="45" t="s">
        <v>30</v>
      </c>
      <c r="E2217" s="45">
        <v>140</v>
      </c>
      <c r="F2217" s="121">
        <v>0</v>
      </c>
      <c r="G2217" s="11">
        <v>0</v>
      </c>
      <c r="H2217" s="11">
        <v>0</v>
      </c>
      <c r="I2217" s="11">
        <v>0</v>
      </c>
      <c r="J2217" s="11">
        <v>0</v>
      </c>
      <c r="K2217" s="91">
        <v>0</v>
      </c>
      <c r="L2217" s="504">
        <v>0</v>
      </c>
      <c r="M2217" s="504">
        <v>0</v>
      </c>
      <c r="N2217" s="504">
        <v>0</v>
      </c>
      <c r="O2217" s="110">
        <v>0</v>
      </c>
      <c r="P2217" s="103">
        <f>MIN(F2217:O2217)</f>
        <v>0</v>
      </c>
      <c r="Q2217" s="91">
        <f>E2217-P2217</f>
        <v>140</v>
      </c>
      <c r="R2217" s="107">
        <f>Q2217/E2217</f>
        <v>1</v>
      </c>
      <c r="S2217" s="503"/>
    </row>
    <row r="2218" spans="1:19" ht="9.75" customHeight="1">
      <c r="A2218" s="503"/>
      <c r="B2218" s="503"/>
      <c r="C2218" s="402"/>
      <c r="D2218" s="13" t="s">
        <v>115</v>
      </c>
      <c r="E2218" s="13"/>
      <c r="F2218" s="109"/>
      <c r="G2218" s="504"/>
      <c r="H2218" s="504"/>
      <c r="I2218" s="504"/>
      <c r="J2218" s="504"/>
      <c r="K2218" s="91"/>
      <c r="L2218" s="91"/>
      <c r="M2218" s="91"/>
      <c r="N2218" s="91"/>
      <c r="O2218" s="91"/>
      <c r="P2218" s="109"/>
      <c r="Q2218" s="504"/>
      <c r="R2218" s="107"/>
      <c r="S2218" s="503"/>
    </row>
    <row r="2219" spans="1:19" ht="9.75" customHeight="1">
      <c r="A2219" s="503"/>
      <c r="B2219" s="503"/>
      <c r="C2219" s="402"/>
      <c r="D2219" s="13" t="s">
        <v>115</v>
      </c>
      <c r="E2219" s="13"/>
      <c r="F2219" s="109"/>
      <c r="G2219" s="504"/>
      <c r="H2219" s="504"/>
      <c r="I2219" s="504"/>
      <c r="J2219" s="504"/>
      <c r="K2219" s="504"/>
      <c r="L2219" s="504"/>
      <c r="M2219" s="504"/>
      <c r="N2219" s="504"/>
      <c r="O2219" s="110"/>
      <c r="P2219" s="109"/>
      <c r="Q2219" s="504"/>
      <c r="R2219" s="107"/>
      <c r="S2219" s="503"/>
    </row>
    <row r="2220" spans="1:19" ht="9.75" customHeight="1">
      <c r="A2220" s="503"/>
      <c r="B2220" s="503"/>
      <c r="C2220" s="402"/>
      <c r="D2220" s="13" t="s">
        <v>32</v>
      </c>
      <c r="E2220" s="13"/>
      <c r="F2220" s="109"/>
      <c r="G2220" s="504"/>
      <c r="H2220" s="504"/>
      <c r="I2220" s="504"/>
      <c r="J2220" s="504"/>
      <c r="K2220" s="504"/>
      <c r="L2220" s="504"/>
      <c r="M2220" s="504"/>
      <c r="N2220" s="504"/>
      <c r="O2220" s="110"/>
      <c r="P2220" s="109"/>
      <c r="Q2220" s="504"/>
      <c r="R2220" s="107"/>
      <c r="S2220" s="503"/>
    </row>
    <row r="2221" spans="1:19" ht="9.75" customHeight="1">
      <c r="A2221" s="503"/>
      <c r="B2221" s="503"/>
      <c r="C2221" s="402"/>
      <c r="D2221" s="13" t="s">
        <v>120</v>
      </c>
      <c r="E2221" s="13"/>
      <c r="F2221" s="109"/>
      <c r="G2221" s="504"/>
      <c r="H2221" s="504"/>
      <c r="I2221" s="504"/>
      <c r="J2221" s="504"/>
      <c r="K2221" s="91"/>
      <c r="L2221" s="504"/>
      <c r="M2221" s="504"/>
      <c r="N2221" s="504"/>
      <c r="O2221" s="110"/>
      <c r="P2221" s="109"/>
      <c r="Q2221" s="504"/>
      <c r="R2221" s="107"/>
      <c r="S2221" s="503"/>
    </row>
    <row r="2222" spans="1:19" ht="9.75" customHeight="1">
      <c r="A2222" s="503"/>
      <c r="B2222" s="503"/>
      <c r="C2222" s="402"/>
      <c r="D2222" s="13" t="s">
        <v>120</v>
      </c>
      <c r="E2222" s="13"/>
      <c r="F2222" s="109"/>
      <c r="G2222" s="504"/>
      <c r="H2222" s="504"/>
      <c r="I2222" s="504"/>
      <c r="J2222" s="504"/>
      <c r="K2222" s="504"/>
      <c r="L2222" s="504"/>
      <c r="M2222" s="504"/>
      <c r="N2222" s="504"/>
      <c r="O2222" s="110"/>
      <c r="P2222" s="109"/>
      <c r="Q2222" s="504"/>
      <c r="R2222" s="107"/>
      <c r="S2222" s="503"/>
    </row>
    <row r="2223" spans="1:19" ht="9.75" customHeight="1">
      <c r="A2223" s="503"/>
      <c r="B2223" s="503"/>
      <c r="C2223" s="13"/>
      <c r="D2223" s="13" t="s">
        <v>120</v>
      </c>
      <c r="E2223" s="13"/>
      <c r="F2223" s="109"/>
      <c r="G2223" s="504"/>
      <c r="H2223" s="504"/>
      <c r="I2223" s="504"/>
      <c r="J2223" s="504"/>
      <c r="K2223" s="504"/>
      <c r="L2223" s="504"/>
      <c r="M2223" s="504"/>
      <c r="N2223" s="504"/>
      <c r="O2223" s="110"/>
      <c r="P2223" s="109"/>
      <c r="Q2223" s="504"/>
      <c r="R2223" s="107"/>
      <c r="S2223" s="503"/>
    </row>
    <row r="2224" spans="1:19" ht="9.75" customHeight="1">
      <c r="A2224" s="503"/>
      <c r="B2224" s="503"/>
      <c r="C2224" s="13"/>
      <c r="D2224" s="13" t="s">
        <v>120</v>
      </c>
      <c r="E2224" s="13"/>
      <c r="F2224" s="109"/>
      <c r="G2224" s="504"/>
      <c r="H2224" s="504"/>
      <c r="I2224" s="504"/>
      <c r="J2224" s="504"/>
      <c r="K2224" s="504"/>
      <c r="L2224" s="504"/>
      <c r="M2224" s="504"/>
      <c r="N2224" s="504"/>
      <c r="O2224" s="110"/>
      <c r="P2224" s="109"/>
      <c r="Q2224" s="504"/>
      <c r="R2224" s="107"/>
      <c r="S2224" s="503"/>
    </row>
    <row r="2225" spans="1:19" ht="9.75" customHeight="1">
      <c r="A2225" s="503"/>
      <c r="B2225" s="503"/>
      <c r="C2225" s="13"/>
      <c r="D2225" s="13" t="s">
        <v>120</v>
      </c>
      <c r="E2225" s="13"/>
      <c r="F2225" s="109"/>
      <c r="G2225" s="504"/>
      <c r="H2225" s="504"/>
      <c r="I2225" s="504"/>
      <c r="J2225" s="504"/>
      <c r="K2225" s="504"/>
      <c r="L2225" s="504"/>
      <c r="M2225" s="504"/>
      <c r="N2225" s="504"/>
      <c r="O2225" s="110"/>
      <c r="P2225" s="109"/>
      <c r="Q2225" s="504"/>
      <c r="R2225" s="107"/>
      <c r="S2225" s="503"/>
    </row>
    <row r="2226" spans="1:19" ht="9.75" customHeight="1">
      <c r="A2226" s="503"/>
      <c r="B2226" s="503"/>
      <c r="C2226" s="13"/>
      <c r="D2226" s="13" t="s">
        <v>120</v>
      </c>
      <c r="E2226" s="13"/>
      <c r="F2226" s="109"/>
      <c r="G2226" s="504"/>
      <c r="H2226" s="504"/>
      <c r="I2226" s="504"/>
      <c r="J2226" s="504"/>
      <c r="K2226" s="504"/>
      <c r="L2226" s="504"/>
      <c r="M2226" s="504"/>
      <c r="N2226" s="504"/>
      <c r="O2226" s="110"/>
      <c r="P2226" s="109"/>
      <c r="Q2226" s="504"/>
      <c r="R2226" s="107"/>
      <c r="S2226" s="503"/>
    </row>
    <row r="2227" spans="1:19" ht="9.75" customHeight="1">
      <c r="A2227" s="503"/>
      <c r="B2227" s="503"/>
      <c r="C2227" s="13"/>
      <c r="D2227" s="13" t="s">
        <v>34</v>
      </c>
      <c r="E2227" s="13"/>
      <c r="F2227" s="109"/>
      <c r="G2227" s="504"/>
      <c r="H2227" s="504"/>
      <c r="I2227" s="504"/>
      <c r="J2227" s="504"/>
      <c r="K2227" s="504"/>
      <c r="L2227" s="504"/>
      <c r="M2227" s="504"/>
      <c r="N2227" s="504"/>
      <c r="O2227" s="110"/>
      <c r="P2227" s="109"/>
      <c r="Q2227" s="504"/>
      <c r="R2227" s="107"/>
      <c r="S2227" s="503"/>
    </row>
    <row r="2228" spans="1:19" ht="9.75" customHeight="1">
      <c r="A2228" s="503"/>
      <c r="B2228" s="503"/>
      <c r="C2228" s="13"/>
      <c r="D2228" s="13" t="s">
        <v>35</v>
      </c>
      <c r="E2228" s="13"/>
      <c r="F2228" s="109"/>
      <c r="G2228" s="504"/>
      <c r="H2228" s="504"/>
      <c r="I2228" s="504"/>
      <c r="J2228" s="504"/>
      <c r="K2228" s="504"/>
      <c r="L2228" s="504"/>
      <c r="M2228" s="504"/>
      <c r="N2228" s="504"/>
      <c r="O2228" s="110"/>
      <c r="P2228" s="109"/>
      <c r="Q2228" s="504"/>
      <c r="R2228" s="107"/>
      <c r="S2228" s="503"/>
    </row>
    <row r="2229" spans="1:19" ht="9.75" customHeight="1">
      <c r="A2229" s="503"/>
      <c r="B2229" s="503"/>
      <c r="C2229" s="13"/>
      <c r="D2229" s="13" t="s">
        <v>36</v>
      </c>
      <c r="E2229" s="13"/>
      <c r="F2229" s="109"/>
      <c r="G2229" s="504"/>
      <c r="H2229" s="504"/>
      <c r="I2229" s="504"/>
      <c r="J2229" s="504"/>
      <c r="K2229" s="504"/>
      <c r="L2229" s="504"/>
      <c r="M2229" s="504"/>
      <c r="N2229" s="504"/>
      <c r="O2229" s="110"/>
      <c r="P2229" s="109"/>
      <c r="Q2229" s="504"/>
      <c r="R2229" s="107"/>
      <c r="S2229" s="503"/>
    </row>
    <row r="2230" spans="1:19" ht="9.75" customHeight="1">
      <c r="A2230" s="503"/>
      <c r="B2230" s="503"/>
      <c r="C2230" s="13"/>
      <c r="D2230" s="13" t="s">
        <v>37</v>
      </c>
      <c r="E2230" s="13"/>
      <c r="F2230" s="109"/>
      <c r="G2230" s="504"/>
      <c r="H2230" s="504"/>
      <c r="I2230" s="504"/>
      <c r="J2230" s="504"/>
      <c r="K2230" s="504"/>
      <c r="L2230" s="504"/>
      <c r="M2230" s="504"/>
      <c r="N2230" s="504"/>
      <c r="O2230" s="110"/>
      <c r="P2230" s="109"/>
      <c r="Q2230" s="504"/>
      <c r="R2230" s="107"/>
      <c r="S2230" s="503"/>
    </row>
    <row r="2231" spans="1:19" ht="9.75" customHeight="1">
      <c r="A2231" s="503"/>
      <c r="B2231" s="503" t="s">
        <v>127</v>
      </c>
      <c r="C2231" s="2"/>
      <c r="D2231" s="21" t="s">
        <v>38</v>
      </c>
      <c r="E2231" s="21">
        <f t="shared" ref="E2231:O2231" si="438">SUM(E2215:E2230)</f>
        <v>140</v>
      </c>
      <c r="F2231" s="21">
        <f t="shared" si="438"/>
        <v>0</v>
      </c>
      <c r="G2231" s="71">
        <f t="shared" si="438"/>
        <v>0</v>
      </c>
      <c r="H2231" s="71">
        <f t="shared" si="438"/>
        <v>0</v>
      </c>
      <c r="I2231" s="71">
        <f t="shared" si="438"/>
        <v>0</v>
      </c>
      <c r="J2231" s="71">
        <f t="shared" si="438"/>
        <v>0</v>
      </c>
      <c r="K2231" s="71">
        <f t="shared" si="438"/>
        <v>0</v>
      </c>
      <c r="L2231" s="71">
        <f t="shared" si="438"/>
        <v>0</v>
      </c>
      <c r="M2231" s="71">
        <f t="shared" si="438"/>
        <v>0</v>
      </c>
      <c r="N2231" s="71">
        <f t="shared" si="438"/>
        <v>0</v>
      </c>
      <c r="O2231" s="26">
        <f t="shared" si="438"/>
        <v>0</v>
      </c>
      <c r="P2231" s="71">
        <f>MIN(F2231:O2231)</f>
        <v>0</v>
      </c>
      <c r="Q2231" s="71">
        <f>E2231-P2231</f>
        <v>140</v>
      </c>
      <c r="R2231" s="7">
        <f>Q2231/E2231</f>
        <v>1</v>
      </c>
      <c r="S2231" s="503"/>
    </row>
    <row r="2232" spans="1:19" ht="9.75" customHeight="1">
      <c r="A2232" s="503"/>
      <c r="B2232" s="503"/>
      <c r="C2232" s="33" t="s">
        <v>356</v>
      </c>
      <c r="D2232" s="33" t="s">
        <v>23</v>
      </c>
      <c r="E2232" s="58"/>
      <c r="F2232" s="145"/>
      <c r="G2232" s="34"/>
      <c r="H2232" s="34"/>
      <c r="I2232" s="34"/>
      <c r="J2232" s="34"/>
      <c r="K2232" s="34"/>
      <c r="L2232" s="34"/>
      <c r="M2232" s="34"/>
      <c r="N2232" s="34"/>
      <c r="O2232" s="147"/>
      <c r="P2232" s="36"/>
      <c r="Q2232" s="37"/>
      <c r="R2232" s="39"/>
      <c r="S2232" s="503"/>
    </row>
    <row r="2233" spans="1:19" ht="9.75" customHeight="1">
      <c r="A2233" s="503"/>
      <c r="B2233" s="503"/>
      <c r="C2233" s="58" t="s">
        <v>66</v>
      </c>
      <c r="D2233" s="58" t="s">
        <v>25</v>
      </c>
      <c r="E2233" s="58"/>
      <c r="F2233" s="145"/>
      <c r="G2233" s="34"/>
      <c r="H2233" s="34"/>
      <c r="I2233" s="34"/>
      <c r="J2233" s="34"/>
      <c r="K2233" s="34"/>
      <c r="L2233" s="34"/>
      <c r="M2233" s="34"/>
      <c r="N2233" s="34"/>
      <c r="O2233" s="147"/>
      <c r="P2233" s="145"/>
      <c r="Q2233" s="34"/>
      <c r="R2233" s="148"/>
      <c r="S2233" s="503"/>
    </row>
    <row r="2234" spans="1:19" ht="9.75" customHeight="1">
      <c r="A2234" s="503"/>
      <c r="B2234" s="503"/>
      <c r="C2234" s="58" t="s">
        <v>153</v>
      </c>
      <c r="D2234" s="58" t="s">
        <v>27</v>
      </c>
      <c r="E2234" s="58"/>
      <c r="F2234" s="145"/>
      <c r="G2234" s="34"/>
      <c r="H2234" s="34"/>
      <c r="I2234" s="34"/>
      <c r="J2234" s="34"/>
      <c r="K2234" s="34"/>
      <c r="L2234" s="34"/>
      <c r="M2234" s="34"/>
      <c r="N2234" s="34"/>
      <c r="O2234" s="147"/>
      <c r="P2234" s="145"/>
      <c r="Q2234" s="34"/>
      <c r="R2234" s="148"/>
      <c r="S2234" s="503"/>
    </row>
    <row r="2235" spans="1:19" ht="9.75" customHeight="1">
      <c r="A2235" s="503"/>
      <c r="B2235" s="503"/>
      <c r="C2235" s="58" t="s">
        <v>74</v>
      </c>
      <c r="D2235" s="58" t="s">
        <v>115</v>
      </c>
      <c r="E2235" s="58"/>
      <c r="F2235" s="145"/>
      <c r="G2235" s="34"/>
      <c r="H2235" s="34"/>
      <c r="I2235" s="34"/>
      <c r="J2235" s="34"/>
      <c r="K2235" s="34"/>
      <c r="L2235" s="34"/>
      <c r="M2235" s="34"/>
      <c r="N2235" s="34"/>
      <c r="O2235" s="147"/>
      <c r="P2235" s="145"/>
      <c r="Q2235" s="34"/>
      <c r="R2235" s="148"/>
      <c r="S2235" s="503"/>
    </row>
    <row r="2236" spans="1:19" ht="9.75" customHeight="1">
      <c r="A2236" s="503"/>
      <c r="B2236" s="503"/>
      <c r="C2236" s="58"/>
      <c r="D2236" s="58" t="s">
        <v>115</v>
      </c>
      <c r="E2236" s="58"/>
      <c r="F2236" s="145"/>
      <c r="G2236" s="34"/>
      <c r="H2236" s="34"/>
      <c r="I2236" s="34"/>
      <c r="J2236" s="34"/>
      <c r="K2236" s="34"/>
      <c r="L2236" s="34"/>
      <c r="M2236" s="34"/>
      <c r="N2236" s="34"/>
      <c r="O2236" s="147"/>
      <c r="P2236" s="145"/>
      <c r="Q2236" s="34"/>
      <c r="R2236" s="148"/>
      <c r="S2236" s="503"/>
    </row>
    <row r="2237" spans="1:19" ht="9.75" customHeight="1">
      <c r="A2237" s="503"/>
      <c r="B2237" s="503"/>
      <c r="C2237" s="58"/>
      <c r="D2237" s="58" t="s">
        <v>32</v>
      </c>
      <c r="E2237" s="58"/>
      <c r="F2237" s="145"/>
      <c r="G2237" s="34"/>
      <c r="H2237" s="34"/>
      <c r="I2237" s="34"/>
      <c r="J2237" s="34"/>
      <c r="K2237" s="34"/>
      <c r="L2237" s="34"/>
      <c r="M2237" s="34"/>
      <c r="N2237" s="34"/>
      <c r="O2237" s="147"/>
      <c r="P2237" s="145"/>
      <c r="Q2237" s="34"/>
      <c r="R2237" s="148"/>
      <c r="S2237" s="503"/>
    </row>
    <row r="2238" spans="1:19" ht="9.75" customHeight="1">
      <c r="A2238" s="503"/>
      <c r="B2238" s="503"/>
      <c r="C2238" s="58"/>
      <c r="D2238" s="58" t="s">
        <v>357</v>
      </c>
      <c r="E2238" s="58"/>
      <c r="F2238" s="145"/>
      <c r="G2238" s="34"/>
      <c r="H2238" s="34"/>
      <c r="I2238" s="34"/>
      <c r="J2238" s="34"/>
      <c r="K2238" s="34"/>
      <c r="L2238" s="34"/>
      <c r="M2238" s="34"/>
      <c r="N2238" s="34"/>
      <c r="O2238" s="147"/>
      <c r="P2238" s="145"/>
      <c r="Q2238" s="34"/>
      <c r="R2238" s="148"/>
      <c r="S2238" s="503"/>
    </row>
    <row r="2239" spans="1:19" ht="9.75" customHeight="1">
      <c r="A2239" s="503"/>
      <c r="B2239" s="503"/>
      <c r="C2239" s="58"/>
      <c r="D2239" s="58" t="s">
        <v>120</v>
      </c>
      <c r="E2239" s="58"/>
      <c r="F2239" s="145"/>
      <c r="G2239" s="34"/>
      <c r="H2239" s="34"/>
      <c r="I2239" s="34"/>
      <c r="J2239" s="34"/>
      <c r="K2239" s="34"/>
      <c r="L2239" s="34"/>
      <c r="M2239" s="34"/>
      <c r="N2239" s="34"/>
      <c r="O2239" s="147"/>
      <c r="P2239" s="145"/>
      <c r="Q2239" s="34"/>
      <c r="R2239" s="148"/>
      <c r="S2239" s="503"/>
    </row>
    <row r="2240" spans="1:19" ht="9.75" customHeight="1">
      <c r="A2240" s="503"/>
      <c r="B2240" s="503"/>
      <c r="C2240" s="58"/>
      <c r="D2240" s="58" t="s">
        <v>120</v>
      </c>
      <c r="E2240" s="58"/>
      <c r="F2240" s="145"/>
      <c r="G2240" s="34"/>
      <c r="H2240" s="34"/>
      <c r="I2240" s="34"/>
      <c r="J2240" s="34"/>
      <c r="K2240" s="34"/>
      <c r="L2240" s="34"/>
      <c r="M2240" s="34"/>
      <c r="N2240" s="34"/>
      <c r="O2240" s="147"/>
      <c r="P2240" s="145"/>
      <c r="Q2240" s="34"/>
      <c r="R2240" s="148"/>
      <c r="S2240" s="503"/>
    </row>
    <row r="2241" spans="1:22" ht="9.75" customHeight="1">
      <c r="A2241" s="503"/>
      <c r="B2241" s="503"/>
      <c r="C2241" s="58"/>
      <c r="D2241" s="58" t="s">
        <v>120</v>
      </c>
      <c r="E2241" s="58"/>
      <c r="F2241" s="145"/>
      <c r="G2241" s="34"/>
      <c r="H2241" s="34"/>
      <c r="I2241" s="34"/>
      <c r="J2241" s="34"/>
      <c r="K2241" s="34"/>
      <c r="L2241" s="34"/>
      <c r="M2241" s="34"/>
      <c r="N2241" s="34"/>
      <c r="O2241" s="147"/>
      <c r="P2241" s="145"/>
      <c r="Q2241" s="34"/>
      <c r="R2241" s="148"/>
      <c r="S2241" s="503"/>
    </row>
    <row r="2242" spans="1:22" ht="9.75" customHeight="1">
      <c r="A2242" s="503"/>
      <c r="B2242" s="503"/>
      <c r="C2242" s="58"/>
      <c r="D2242" s="58" t="s">
        <v>120</v>
      </c>
      <c r="E2242" s="58"/>
      <c r="F2242" s="145"/>
      <c r="G2242" s="34"/>
      <c r="H2242" s="34"/>
      <c r="I2242" s="34"/>
      <c r="J2242" s="34"/>
      <c r="K2242" s="34"/>
      <c r="L2242" s="34"/>
      <c r="M2242" s="34"/>
      <c r="N2242" s="34"/>
      <c r="O2242" s="147"/>
      <c r="P2242" s="145"/>
      <c r="Q2242" s="34"/>
      <c r="R2242" s="148"/>
      <c r="S2242" s="503"/>
    </row>
    <row r="2243" spans="1:22" ht="9.75" customHeight="1">
      <c r="A2243" s="503"/>
      <c r="B2243" s="503"/>
      <c r="C2243" s="58"/>
      <c r="D2243" s="58" t="s">
        <v>120</v>
      </c>
      <c r="E2243" s="58"/>
      <c r="F2243" s="145"/>
      <c r="G2243" s="34"/>
      <c r="H2243" s="34"/>
      <c r="I2243" s="34"/>
      <c r="J2243" s="34"/>
      <c r="K2243" s="34"/>
      <c r="L2243" s="34"/>
      <c r="M2243" s="34"/>
      <c r="N2243" s="34"/>
      <c r="O2243" s="147"/>
      <c r="P2243" s="145"/>
      <c r="Q2243" s="34"/>
      <c r="R2243" s="148"/>
      <c r="S2243" s="503"/>
    </row>
    <row r="2244" spans="1:22" ht="9.75" customHeight="1">
      <c r="A2244" s="503"/>
      <c r="B2244" s="503"/>
      <c r="C2244" s="58"/>
      <c r="D2244" s="58" t="s">
        <v>34</v>
      </c>
      <c r="E2244" s="58"/>
      <c r="F2244" s="145"/>
      <c r="G2244" s="34"/>
      <c r="H2244" s="34"/>
      <c r="I2244" s="34"/>
      <c r="J2244" s="34"/>
      <c r="K2244" s="34"/>
      <c r="L2244" s="34"/>
      <c r="M2244" s="34"/>
      <c r="N2244" s="34"/>
      <c r="O2244" s="147"/>
      <c r="P2244" s="145"/>
      <c r="Q2244" s="34"/>
      <c r="R2244" s="148"/>
      <c r="S2244" s="503"/>
    </row>
    <row r="2245" spans="1:22" ht="9.75" customHeight="1">
      <c r="A2245" s="503"/>
      <c r="B2245" s="503"/>
      <c r="C2245" s="58"/>
      <c r="D2245" s="58" t="s">
        <v>35</v>
      </c>
      <c r="E2245" s="58"/>
      <c r="F2245" s="145"/>
      <c r="G2245" s="34"/>
      <c r="H2245" s="34"/>
      <c r="I2245" s="34"/>
      <c r="J2245" s="34"/>
      <c r="K2245" s="34"/>
      <c r="L2245" s="34"/>
      <c r="M2245" s="34"/>
      <c r="N2245" s="34"/>
      <c r="O2245" s="147"/>
      <c r="P2245" s="145"/>
      <c r="Q2245" s="34"/>
      <c r="R2245" s="148"/>
      <c r="S2245" s="503"/>
    </row>
    <row r="2246" spans="1:22" ht="9.75" customHeight="1">
      <c r="A2246" s="503"/>
      <c r="B2246" s="503"/>
      <c r="C2246" s="58"/>
      <c r="D2246" s="58" t="s">
        <v>36</v>
      </c>
      <c r="E2246" s="58"/>
      <c r="F2246" s="145"/>
      <c r="G2246" s="34"/>
      <c r="H2246" s="34"/>
      <c r="I2246" s="34"/>
      <c r="J2246" s="34"/>
      <c r="K2246" s="34"/>
      <c r="L2246" s="34"/>
      <c r="M2246" s="34"/>
      <c r="N2246" s="34"/>
      <c r="O2246" s="147"/>
      <c r="P2246" s="145"/>
      <c r="Q2246" s="34"/>
      <c r="R2246" s="148"/>
      <c r="S2246" s="503"/>
    </row>
    <row r="2247" spans="1:22" ht="9.75" customHeight="1">
      <c r="A2247" s="503"/>
      <c r="B2247" s="503"/>
      <c r="C2247" s="58"/>
      <c r="D2247" s="58" t="s">
        <v>37</v>
      </c>
      <c r="E2247" s="58"/>
      <c r="F2247" s="145"/>
      <c r="G2247" s="34"/>
      <c r="H2247" s="34"/>
      <c r="I2247" s="34"/>
      <c r="J2247" s="34"/>
      <c r="K2247" s="34"/>
      <c r="L2247" s="34"/>
      <c r="M2247" s="34"/>
      <c r="N2247" s="34"/>
      <c r="O2247" s="147"/>
      <c r="P2247" s="145"/>
      <c r="Q2247" s="34"/>
      <c r="R2247" s="148"/>
      <c r="S2247" s="503"/>
    </row>
    <row r="2248" spans="1:22" ht="9.75" customHeight="1">
      <c r="A2248" s="503"/>
      <c r="B2248" s="503"/>
      <c r="C2248" s="449"/>
      <c r="D2248" s="456" t="s">
        <v>38</v>
      </c>
      <c r="E2248" s="456"/>
      <c r="F2248" s="456"/>
      <c r="G2248" s="457"/>
      <c r="H2248" s="457"/>
      <c r="I2248" s="457"/>
      <c r="J2248" s="457"/>
      <c r="K2248" s="457"/>
      <c r="L2248" s="457"/>
      <c r="M2248" s="457"/>
      <c r="N2248" s="457"/>
      <c r="O2248" s="458"/>
      <c r="P2248" s="457"/>
      <c r="Q2248" s="457"/>
      <c r="R2248" s="459"/>
      <c r="S2248" s="503"/>
    </row>
    <row r="2249" spans="1:22" ht="9.75" customHeight="1">
      <c r="A2249" s="503"/>
      <c r="B2249" s="503"/>
      <c r="C2249" s="43" t="s">
        <v>358</v>
      </c>
      <c r="D2249" s="43" t="s">
        <v>23</v>
      </c>
      <c r="E2249" s="13">
        <v>177</v>
      </c>
      <c r="F2249" s="109">
        <v>100</v>
      </c>
      <c r="G2249" s="504">
        <v>57</v>
      </c>
      <c r="H2249" s="504">
        <v>60</v>
      </c>
      <c r="I2249" s="504">
        <v>33</v>
      </c>
      <c r="J2249" s="504">
        <v>21</v>
      </c>
      <c r="K2249" s="504">
        <v>22</v>
      </c>
      <c r="L2249" s="504">
        <v>28</v>
      </c>
      <c r="M2249" s="504">
        <v>36</v>
      </c>
      <c r="N2249" s="504">
        <v>61</v>
      </c>
      <c r="O2249" s="110">
        <v>100</v>
      </c>
      <c r="P2249" s="109">
        <f>MIN(F2249:O2249)</f>
        <v>21</v>
      </c>
      <c r="Q2249" s="504">
        <f>E2249-P2249</f>
        <v>156</v>
      </c>
      <c r="R2249" s="107">
        <f>Q2249/E2249</f>
        <v>0.88135593220338981</v>
      </c>
      <c r="S2249" s="503"/>
    </row>
    <row r="2250" spans="1:22" ht="9.75" customHeight="1">
      <c r="A2250" s="503"/>
      <c r="B2250" s="503"/>
      <c r="C2250" s="13"/>
      <c r="D2250" s="13" t="s">
        <v>25</v>
      </c>
      <c r="E2250" s="13"/>
      <c r="F2250" s="109"/>
      <c r="G2250" s="504"/>
      <c r="H2250" s="504"/>
      <c r="I2250" s="504"/>
      <c r="J2250" s="504"/>
      <c r="K2250" s="504"/>
      <c r="L2250" s="504"/>
      <c r="M2250" s="504"/>
      <c r="N2250" s="504"/>
      <c r="O2250" s="110"/>
      <c r="P2250" s="109"/>
      <c r="Q2250" s="504"/>
      <c r="R2250" s="107"/>
      <c r="S2250" s="503"/>
      <c r="V2250" s="528"/>
    </row>
    <row r="2251" spans="1:22" ht="9.75" customHeight="1">
      <c r="A2251" s="503"/>
      <c r="B2251" s="503"/>
      <c r="C2251" s="13"/>
      <c r="D2251" s="13" t="s">
        <v>27</v>
      </c>
      <c r="E2251" s="13"/>
      <c r="F2251" s="109"/>
      <c r="G2251" s="504"/>
      <c r="H2251" s="504"/>
      <c r="I2251" s="504"/>
      <c r="J2251" s="504"/>
      <c r="K2251" s="504"/>
      <c r="L2251" s="504"/>
      <c r="M2251" s="504"/>
      <c r="N2251" s="504"/>
      <c r="O2251" s="110"/>
      <c r="P2251" s="109"/>
      <c r="Q2251" s="504"/>
      <c r="R2251" s="107"/>
      <c r="S2251" s="503"/>
      <c r="V2251" s="528"/>
    </row>
    <row r="2252" spans="1:22" ht="9.75" customHeight="1">
      <c r="A2252" s="503"/>
      <c r="B2252" s="503"/>
      <c r="C2252" s="13"/>
      <c r="D2252" s="13" t="s">
        <v>115</v>
      </c>
      <c r="E2252" s="13"/>
      <c r="F2252" s="109"/>
      <c r="G2252" s="504"/>
      <c r="H2252" s="504"/>
      <c r="I2252" s="504"/>
      <c r="J2252" s="504"/>
      <c r="K2252" s="504"/>
      <c r="L2252" s="504"/>
      <c r="M2252" s="504"/>
      <c r="N2252" s="504"/>
      <c r="O2252" s="110"/>
      <c r="P2252" s="109"/>
      <c r="Q2252" s="504"/>
      <c r="R2252" s="107"/>
      <c r="S2252" s="503"/>
      <c r="V2252" s="528"/>
    </row>
    <row r="2253" spans="1:22" ht="9.75" customHeight="1">
      <c r="A2253" s="503"/>
      <c r="B2253" s="503"/>
      <c r="C2253" s="13"/>
      <c r="D2253" s="13" t="s">
        <v>115</v>
      </c>
      <c r="E2253" s="13"/>
      <c r="F2253" s="109"/>
      <c r="G2253" s="504"/>
      <c r="H2253" s="504"/>
      <c r="I2253" s="504"/>
      <c r="J2253" s="504"/>
      <c r="K2253" s="504"/>
      <c r="L2253" s="504"/>
      <c r="M2253" s="504"/>
      <c r="N2253" s="504"/>
      <c r="O2253" s="110"/>
      <c r="P2253" s="109"/>
      <c r="Q2253" s="504"/>
      <c r="R2253" s="107"/>
      <c r="S2253" s="503"/>
      <c r="V2253" s="528"/>
    </row>
    <row r="2254" spans="1:22" ht="9.75" customHeight="1">
      <c r="A2254" s="503"/>
      <c r="B2254" s="503"/>
      <c r="C2254" s="13"/>
      <c r="D2254" s="13" t="s">
        <v>32</v>
      </c>
      <c r="E2254" s="13"/>
      <c r="F2254" s="109"/>
      <c r="G2254" s="504"/>
      <c r="H2254" s="504"/>
      <c r="I2254" s="504"/>
      <c r="J2254" s="504"/>
      <c r="K2254" s="504"/>
      <c r="L2254" s="504"/>
      <c r="M2254" s="504"/>
      <c r="N2254" s="504"/>
      <c r="O2254" s="110"/>
      <c r="P2254" s="109"/>
      <c r="Q2254" s="504"/>
      <c r="R2254" s="107"/>
      <c r="S2254" s="503"/>
      <c r="V2254" s="528"/>
    </row>
    <row r="2255" spans="1:22" ht="9.75" customHeight="1">
      <c r="A2255" s="503"/>
      <c r="B2255" s="503"/>
      <c r="C2255" s="13"/>
      <c r="D2255" s="13" t="s">
        <v>120</v>
      </c>
      <c r="E2255" s="13"/>
      <c r="F2255" s="109"/>
      <c r="G2255" s="504"/>
      <c r="H2255" s="504"/>
      <c r="I2255" s="504"/>
      <c r="J2255" s="504"/>
      <c r="K2255" s="504"/>
      <c r="L2255" s="504"/>
      <c r="M2255" s="504"/>
      <c r="N2255" s="504"/>
      <c r="O2255" s="110"/>
      <c r="P2255" s="109"/>
      <c r="Q2255" s="504"/>
      <c r="R2255" s="107"/>
      <c r="S2255" s="503"/>
      <c r="V2255" s="528"/>
    </row>
    <row r="2256" spans="1:22" ht="9.75" customHeight="1">
      <c r="A2256" s="503"/>
      <c r="B2256" s="503"/>
      <c r="C2256" s="13"/>
      <c r="D2256" s="13" t="s">
        <v>120</v>
      </c>
      <c r="E2256" s="13"/>
      <c r="F2256" s="109"/>
      <c r="G2256" s="504"/>
      <c r="H2256" s="504"/>
      <c r="I2256" s="504"/>
      <c r="J2256" s="504"/>
      <c r="K2256" s="504"/>
      <c r="L2256" s="504"/>
      <c r="M2256" s="504"/>
      <c r="N2256" s="504"/>
      <c r="O2256" s="110"/>
      <c r="P2256" s="109"/>
      <c r="Q2256" s="504"/>
      <c r="R2256" s="107"/>
      <c r="S2256" s="503"/>
      <c r="V2256" s="528"/>
    </row>
    <row r="2257" spans="1:22" ht="9.75" customHeight="1">
      <c r="A2257" s="503"/>
      <c r="B2257" s="503"/>
      <c r="C2257" s="13"/>
      <c r="D2257" s="13" t="s">
        <v>120</v>
      </c>
      <c r="E2257" s="13"/>
      <c r="F2257" s="109"/>
      <c r="G2257" s="504"/>
      <c r="H2257" s="504"/>
      <c r="I2257" s="504"/>
      <c r="J2257" s="504"/>
      <c r="K2257" s="504"/>
      <c r="L2257" s="504"/>
      <c r="M2257" s="504"/>
      <c r="N2257" s="504"/>
      <c r="O2257" s="110"/>
      <c r="P2257" s="109"/>
      <c r="Q2257" s="504"/>
      <c r="R2257" s="107"/>
      <c r="S2257" s="503"/>
      <c r="V2257" s="528"/>
    </row>
    <row r="2258" spans="1:22" ht="9.75" customHeight="1">
      <c r="A2258" s="503"/>
      <c r="B2258" s="503"/>
      <c r="C2258" s="13"/>
      <c r="D2258" s="13" t="s">
        <v>120</v>
      </c>
      <c r="E2258" s="13"/>
      <c r="F2258" s="109"/>
      <c r="G2258" s="504"/>
      <c r="H2258" s="504"/>
      <c r="I2258" s="504"/>
      <c r="J2258" s="504"/>
      <c r="K2258" s="504"/>
      <c r="L2258" s="504"/>
      <c r="M2258" s="504"/>
      <c r="N2258" s="504"/>
      <c r="O2258" s="110"/>
      <c r="P2258" s="109"/>
      <c r="Q2258" s="504"/>
      <c r="R2258" s="107"/>
      <c r="S2258" s="503"/>
      <c r="V2258" s="528"/>
    </row>
    <row r="2259" spans="1:22" ht="9.75" customHeight="1">
      <c r="A2259" s="503"/>
      <c r="B2259" s="503"/>
      <c r="C2259" s="13"/>
      <c r="D2259" s="13" t="s">
        <v>120</v>
      </c>
      <c r="E2259" s="13"/>
      <c r="F2259" s="109"/>
      <c r="G2259" s="504"/>
      <c r="H2259" s="504"/>
      <c r="I2259" s="504"/>
      <c r="J2259" s="504"/>
      <c r="K2259" s="504"/>
      <c r="L2259" s="504"/>
      <c r="M2259" s="504"/>
      <c r="N2259" s="504"/>
      <c r="O2259" s="110"/>
      <c r="P2259" s="109"/>
      <c r="Q2259" s="504"/>
      <c r="R2259" s="107"/>
      <c r="S2259" s="503"/>
      <c r="V2259" s="528"/>
    </row>
    <row r="2260" spans="1:22" ht="9.75" customHeight="1">
      <c r="A2260" s="503"/>
      <c r="B2260" s="503"/>
      <c r="C2260" s="13"/>
      <c r="D2260" s="13" t="s">
        <v>120</v>
      </c>
      <c r="E2260" s="13"/>
      <c r="F2260" s="109"/>
      <c r="G2260" s="504"/>
      <c r="H2260" s="504"/>
      <c r="I2260" s="504"/>
      <c r="J2260" s="504"/>
      <c r="K2260" s="504"/>
      <c r="L2260" s="504"/>
      <c r="M2260" s="504"/>
      <c r="N2260" s="504"/>
      <c r="O2260" s="110"/>
      <c r="P2260" s="109"/>
      <c r="Q2260" s="504"/>
      <c r="R2260" s="107"/>
      <c r="S2260" s="503"/>
      <c r="V2260" s="528"/>
    </row>
    <row r="2261" spans="1:22" ht="9.75" customHeight="1">
      <c r="A2261" s="503"/>
      <c r="B2261" s="503"/>
      <c r="C2261" s="13"/>
      <c r="D2261" s="13" t="s">
        <v>34</v>
      </c>
      <c r="E2261" s="13"/>
      <c r="F2261" s="109"/>
      <c r="G2261" s="504"/>
      <c r="H2261" s="504"/>
      <c r="I2261" s="504"/>
      <c r="J2261" s="504"/>
      <c r="K2261" s="504"/>
      <c r="L2261" s="504"/>
      <c r="M2261" s="504"/>
      <c r="N2261" s="504"/>
      <c r="O2261" s="110"/>
      <c r="P2261" s="109"/>
      <c r="Q2261" s="504"/>
      <c r="R2261" s="107"/>
      <c r="S2261" s="503"/>
      <c r="V2261" s="528"/>
    </row>
    <row r="2262" spans="1:22" ht="9.75" customHeight="1">
      <c r="A2262" s="503"/>
      <c r="B2262" s="503"/>
      <c r="C2262" s="13"/>
      <c r="D2262" s="13" t="s">
        <v>35</v>
      </c>
      <c r="E2262" s="13"/>
      <c r="F2262" s="109"/>
      <c r="G2262" s="504"/>
      <c r="H2262" s="504"/>
      <c r="I2262" s="504"/>
      <c r="J2262" s="504"/>
      <c r="K2262" s="504"/>
      <c r="L2262" s="504"/>
      <c r="M2262" s="504"/>
      <c r="N2262" s="504"/>
      <c r="O2262" s="110"/>
      <c r="P2262" s="109"/>
      <c r="Q2262" s="504"/>
      <c r="R2262" s="107"/>
      <c r="S2262" s="503"/>
      <c r="V2262" s="528"/>
    </row>
    <row r="2263" spans="1:22" ht="9.75" customHeight="1">
      <c r="A2263" s="503"/>
      <c r="B2263" s="503"/>
      <c r="C2263" s="13"/>
      <c r="D2263" s="13" t="s">
        <v>36</v>
      </c>
      <c r="E2263" s="13"/>
      <c r="F2263" s="109"/>
      <c r="G2263" s="504"/>
      <c r="H2263" s="504"/>
      <c r="I2263" s="504"/>
      <c r="J2263" s="504"/>
      <c r="K2263" s="504"/>
      <c r="L2263" s="504"/>
      <c r="M2263" s="504"/>
      <c r="N2263" s="504"/>
      <c r="O2263" s="110"/>
      <c r="P2263" s="109"/>
      <c r="Q2263" s="504"/>
      <c r="R2263" s="107"/>
      <c r="S2263" s="503"/>
      <c r="V2263" s="528"/>
    </row>
    <row r="2264" spans="1:22" ht="9.75" customHeight="1">
      <c r="A2264" s="503"/>
      <c r="B2264" s="503"/>
      <c r="C2264" s="13"/>
      <c r="D2264" s="13" t="s">
        <v>37</v>
      </c>
      <c r="E2264" s="13"/>
      <c r="F2264" s="109"/>
      <c r="G2264" s="504"/>
      <c r="H2264" s="504"/>
      <c r="I2264" s="504"/>
      <c r="J2264" s="504"/>
      <c r="K2264" s="504"/>
      <c r="L2264" s="504"/>
      <c r="M2264" s="504"/>
      <c r="N2264" s="504"/>
      <c r="O2264" s="110"/>
      <c r="P2264" s="109"/>
      <c r="Q2264" s="504"/>
      <c r="R2264" s="107"/>
      <c r="S2264" s="503"/>
      <c r="V2264" s="528"/>
    </row>
    <row r="2265" spans="1:22" ht="9.75" customHeight="1">
      <c r="A2265" s="503"/>
      <c r="B2265" s="503" t="s">
        <v>127</v>
      </c>
      <c r="C2265" s="2"/>
      <c r="D2265" s="21" t="s">
        <v>38</v>
      </c>
      <c r="E2265" s="21">
        <f t="shared" ref="E2265:O2265" si="439">SUM(E2249:E2264)</f>
        <v>177</v>
      </c>
      <c r="F2265" s="21">
        <f t="shared" si="439"/>
        <v>100</v>
      </c>
      <c r="G2265" s="71">
        <f t="shared" si="439"/>
        <v>57</v>
      </c>
      <c r="H2265" s="71">
        <f t="shared" si="439"/>
        <v>60</v>
      </c>
      <c r="I2265" s="71">
        <f t="shared" si="439"/>
        <v>33</v>
      </c>
      <c r="J2265" s="71">
        <f t="shared" si="439"/>
        <v>21</v>
      </c>
      <c r="K2265" s="71">
        <f t="shared" si="439"/>
        <v>22</v>
      </c>
      <c r="L2265" s="71">
        <f t="shared" si="439"/>
        <v>28</v>
      </c>
      <c r="M2265" s="71">
        <f t="shared" si="439"/>
        <v>36</v>
      </c>
      <c r="N2265" s="71">
        <f t="shared" si="439"/>
        <v>61</v>
      </c>
      <c r="O2265" s="26">
        <f t="shared" si="439"/>
        <v>100</v>
      </c>
      <c r="P2265" s="71">
        <f t="shared" ref="P2265:P2266" si="440">MIN(F2265:O2265)</f>
        <v>21</v>
      </c>
      <c r="Q2265" s="71">
        <f t="shared" ref="Q2265:Q2266" si="441">E2265-P2265</f>
        <v>156</v>
      </c>
      <c r="R2265" s="7">
        <f t="shared" ref="R2265:R2266" si="442">Q2265/E2265</f>
        <v>0.88135593220338981</v>
      </c>
      <c r="S2265" s="503"/>
      <c r="V2265" s="528"/>
    </row>
    <row r="2266" spans="1:22" ht="9.75" customHeight="1">
      <c r="A2266" s="503"/>
      <c r="B2266" s="503"/>
      <c r="C2266" s="43" t="s">
        <v>359</v>
      </c>
      <c r="D2266" s="43" t="s">
        <v>23</v>
      </c>
      <c r="E2266" s="13">
        <v>194</v>
      </c>
      <c r="F2266" s="109">
        <v>100</v>
      </c>
      <c r="G2266" s="504">
        <v>76</v>
      </c>
      <c r="H2266" s="504">
        <v>15</v>
      </c>
      <c r="I2266" s="504">
        <v>9</v>
      </c>
      <c r="J2266" s="504">
        <v>8</v>
      </c>
      <c r="K2266" s="504">
        <v>6</v>
      </c>
      <c r="L2266" s="504">
        <v>11</v>
      </c>
      <c r="M2266" s="504">
        <v>22</v>
      </c>
      <c r="N2266" s="504">
        <v>59</v>
      </c>
      <c r="O2266" s="110">
        <f>75-31+43</f>
        <v>87</v>
      </c>
      <c r="P2266" s="109">
        <f t="shared" si="440"/>
        <v>6</v>
      </c>
      <c r="Q2266" s="504">
        <f t="shared" si="441"/>
        <v>188</v>
      </c>
      <c r="R2266" s="107">
        <f t="shared" si="442"/>
        <v>0.96907216494845361</v>
      </c>
      <c r="S2266" s="503"/>
      <c r="V2266" s="528"/>
    </row>
    <row r="2267" spans="1:22" ht="9.75" customHeight="1">
      <c r="A2267" s="503"/>
      <c r="B2267" s="503"/>
      <c r="C2267" s="13"/>
      <c r="D2267" s="13" t="s">
        <v>25</v>
      </c>
      <c r="E2267" s="13"/>
      <c r="F2267" s="109"/>
      <c r="G2267" s="504"/>
      <c r="H2267" s="504"/>
      <c r="I2267" s="504"/>
      <c r="J2267" s="504"/>
      <c r="K2267" s="504"/>
      <c r="L2267" s="504"/>
      <c r="M2267" s="504"/>
      <c r="N2267" s="504"/>
      <c r="O2267" s="110"/>
      <c r="P2267" s="109"/>
      <c r="Q2267" s="504"/>
      <c r="R2267" s="107"/>
      <c r="S2267" s="503"/>
      <c r="V2267" s="528"/>
    </row>
    <row r="2268" spans="1:22" ht="9.75" customHeight="1">
      <c r="A2268" s="503"/>
      <c r="B2268" s="503"/>
      <c r="C2268" s="13"/>
      <c r="D2268" s="13" t="s">
        <v>27</v>
      </c>
      <c r="E2268" s="13"/>
      <c r="F2268" s="109"/>
      <c r="G2268" s="504"/>
      <c r="H2268" s="504"/>
      <c r="I2268" s="504"/>
      <c r="J2268" s="504"/>
      <c r="K2268" s="504"/>
      <c r="L2268" s="504"/>
      <c r="M2268" s="504"/>
      <c r="N2268" s="504"/>
      <c r="O2268" s="110"/>
      <c r="P2268" s="109"/>
      <c r="Q2268" s="504"/>
      <c r="R2268" s="107"/>
      <c r="S2268" s="503"/>
      <c r="V2268" s="528"/>
    </row>
    <row r="2269" spans="1:22" ht="9.75" customHeight="1">
      <c r="A2269" s="503"/>
      <c r="B2269" s="503"/>
      <c r="C2269" s="13"/>
      <c r="D2269" s="13" t="s">
        <v>115</v>
      </c>
      <c r="E2269" s="13"/>
      <c r="F2269" s="109"/>
      <c r="G2269" s="504"/>
      <c r="H2269" s="504"/>
      <c r="I2269" s="504"/>
      <c r="J2269" s="504"/>
      <c r="K2269" s="504"/>
      <c r="L2269" s="504"/>
      <c r="M2269" s="504"/>
      <c r="N2269" s="504"/>
      <c r="O2269" s="110"/>
      <c r="P2269" s="109"/>
      <c r="Q2269" s="504"/>
      <c r="R2269" s="107"/>
      <c r="S2269" s="503"/>
      <c r="V2269" s="528"/>
    </row>
    <row r="2270" spans="1:22" ht="9.75" customHeight="1">
      <c r="A2270" s="503"/>
      <c r="B2270" s="503"/>
      <c r="C2270" s="13"/>
      <c r="D2270" s="13" t="s">
        <v>115</v>
      </c>
      <c r="E2270" s="13"/>
      <c r="F2270" s="109"/>
      <c r="G2270" s="504"/>
      <c r="H2270" s="504"/>
      <c r="I2270" s="504"/>
      <c r="J2270" s="504"/>
      <c r="K2270" s="504"/>
      <c r="L2270" s="504"/>
      <c r="M2270" s="504"/>
      <c r="N2270" s="504"/>
      <c r="O2270" s="110"/>
      <c r="P2270" s="109"/>
      <c r="Q2270" s="504"/>
      <c r="R2270" s="107"/>
      <c r="S2270" s="503"/>
      <c r="V2270" s="528"/>
    </row>
    <row r="2271" spans="1:22" ht="9.75" customHeight="1">
      <c r="A2271" s="503"/>
      <c r="B2271" s="503"/>
      <c r="C2271" s="13"/>
      <c r="D2271" s="13" t="s">
        <v>32</v>
      </c>
      <c r="E2271" s="13">
        <v>40</v>
      </c>
      <c r="F2271" s="109">
        <v>30</v>
      </c>
      <c r="G2271" s="504">
        <v>25</v>
      </c>
      <c r="H2271" s="504">
        <v>24</v>
      </c>
      <c r="I2271" s="504">
        <v>24</v>
      </c>
      <c r="J2271" s="504">
        <v>24</v>
      </c>
      <c r="K2271" s="504">
        <f>E2271-14</f>
        <v>26</v>
      </c>
      <c r="L2271" s="504">
        <f>E2271-16</f>
        <v>24</v>
      </c>
      <c r="M2271" s="504">
        <f>E2271-15</f>
        <v>25</v>
      </c>
      <c r="N2271" s="504">
        <f>E2271-13</f>
        <v>27</v>
      </c>
      <c r="O2271" s="110">
        <f>E2271-9</f>
        <v>31</v>
      </c>
      <c r="P2271" s="109">
        <f t="shared" ref="P2271:P2272" si="443">MIN(F2271:O2271)</f>
        <v>24</v>
      </c>
      <c r="Q2271" s="504">
        <f t="shared" ref="Q2271:Q2272" si="444">E2271-P2271</f>
        <v>16</v>
      </c>
      <c r="R2271" s="107">
        <f t="shared" ref="R2271:R2272" si="445">Q2271/E2271</f>
        <v>0.4</v>
      </c>
      <c r="S2271" s="503"/>
      <c r="V2271" s="528"/>
    </row>
    <row r="2272" spans="1:22" ht="9.75" customHeight="1">
      <c r="A2272" s="503"/>
      <c r="B2272" s="503"/>
      <c r="C2272" s="13"/>
      <c r="D2272" s="13" t="s">
        <v>118</v>
      </c>
      <c r="E2272" s="13">
        <v>3</v>
      </c>
      <c r="F2272" s="109">
        <v>3</v>
      </c>
      <c r="G2272" s="504">
        <v>3</v>
      </c>
      <c r="H2272" s="504">
        <v>3</v>
      </c>
      <c r="I2272" s="504">
        <v>2</v>
      </c>
      <c r="J2272" s="504">
        <v>2</v>
      </c>
      <c r="K2272" s="504">
        <v>2</v>
      </c>
      <c r="L2272" s="504">
        <v>2</v>
      </c>
      <c r="M2272" s="504">
        <v>2</v>
      </c>
      <c r="N2272" s="504">
        <v>3</v>
      </c>
      <c r="O2272" s="110">
        <v>3</v>
      </c>
      <c r="P2272" s="109">
        <f t="shared" si="443"/>
        <v>2</v>
      </c>
      <c r="Q2272" s="504">
        <f t="shared" si="444"/>
        <v>1</v>
      </c>
      <c r="R2272" s="107">
        <f t="shared" si="445"/>
        <v>0.33333333333333331</v>
      </c>
      <c r="S2272" s="503"/>
      <c r="V2272" s="528"/>
    </row>
    <row r="2273" spans="1:22" ht="9.75" customHeight="1">
      <c r="A2273" s="503"/>
      <c r="B2273" s="503"/>
      <c r="C2273" s="13"/>
      <c r="D2273" s="13" t="s">
        <v>120</v>
      </c>
      <c r="E2273" s="13"/>
      <c r="F2273" s="109"/>
      <c r="G2273" s="504"/>
      <c r="H2273" s="504"/>
      <c r="I2273" s="504"/>
      <c r="J2273" s="504"/>
      <c r="K2273" s="504"/>
      <c r="L2273" s="504"/>
      <c r="M2273" s="504"/>
      <c r="N2273" s="504"/>
      <c r="O2273" s="110"/>
      <c r="P2273" s="109"/>
      <c r="Q2273" s="504"/>
      <c r="R2273" s="107"/>
      <c r="S2273" s="503"/>
      <c r="V2273" s="528"/>
    </row>
    <row r="2274" spans="1:22" ht="9.75" customHeight="1">
      <c r="A2274" s="503"/>
      <c r="B2274" s="503"/>
      <c r="C2274" s="13"/>
      <c r="D2274" s="13" t="s">
        <v>120</v>
      </c>
      <c r="E2274" s="13"/>
      <c r="F2274" s="109"/>
      <c r="G2274" s="504"/>
      <c r="H2274" s="504"/>
      <c r="I2274" s="504"/>
      <c r="J2274" s="504"/>
      <c r="K2274" s="504"/>
      <c r="L2274" s="504"/>
      <c r="M2274" s="504"/>
      <c r="N2274" s="504"/>
      <c r="O2274" s="110"/>
      <c r="P2274" s="109"/>
      <c r="Q2274" s="504"/>
      <c r="R2274" s="107"/>
      <c r="S2274" s="503"/>
      <c r="V2274" s="528"/>
    </row>
    <row r="2275" spans="1:22" ht="9.75" customHeight="1">
      <c r="A2275" s="503"/>
      <c r="B2275" s="503"/>
      <c r="C2275" s="13"/>
      <c r="D2275" s="13" t="s">
        <v>120</v>
      </c>
      <c r="E2275" s="13"/>
      <c r="F2275" s="109"/>
      <c r="G2275" s="504"/>
      <c r="H2275" s="504"/>
      <c r="I2275" s="504"/>
      <c r="J2275" s="504"/>
      <c r="K2275" s="504"/>
      <c r="L2275" s="504"/>
      <c r="M2275" s="504"/>
      <c r="N2275" s="504"/>
      <c r="O2275" s="110"/>
      <c r="P2275" s="109"/>
      <c r="Q2275" s="504"/>
      <c r="R2275" s="107"/>
      <c r="S2275" s="503"/>
      <c r="V2275" s="528"/>
    </row>
    <row r="2276" spans="1:22" ht="9.75" customHeight="1">
      <c r="A2276" s="503"/>
      <c r="B2276" s="503"/>
      <c r="C2276" s="13"/>
      <c r="D2276" s="13" t="s">
        <v>120</v>
      </c>
      <c r="E2276" s="13"/>
      <c r="F2276" s="109"/>
      <c r="G2276" s="504"/>
      <c r="H2276" s="504"/>
      <c r="I2276" s="504"/>
      <c r="J2276" s="504"/>
      <c r="K2276" s="504"/>
      <c r="L2276" s="504"/>
      <c r="M2276" s="504"/>
      <c r="N2276" s="504"/>
      <c r="O2276" s="110"/>
      <c r="P2276" s="109"/>
      <c r="Q2276" s="504"/>
      <c r="R2276" s="107"/>
      <c r="S2276" s="503"/>
      <c r="V2276" s="528"/>
    </row>
    <row r="2277" spans="1:22" ht="9.75" customHeight="1">
      <c r="A2277" s="503"/>
      <c r="B2277" s="503"/>
      <c r="C2277" s="13"/>
      <c r="D2277" s="13" t="s">
        <v>120</v>
      </c>
      <c r="E2277" s="13"/>
      <c r="F2277" s="109"/>
      <c r="G2277" s="504"/>
      <c r="H2277" s="504"/>
      <c r="I2277" s="504"/>
      <c r="J2277" s="504"/>
      <c r="K2277" s="504"/>
      <c r="L2277" s="504"/>
      <c r="M2277" s="504"/>
      <c r="N2277" s="504"/>
      <c r="O2277" s="110"/>
      <c r="P2277" s="109"/>
      <c r="Q2277" s="504"/>
      <c r="R2277" s="107"/>
      <c r="S2277" s="503"/>
      <c r="V2277" s="528"/>
    </row>
    <row r="2278" spans="1:22" ht="9.75" customHeight="1">
      <c r="A2278" s="503"/>
      <c r="B2278" s="503"/>
      <c r="C2278" s="13"/>
      <c r="D2278" s="13" t="s">
        <v>34</v>
      </c>
      <c r="E2278" s="13">
        <v>12</v>
      </c>
      <c r="F2278" s="109">
        <v>12</v>
      </c>
      <c r="G2278" s="504">
        <v>10</v>
      </c>
      <c r="H2278" s="504">
        <v>9</v>
      </c>
      <c r="I2278" s="504">
        <v>9</v>
      </c>
      <c r="J2278" s="504">
        <v>9</v>
      </c>
      <c r="K2278" s="504">
        <v>9</v>
      </c>
      <c r="L2278" s="504">
        <v>10</v>
      </c>
      <c r="M2278" s="504">
        <v>10</v>
      </c>
      <c r="N2278" s="504">
        <v>10</v>
      </c>
      <c r="O2278" s="110">
        <v>11</v>
      </c>
      <c r="P2278" s="109">
        <f>MIN(F2278:O2278)</f>
        <v>9</v>
      </c>
      <c r="Q2278" s="504">
        <f>E2278-P2278</f>
        <v>3</v>
      </c>
      <c r="R2278" s="107">
        <f>Q2278/E2278</f>
        <v>0.25</v>
      </c>
      <c r="S2278" s="503"/>
      <c r="V2278" s="528"/>
    </row>
    <row r="2279" spans="1:22" ht="9.75" customHeight="1">
      <c r="A2279" s="503"/>
      <c r="B2279" s="503"/>
      <c r="C2279" s="13"/>
      <c r="D2279" s="13" t="s">
        <v>35</v>
      </c>
      <c r="E2279" s="13"/>
      <c r="F2279" s="109"/>
      <c r="G2279" s="504"/>
      <c r="H2279" s="504"/>
      <c r="I2279" s="504"/>
      <c r="J2279" s="504"/>
      <c r="K2279" s="504"/>
      <c r="L2279" s="504"/>
      <c r="M2279" s="504"/>
      <c r="N2279" s="504"/>
      <c r="O2279" s="110"/>
      <c r="P2279" s="109"/>
      <c r="Q2279" s="504"/>
      <c r="R2279" s="107"/>
      <c r="S2279" s="503"/>
      <c r="V2279" s="528"/>
    </row>
    <row r="2280" spans="1:22" ht="9.75" customHeight="1">
      <c r="A2280" s="503"/>
      <c r="B2280" s="503"/>
      <c r="C2280" s="13"/>
      <c r="D2280" s="13" t="s">
        <v>36</v>
      </c>
      <c r="E2280" s="13"/>
      <c r="F2280" s="109"/>
      <c r="G2280" s="504"/>
      <c r="H2280" s="504"/>
      <c r="I2280" s="504"/>
      <c r="J2280" s="504"/>
      <c r="K2280" s="504"/>
      <c r="L2280" s="504"/>
      <c r="M2280" s="504"/>
      <c r="N2280" s="504"/>
      <c r="O2280" s="110"/>
      <c r="P2280" s="109"/>
      <c r="Q2280" s="504"/>
      <c r="R2280" s="107"/>
      <c r="S2280" s="503"/>
      <c r="V2280" s="528"/>
    </row>
    <row r="2281" spans="1:22" ht="9.75" customHeight="1">
      <c r="A2281" s="503"/>
      <c r="B2281" s="503"/>
      <c r="C2281" s="13"/>
      <c r="D2281" s="13" t="s">
        <v>37</v>
      </c>
      <c r="E2281" s="13"/>
      <c r="F2281" s="109"/>
      <c r="G2281" s="504"/>
      <c r="H2281" s="504"/>
      <c r="I2281" s="504"/>
      <c r="J2281" s="504"/>
      <c r="K2281" s="504"/>
      <c r="L2281" s="504"/>
      <c r="M2281" s="504"/>
      <c r="N2281" s="504"/>
      <c r="O2281" s="110"/>
      <c r="P2281" s="109"/>
      <c r="Q2281" s="504"/>
      <c r="R2281" s="107"/>
      <c r="S2281" s="503"/>
      <c r="V2281" s="528"/>
    </row>
    <row r="2282" spans="1:22" ht="9.75" customHeight="1">
      <c r="A2282" s="503"/>
      <c r="B2282" s="503" t="s">
        <v>127</v>
      </c>
      <c r="C2282" s="2"/>
      <c r="D2282" s="21" t="s">
        <v>38</v>
      </c>
      <c r="E2282" s="21">
        <f t="shared" ref="E2282:O2282" si="446">SUM(E2266:E2281)</f>
        <v>249</v>
      </c>
      <c r="F2282" s="21">
        <f t="shared" si="446"/>
        <v>145</v>
      </c>
      <c r="G2282" s="71">
        <f t="shared" si="446"/>
        <v>114</v>
      </c>
      <c r="H2282" s="71">
        <f t="shared" si="446"/>
        <v>51</v>
      </c>
      <c r="I2282" s="71">
        <f t="shared" si="446"/>
        <v>44</v>
      </c>
      <c r="J2282" s="71">
        <f t="shared" si="446"/>
        <v>43</v>
      </c>
      <c r="K2282" s="71">
        <f t="shared" si="446"/>
        <v>43</v>
      </c>
      <c r="L2282" s="71">
        <f t="shared" si="446"/>
        <v>47</v>
      </c>
      <c r="M2282" s="71">
        <f t="shared" si="446"/>
        <v>59</v>
      </c>
      <c r="N2282" s="71">
        <f t="shared" si="446"/>
        <v>99</v>
      </c>
      <c r="O2282" s="26">
        <f t="shared" si="446"/>
        <v>132</v>
      </c>
      <c r="P2282" s="71">
        <f>MIN(F2282:O2282)</f>
        <v>43</v>
      </c>
      <c r="Q2282" s="71">
        <f>E2282-P2282</f>
        <v>206</v>
      </c>
      <c r="R2282" s="7">
        <f>Q2282/E2282</f>
        <v>0.82730923694779113</v>
      </c>
      <c r="S2282" s="503"/>
      <c r="V2282" s="528"/>
    </row>
    <row r="2283" spans="1:22" ht="9.75" customHeight="1">
      <c r="A2283" s="503"/>
      <c r="B2283" s="503"/>
      <c r="C2283" s="43" t="s">
        <v>360</v>
      </c>
      <c r="D2283" s="43" t="s">
        <v>23</v>
      </c>
      <c r="E2283" s="13"/>
      <c r="F2283" s="109"/>
      <c r="G2283" s="504"/>
      <c r="H2283" s="504"/>
      <c r="I2283" s="504"/>
      <c r="J2283" s="504"/>
      <c r="K2283" s="504"/>
      <c r="L2283" s="504"/>
      <c r="M2283" s="504"/>
      <c r="N2283" s="504"/>
      <c r="O2283" s="110"/>
      <c r="P2283" s="109"/>
      <c r="Q2283" s="504"/>
      <c r="R2283" s="107"/>
      <c r="S2283" s="503"/>
      <c r="V2283" s="528"/>
    </row>
    <row r="2284" spans="1:22" ht="9.75" customHeight="1">
      <c r="A2284" s="503"/>
      <c r="B2284" s="503"/>
      <c r="C2284" s="13"/>
      <c r="D2284" s="13" t="s">
        <v>25</v>
      </c>
      <c r="E2284" s="13">
        <v>242</v>
      </c>
      <c r="F2284" s="109">
        <v>0</v>
      </c>
      <c r="G2284" s="504">
        <v>0</v>
      </c>
      <c r="H2284" s="504">
        <v>0</v>
      </c>
      <c r="I2284" s="504">
        <v>0</v>
      </c>
      <c r="J2284" s="504">
        <v>0</v>
      </c>
      <c r="K2284" s="504">
        <v>0</v>
      </c>
      <c r="L2284" s="504">
        <v>0</v>
      </c>
      <c r="M2284" s="504">
        <v>0</v>
      </c>
      <c r="N2284" s="504">
        <v>0</v>
      </c>
      <c r="O2284" s="110">
        <v>34</v>
      </c>
      <c r="P2284" s="109">
        <f>MIN(F2284:O2284)</f>
        <v>0</v>
      </c>
      <c r="Q2284" s="504">
        <f>E2284-P2284</f>
        <v>242</v>
      </c>
      <c r="R2284" s="107">
        <f>Q2284/E2284</f>
        <v>1</v>
      </c>
      <c r="S2284" s="503"/>
      <c r="V2284" s="528"/>
    </row>
    <row r="2285" spans="1:22" ht="9.75" customHeight="1">
      <c r="A2285" s="503"/>
      <c r="B2285" s="503"/>
      <c r="C2285" s="13"/>
      <c r="D2285" s="13" t="s">
        <v>27</v>
      </c>
      <c r="E2285" s="13"/>
      <c r="F2285" s="109"/>
      <c r="G2285" s="504"/>
      <c r="H2285" s="504"/>
      <c r="I2285" s="504"/>
      <c r="J2285" s="504"/>
      <c r="K2285" s="504"/>
      <c r="L2285" s="504"/>
      <c r="M2285" s="504"/>
      <c r="N2285" s="504"/>
      <c r="O2285" s="110"/>
      <c r="P2285" s="109"/>
      <c r="Q2285" s="504"/>
      <c r="R2285" s="107"/>
      <c r="S2285" s="503"/>
      <c r="V2285" s="528"/>
    </row>
    <row r="2286" spans="1:22" ht="9.75" customHeight="1">
      <c r="A2286" s="503"/>
      <c r="B2286" s="503"/>
      <c r="C2286" s="13"/>
      <c r="D2286" s="13" t="s">
        <v>115</v>
      </c>
      <c r="E2286" s="13"/>
      <c r="F2286" s="109"/>
      <c r="G2286" s="504"/>
      <c r="H2286" s="504"/>
      <c r="I2286" s="504"/>
      <c r="J2286" s="504"/>
      <c r="K2286" s="504"/>
      <c r="L2286" s="504"/>
      <c r="M2286" s="504"/>
      <c r="N2286" s="504"/>
      <c r="O2286" s="110"/>
      <c r="P2286" s="109"/>
      <c r="Q2286" s="504"/>
      <c r="R2286" s="107"/>
      <c r="S2286" s="503"/>
      <c r="V2286" s="528"/>
    </row>
    <row r="2287" spans="1:22" ht="9.75" customHeight="1">
      <c r="A2287" s="503"/>
      <c r="B2287" s="503"/>
      <c r="C2287" s="13"/>
      <c r="D2287" s="13" t="s">
        <v>115</v>
      </c>
      <c r="E2287" s="13"/>
      <c r="F2287" s="109"/>
      <c r="G2287" s="504"/>
      <c r="H2287" s="504"/>
      <c r="I2287" s="504"/>
      <c r="J2287" s="504"/>
      <c r="K2287" s="504"/>
      <c r="L2287" s="504"/>
      <c r="M2287" s="504"/>
      <c r="N2287" s="504"/>
      <c r="O2287" s="110"/>
      <c r="P2287" s="109"/>
      <c r="Q2287" s="504"/>
      <c r="R2287" s="107"/>
      <c r="S2287" s="503"/>
      <c r="V2287" s="528"/>
    </row>
    <row r="2288" spans="1:22" ht="9.75" customHeight="1">
      <c r="A2288" s="503"/>
      <c r="B2288" s="503"/>
      <c r="C2288" s="13"/>
      <c r="D2288" s="13" t="s">
        <v>32</v>
      </c>
      <c r="E2288" s="13"/>
      <c r="F2288" s="109"/>
      <c r="G2288" s="504"/>
      <c r="H2288" s="504"/>
      <c r="I2288" s="504"/>
      <c r="J2288" s="504"/>
      <c r="K2288" s="504"/>
      <c r="L2288" s="504"/>
      <c r="M2288" s="504"/>
      <c r="N2288" s="504"/>
      <c r="O2288" s="110"/>
      <c r="P2288" s="109"/>
      <c r="Q2288" s="504"/>
      <c r="R2288" s="107"/>
      <c r="S2288" s="503"/>
      <c r="V2288" s="528"/>
    </row>
    <row r="2289" spans="1:22" ht="9.75" customHeight="1">
      <c r="A2289" s="503"/>
      <c r="B2289" s="503"/>
      <c r="C2289" s="13"/>
      <c r="D2289" s="13" t="s">
        <v>191</v>
      </c>
      <c r="E2289" s="13"/>
      <c r="F2289" s="109"/>
      <c r="G2289" s="504"/>
      <c r="H2289" s="504"/>
      <c r="I2289" s="504"/>
      <c r="J2289" s="504"/>
      <c r="K2289" s="504"/>
      <c r="L2289" s="504"/>
      <c r="M2289" s="504"/>
      <c r="N2289" s="504"/>
      <c r="O2289" s="110"/>
      <c r="P2289" s="109"/>
      <c r="Q2289" s="504"/>
      <c r="R2289" s="107"/>
      <c r="S2289" s="503"/>
      <c r="V2289" s="528"/>
    </row>
    <row r="2290" spans="1:22" ht="9.75" customHeight="1">
      <c r="A2290" s="503"/>
      <c r="B2290" s="503"/>
      <c r="C2290" s="13"/>
      <c r="D2290" s="13" t="s">
        <v>120</v>
      </c>
      <c r="E2290" s="13"/>
      <c r="F2290" s="109"/>
      <c r="G2290" s="504"/>
      <c r="H2290" s="504"/>
      <c r="I2290" s="504"/>
      <c r="J2290" s="504"/>
      <c r="K2290" s="504"/>
      <c r="L2290" s="504"/>
      <c r="M2290" s="504"/>
      <c r="N2290" s="504"/>
      <c r="O2290" s="110"/>
      <c r="P2290" s="109"/>
      <c r="Q2290" s="504"/>
      <c r="R2290" s="107"/>
      <c r="S2290" s="503"/>
      <c r="V2290" s="528"/>
    </row>
    <row r="2291" spans="1:22" ht="9.75" customHeight="1">
      <c r="A2291" s="503"/>
      <c r="B2291" s="503"/>
      <c r="C2291" s="13"/>
      <c r="D2291" s="13" t="s">
        <v>120</v>
      </c>
      <c r="E2291" s="13"/>
      <c r="F2291" s="109"/>
      <c r="G2291" s="504"/>
      <c r="H2291" s="504"/>
      <c r="I2291" s="504"/>
      <c r="J2291" s="504"/>
      <c r="K2291" s="504"/>
      <c r="L2291" s="504"/>
      <c r="M2291" s="504"/>
      <c r="N2291" s="504"/>
      <c r="O2291" s="110"/>
      <c r="P2291" s="109"/>
      <c r="Q2291" s="504"/>
      <c r="R2291" s="107"/>
      <c r="S2291" s="503"/>
      <c r="V2291" s="528"/>
    </row>
    <row r="2292" spans="1:22" ht="9.75" customHeight="1">
      <c r="A2292" s="503"/>
      <c r="B2292" s="503"/>
      <c r="C2292" s="13"/>
      <c r="D2292" s="13" t="s">
        <v>120</v>
      </c>
      <c r="E2292" s="13"/>
      <c r="F2292" s="109"/>
      <c r="G2292" s="504"/>
      <c r="H2292" s="504"/>
      <c r="I2292" s="504"/>
      <c r="J2292" s="504"/>
      <c r="K2292" s="504"/>
      <c r="L2292" s="504"/>
      <c r="M2292" s="504"/>
      <c r="N2292" s="504"/>
      <c r="O2292" s="110"/>
      <c r="P2292" s="109"/>
      <c r="Q2292" s="504"/>
      <c r="R2292" s="107"/>
      <c r="S2292" s="503"/>
      <c r="V2292" s="528"/>
    </row>
    <row r="2293" spans="1:22" ht="9.75" customHeight="1">
      <c r="A2293" s="503"/>
      <c r="B2293" s="503"/>
      <c r="C2293" s="13"/>
      <c r="D2293" s="13" t="s">
        <v>120</v>
      </c>
      <c r="E2293" s="13"/>
      <c r="F2293" s="109"/>
      <c r="G2293" s="504"/>
      <c r="H2293" s="504"/>
      <c r="I2293" s="504"/>
      <c r="J2293" s="504"/>
      <c r="K2293" s="504"/>
      <c r="L2293" s="504"/>
      <c r="M2293" s="504"/>
      <c r="N2293" s="504"/>
      <c r="O2293" s="110"/>
      <c r="P2293" s="109"/>
      <c r="Q2293" s="504"/>
      <c r="R2293" s="107"/>
      <c r="S2293" s="503"/>
      <c r="V2293" s="528"/>
    </row>
    <row r="2294" spans="1:22" ht="9.75" customHeight="1">
      <c r="A2294" s="503"/>
      <c r="B2294" s="503"/>
      <c r="C2294" s="13"/>
      <c r="D2294" s="13" t="s">
        <v>120</v>
      </c>
      <c r="E2294" s="13"/>
      <c r="F2294" s="109"/>
      <c r="G2294" s="504"/>
      <c r="H2294" s="504"/>
      <c r="I2294" s="504"/>
      <c r="J2294" s="504"/>
      <c r="K2294" s="504"/>
      <c r="L2294" s="504"/>
      <c r="M2294" s="504"/>
      <c r="N2294" s="504"/>
      <c r="O2294" s="110"/>
      <c r="P2294" s="109"/>
      <c r="Q2294" s="504"/>
      <c r="R2294" s="107"/>
      <c r="S2294" s="503"/>
      <c r="V2294" s="528"/>
    </row>
    <row r="2295" spans="1:22" ht="9.75" customHeight="1">
      <c r="A2295" s="503"/>
      <c r="B2295" s="503"/>
      <c r="C2295" s="13"/>
      <c r="D2295" s="13" t="s">
        <v>34</v>
      </c>
      <c r="E2295" s="13"/>
      <c r="F2295" s="109"/>
      <c r="G2295" s="504"/>
      <c r="H2295" s="504"/>
      <c r="I2295" s="504"/>
      <c r="J2295" s="504"/>
      <c r="K2295" s="504"/>
      <c r="L2295" s="504"/>
      <c r="M2295" s="504"/>
      <c r="N2295" s="504"/>
      <c r="O2295" s="110"/>
      <c r="P2295" s="109"/>
      <c r="Q2295" s="504"/>
      <c r="R2295" s="107"/>
      <c r="S2295" s="503"/>
      <c r="V2295" s="528"/>
    </row>
    <row r="2296" spans="1:22" ht="9.75" customHeight="1">
      <c r="A2296" s="503"/>
      <c r="B2296" s="503"/>
      <c r="C2296" s="13"/>
      <c r="D2296" s="13" t="s">
        <v>35</v>
      </c>
      <c r="E2296" s="13"/>
      <c r="F2296" s="109"/>
      <c r="G2296" s="504"/>
      <c r="H2296" s="504"/>
      <c r="I2296" s="504"/>
      <c r="J2296" s="504"/>
      <c r="K2296" s="504"/>
      <c r="L2296" s="504"/>
      <c r="M2296" s="504"/>
      <c r="N2296" s="504"/>
      <c r="O2296" s="110"/>
      <c r="P2296" s="109"/>
      <c r="Q2296" s="504"/>
      <c r="R2296" s="107"/>
      <c r="S2296" s="503"/>
      <c r="V2296" s="528"/>
    </row>
    <row r="2297" spans="1:22" ht="9.75" customHeight="1">
      <c r="A2297" s="503"/>
      <c r="B2297" s="503"/>
      <c r="C2297" s="13"/>
      <c r="D2297" s="13" t="s">
        <v>36</v>
      </c>
      <c r="E2297" s="13"/>
      <c r="F2297" s="109"/>
      <c r="G2297" s="504"/>
      <c r="H2297" s="504"/>
      <c r="I2297" s="504"/>
      <c r="J2297" s="504"/>
      <c r="K2297" s="504"/>
      <c r="L2297" s="504"/>
      <c r="M2297" s="504"/>
      <c r="N2297" s="504"/>
      <c r="O2297" s="110"/>
      <c r="P2297" s="109"/>
      <c r="Q2297" s="504"/>
      <c r="R2297" s="107"/>
      <c r="S2297" s="503"/>
      <c r="V2297" s="528"/>
    </row>
    <row r="2298" spans="1:22" ht="9.75" customHeight="1">
      <c r="A2298" s="503"/>
      <c r="B2298" s="503"/>
      <c r="C2298" s="13"/>
      <c r="D2298" s="13" t="s">
        <v>37</v>
      </c>
      <c r="E2298" s="13"/>
      <c r="F2298" s="109"/>
      <c r="G2298" s="504"/>
      <c r="H2298" s="504"/>
      <c r="I2298" s="504"/>
      <c r="J2298" s="504"/>
      <c r="K2298" s="504"/>
      <c r="L2298" s="504"/>
      <c r="M2298" s="504"/>
      <c r="N2298" s="504"/>
      <c r="O2298" s="110"/>
      <c r="P2298" s="109"/>
      <c r="Q2298" s="504"/>
      <c r="R2298" s="107"/>
      <c r="S2298" s="503"/>
      <c r="V2298" s="528"/>
    </row>
    <row r="2299" spans="1:22" ht="9.75" customHeight="1">
      <c r="A2299" s="503"/>
      <c r="B2299" s="503" t="s">
        <v>127</v>
      </c>
      <c r="C2299" s="2"/>
      <c r="D2299" s="21" t="s">
        <v>38</v>
      </c>
      <c r="E2299" s="21">
        <f t="shared" ref="E2299:O2299" si="447">SUM(E2283:E2298)</f>
        <v>242</v>
      </c>
      <c r="F2299" s="21">
        <f t="shared" si="447"/>
        <v>0</v>
      </c>
      <c r="G2299" s="71">
        <f t="shared" si="447"/>
        <v>0</v>
      </c>
      <c r="H2299" s="71">
        <f t="shared" si="447"/>
        <v>0</v>
      </c>
      <c r="I2299" s="71">
        <f t="shared" si="447"/>
        <v>0</v>
      </c>
      <c r="J2299" s="71">
        <f t="shared" si="447"/>
        <v>0</v>
      </c>
      <c r="K2299" s="71">
        <f t="shared" si="447"/>
        <v>0</v>
      </c>
      <c r="L2299" s="71">
        <f t="shared" si="447"/>
        <v>0</v>
      </c>
      <c r="M2299" s="71">
        <f t="shared" si="447"/>
        <v>0</v>
      </c>
      <c r="N2299" s="71">
        <f t="shared" si="447"/>
        <v>0</v>
      </c>
      <c r="O2299" s="26">
        <f t="shared" si="447"/>
        <v>34</v>
      </c>
      <c r="P2299" s="71">
        <f>MIN(F2299:O2299)</f>
        <v>0</v>
      </c>
      <c r="Q2299" s="71">
        <f>E2299-P2299</f>
        <v>242</v>
      </c>
      <c r="R2299" s="7">
        <f>Q2299/E2299</f>
        <v>1</v>
      </c>
      <c r="S2299" s="503"/>
      <c r="V2299" s="528"/>
    </row>
    <row r="2300" spans="1:22" ht="9.75" customHeight="1">
      <c r="A2300" s="503"/>
      <c r="B2300" s="503"/>
      <c r="C2300" s="43" t="s">
        <v>361</v>
      </c>
      <c r="D2300" s="43" t="s">
        <v>23</v>
      </c>
      <c r="E2300" s="13"/>
      <c r="F2300" s="109"/>
      <c r="G2300" s="504"/>
      <c r="H2300" s="504"/>
      <c r="I2300" s="504"/>
      <c r="J2300" s="504"/>
      <c r="K2300" s="504"/>
      <c r="L2300" s="504"/>
      <c r="M2300" s="504"/>
      <c r="N2300" s="504"/>
      <c r="O2300" s="110"/>
      <c r="P2300" s="116"/>
      <c r="Q2300" s="128"/>
      <c r="R2300" s="141"/>
      <c r="S2300" s="503"/>
      <c r="V2300" s="528"/>
    </row>
    <row r="2301" spans="1:22" ht="9.75" customHeight="1">
      <c r="A2301" s="503"/>
      <c r="B2301" s="503"/>
      <c r="C2301" s="13"/>
      <c r="D2301" s="13" t="s">
        <v>25</v>
      </c>
      <c r="E2301" s="13"/>
      <c r="F2301" s="109"/>
      <c r="G2301" s="504"/>
      <c r="H2301" s="504"/>
      <c r="I2301" s="504"/>
      <c r="J2301" s="504"/>
      <c r="K2301" s="504"/>
      <c r="L2301" s="504"/>
      <c r="M2301" s="504"/>
      <c r="N2301" s="504"/>
      <c r="O2301" s="110"/>
      <c r="P2301" s="109"/>
      <c r="Q2301" s="504"/>
      <c r="R2301" s="107"/>
      <c r="S2301" s="503"/>
      <c r="V2301" s="528"/>
    </row>
    <row r="2302" spans="1:22" ht="9.75" customHeight="1">
      <c r="A2302" s="503"/>
      <c r="B2302" s="503"/>
      <c r="C2302" s="13"/>
      <c r="D2302" s="13" t="s">
        <v>27</v>
      </c>
      <c r="E2302" s="13"/>
      <c r="F2302" s="109"/>
      <c r="G2302" s="504"/>
      <c r="H2302" s="504"/>
      <c r="I2302" s="504"/>
      <c r="J2302" s="504"/>
      <c r="K2302" s="504"/>
      <c r="L2302" s="504"/>
      <c r="M2302" s="504"/>
      <c r="N2302" s="504"/>
      <c r="O2302" s="110"/>
      <c r="P2302" s="109"/>
      <c r="Q2302" s="504"/>
      <c r="R2302" s="107"/>
      <c r="S2302" s="503"/>
      <c r="V2302" s="528"/>
    </row>
    <row r="2303" spans="1:22" ht="9.75" customHeight="1">
      <c r="A2303" s="503"/>
      <c r="B2303" s="503"/>
      <c r="C2303" s="13"/>
      <c r="D2303" s="13" t="s">
        <v>173</v>
      </c>
      <c r="E2303" s="13">
        <v>128</v>
      </c>
      <c r="F2303" s="109">
        <v>100</v>
      </c>
      <c r="G2303" s="504">
        <v>99</v>
      </c>
      <c r="H2303" s="504">
        <v>99</v>
      </c>
      <c r="I2303" s="504">
        <v>99</v>
      </c>
      <c r="J2303" s="504">
        <v>99</v>
      </c>
      <c r="K2303" s="504">
        <v>99</v>
      </c>
      <c r="L2303" s="504">
        <v>99</v>
      </c>
      <c r="M2303" s="504">
        <v>98</v>
      </c>
      <c r="N2303" s="504">
        <v>99</v>
      </c>
      <c r="O2303" s="110">
        <v>107</v>
      </c>
      <c r="P2303" s="109">
        <f>MIN(F2303:O2303)</f>
        <v>98</v>
      </c>
      <c r="Q2303" s="504">
        <f>E2303-P2303</f>
        <v>30</v>
      </c>
      <c r="R2303" s="107">
        <f>Q2303/E2303</f>
        <v>0.234375</v>
      </c>
      <c r="S2303" s="503"/>
      <c r="V2303" s="528"/>
    </row>
    <row r="2304" spans="1:22" ht="9.75" customHeight="1">
      <c r="A2304" s="503"/>
      <c r="B2304" s="503"/>
      <c r="C2304" s="13"/>
      <c r="D2304" s="13" t="s">
        <v>115</v>
      </c>
      <c r="E2304" s="13"/>
      <c r="F2304" s="109"/>
      <c r="G2304" s="504"/>
      <c r="H2304" s="504"/>
      <c r="I2304" s="504"/>
      <c r="J2304" s="504"/>
      <c r="K2304" s="504"/>
      <c r="L2304" s="504"/>
      <c r="M2304" s="504"/>
      <c r="N2304" s="504"/>
      <c r="O2304" s="110"/>
      <c r="P2304" s="109"/>
      <c r="Q2304" s="504"/>
      <c r="R2304" s="107"/>
      <c r="S2304" s="503"/>
      <c r="V2304" s="528"/>
    </row>
    <row r="2305" spans="1:22" ht="9.75" customHeight="1">
      <c r="A2305" s="503"/>
      <c r="B2305" s="503"/>
      <c r="C2305" s="13"/>
      <c r="D2305" s="13" t="s">
        <v>32</v>
      </c>
      <c r="E2305" s="13"/>
      <c r="F2305" s="109"/>
      <c r="G2305" s="504"/>
      <c r="H2305" s="504"/>
      <c r="I2305" s="504"/>
      <c r="J2305" s="504"/>
      <c r="K2305" s="504"/>
      <c r="L2305" s="504"/>
      <c r="M2305" s="504"/>
      <c r="N2305" s="504"/>
      <c r="O2305" s="110"/>
      <c r="P2305" s="109"/>
      <c r="Q2305" s="504"/>
      <c r="R2305" s="107"/>
      <c r="S2305" s="503"/>
      <c r="V2305" s="528"/>
    </row>
    <row r="2306" spans="1:22" ht="9.75" customHeight="1">
      <c r="A2306" s="503"/>
      <c r="B2306" s="503"/>
      <c r="C2306" s="13"/>
      <c r="D2306" s="13" t="s">
        <v>120</v>
      </c>
      <c r="E2306" s="13"/>
      <c r="F2306" s="42"/>
      <c r="G2306" s="42"/>
      <c r="H2306" s="42"/>
      <c r="I2306" s="42"/>
      <c r="J2306" s="42"/>
      <c r="K2306" s="42"/>
      <c r="L2306" s="42"/>
      <c r="M2306" s="42"/>
      <c r="N2306" s="42"/>
      <c r="O2306" s="42"/>
      <c r="P2306" s="109"/>
      <c r="Q2306" s="504"/>
      <c r="R2306" s="107"/>
      <c r="S2306" s="503"/>
      <c r="V2306" s="528"/>
    </row>
    <row r="2307" spans="1:22" ht="9.75" customHeight="1">
      <c r="A2307" s="503"/>
      <c r="B2307" s="503"/>
      <c r="C2307" s="13"/>
      <c r="D2307" s="13" t="s">
        <v>120</v>
      </c>
      <c r="E2307" s="13"/>
      <c r="F2307" s="109"/>
      <c r="G2307" s="504"/>
      <c r="H2307" s="504"/>
      <c r="I2307" s="504"/>
      <c r="J2307" s="504"/>
      <c r="K2307" s="504"/>
      <c r="L2307" s="504"/>
      <c r="M2307" s="504"/>
      <c r="N2307" s="504"/>
      <c r="O2307" s="110"/>
      <c r="P2307" s="109"/>
      <c r="Q2307" s="504"/>
      <c r="R2307" s="107"/>
      <c r="S2307" s="503"/>
      <c r="V2307" s="528"/>
    </row>
    <row r="2308" spans="1:22" ht="9.75" customHeight="1">
      <c r="A2308" s="503"/>
      <c r="B2308" s="503"/>
      <c r="C2308" s="13"/>
      <c r="D2308" s="13" t="s">
        <v>120</v>
      </c>
      <c r="E2308" s="13"/>
      <c r="F2308" s="109"/>
      <c r="G2308" s="504"/>
      <c r="H2308" s="504"/>
      <c r="I2308" s="504"/>
      <c r="J2308" s="504"/>
      <c r="K2308" s="504"/>
      <c r="L2308" s="504"/>
      <c r="M2308" s="504"/>
      <c r="N2308" s="504"/>
      <c r="O2308" s="110"/>
      <c r="P2308" s="109"/>
      <c r="Q2308" s="504"/>
      <c r="R2308" s="107"/>
      <c r="S2308" s="503"/>
      <c r="V2308" s="528"/>
    </row>
    <row r="2309" spans="1:22" ht="9.75" customHeight="1">
      <c r="A2309" s="503"/>
      <c r="B2309" s="503"/>
      <c r="C2309" s="13"/>
      <c r="D2309" s="13" t="s">
        <v>120</v>
      </c>
      <c r="E2309" s="13"/>
      <c r="F2309" s="109"/>
      <c r="G2309" s="504"/>
      <c r="H2309" s="504"/>
      <c r="I2309" s="504"/>
      <c r="J2309" s="504"/>
      <c r="K2309" s="504"/>
      <c r="L2309" s="504"/>
      <c r="M2309" s="504"/>
      <c r="N2309" s="504"/>
      <c r="O2309" s="110"/>
      <c r="P2309" s="109"/>
      <c r="Q2309" s="504"/>
      <c r="R2309" s="107"/>
      <c r="S2309" s="503"/>
      <c r="V2309" s="528"/>
    </row>
    <row r="2310" spans="1:22" ht="9.75" customHeight="1">
      <c r="A2310" s="503"/>
      <c r="B2310" s="503"/>
      <c r="C2310" s="13"/>
      <c r="D2310" s="13" t="s">
        <v>120</v>
      </c>
      <c r="E2310" s="13"/>
      <c r="F2310" s="109"/>
      <c r="G2310" s="504"/>
      <c r="H2310" s="504"/>
      <c r="I2310" s="504"/>
      <c r="J2310" s="504"/>
      <c r="K2310" s="504"/>
      <c r="L2310" s="504"/>
      <c r="M2310" s="504"/>
      <c r="N2310" s="504"/>
      <c r="O2310" s="110"/>
      <c r="P2310" s="109"/>
      <c r="Q2310" s="504"/>
      <c r="R2310" s="107"/>
      <c r="S2310" s="503"/>
      <c r="V2310" s="528"/>
    </row>
    <row r="2311" spans="1:22" ht="9.75" customHeight="1">
      <c r="A2311" s="503"/>
      <c r="B2311" s="503"/>
      <c r="C2311" s="13"/>
      <c r="D2311" s="13" t="s">
        <v>120</v>
      </c>
      <c r="E2311" s="13"/>
      <c r="F2311" s="109"/>
      <c r="G2311" s="504"/>
      <c r="H2311" s="504"/>
      <c r="I2311" s="504"/>
      <c r="J2311" s="504"/>
      <c r="K2311" s="504"/>
      <c r="L2311" s="504"/>
      <c r="M2311" s="504"/>
      <c r="N2311" s="504"/>
      <c r="O2311" s="110"/>
      <c r="P2311" s="109"/>
      <c r="Q2311" s="504"/>
      <c r="R2311" s="107"/>
      <c r="S2311" s="503"/>
      <c r="V2311" s="528"/>
    </row>
    <row r="2312" spans="1:22" ht="9.75" customHeight="1">
      <c r="A2312" s="503"/>
      <c r="B2312" s="503"/>
      <c r="C2312" s="13"/>
      <c r="D2312" s="13" t="s">
        <v>34</v>
      </c>
      <c r="E2312" s="13"/>
      <c r="F2312" s="109"/>
      <c r="G2312" s="504"/>
      <c r="H2312" s="504"/>
      <c r="I2312" s="504"/>
      <c r="J2312" s="504"/>
      <c r="K2312" s="504"/>
      <c r="L2312" s="504"/>
      <c r="M2312" s="504"/>
      <c r="N2312" s="504"/>
      <c r="O2312" s="110"/>
      <c r="P2312" s="109"/>
      <c r="Q2312" s="504"/>
      <c r="R2312" s="107"/>
      <c r="S2312" s="503"/>
      <c r="V2312" s="528"/>
    </row>
    <row r="2313" spans="1:22" ht="9.75" customHeight="1">
      <c r="A2313" s="503"/>
      <c r="B2313" s="503"/>
      <c r="C2313" s="13"/>
      <c r="D2313" s="13" t="s">
        <v>35</v>
      </c>
      <c r="E2313" s="13"/>
      <c r="F2313" s="109"/>
      <c r="G2313" s="504"/>
      <c r="H2313" s="504"/>
      <c r="I2313" s="504"/>
      <c r="J2313" s="504"/>
      <c r="K2313" s="504"/>
      <c r="L2313" s="504"/>
      <c r="M2313" s="504"/>
      <c r="N2313" s="504"/>
      <c r="O2313" s="110"/>
      <c r="P2313" s="109"/>
      <c r="Q2313" s="504"/>
      <c r="R2313" s="107"/>
      <c r="S2313" s="503"/>
      <c r="V2313" s="528"/>
    </row>
    <row r="2314" spans="1:22" ht="9.75" customHeight="1">
      <c r="A2314" s="503"/>
      <c r="B2314" s="503"/>
      <c r="C2314" s="13"/>
      <c r="D2314" s="13" t="s">
        <v>36</v>
      </c>
      <c r="E2314" s="13"/>
      <c r="F2314" s="109"/>
      <c r="G2314" s="504"/>
      <c r="H2314" s="504"/>
      <c r="I2314" s="504"/>
      <c r="J2314" s="504"/>
      <c r="K2314" s="504"/>
      <c r="L2314" s="504"/>
      <c r="M2314" s="504"/>
      <c r="N2314" s="504"/>
      <c r="O2314" s="110"/>
      <c r="P2314" s="109"/>
      <c r="Q2314" s="504"/>
      <c r="R2314" s="107"/>
      <c r="S2314" s="503"/>
      <c r="V2314" s="528"/>
    </row>
    <row r="2315" spans="1:22" ht="9.75" customHeight="1">
      <c r="A2315" s="503"/>
      <c r="B2315" s="503"/>
      <c r="C2315" s="13"/>
      <c r="D2315" s="13" t="s">
        <v>37</v>
      </c>
      <c r="E2315" s="13"/>
      <c r="F2315" s="109"/>
      <c r="G2315" s="504"/>
      <c r="H2315" s="504"/>
      <c r="I2315" s="504"/>
      <c r="J2315" s="504"/>
      <c r="K2315" s="504"/>
      <c r="L2315" s="504"/>
      <c r="M2315" s="504"/>
      <c r="N2315" s="504"/>
      <c r="O2315" s="110"/>
      <c r="P2315" s="109"/>
      <c r="Q2315" s="504"/>
      <c r="R2315" s="107"/>
      <c r="S2315" s="503"/>
      <c r="V2315" s="528"/>
    </row>
    <row r="2316" spans="1:22" ht="9.75" customHeight="1">
      <c r="A2316" s="503"/>
      <c r="B2316" s="503" t="s">
        <v>127</v>
      </c>
      <c r="C2316" s="2"/>
      <c r="D2316" s="21" t="s">
        <v>38</v>
      </c>
      <c r="E2316" s="21">
        <f t="shared" ref="E2316:O2316" si="448">SUM(E2300:E2315)</f>
        <v>128</v>
      </c>
      <c r="F2316" s="21">
        <f>SUM(F2300:F2315)</f>
        <v>100</v>
      </c>
      <c r="G2316" s="71">
        <f>SUM(G2300:G2315)</f>
        <v>99</v>
      </c>
      <c r="H2316" s="71">
        <f>SUM(H2300:H2315)</f>
        <v>99</v>
      </c>
      <c r="I2316" s="71">
        <f>SUM(I2300:I2315)</f>
        <v>99</v>
      </c>
      <c r="J2316" s="71">
        <f>SUM(J2300:J2315)</f>
        <v>99</v>
      </c>
      <c r="K2316" s="71">
        <f t="shared" si="448"/>
        <v>99</v>
      </c>
      <c r="L2316" s="71">
        <f t="shared" si="448"/>
        <v>99</v>
      </c>
      <c r="M2316" s="71">
        <f t="shared" si="448"/>
        <v>98</v>
      </c>
      <c r="N2316" s="71">
        <f t="shared" si="448"/>
        <v>99</v>
      </c>
      <c r="O2316" s="26">
        <f t="shared" si="448"/>
        <v>107</v>
      </c>
      <c r="P2316" s="71">
        <f>MIN(F2316:O2316)</f>
        <v>98</v>
      </c>
      <c r="Q2316" s="71">
        <f>E2316-P2316</f>
        <v>30</v>
      </c>
      <c r="R2316" s="7">
        <f>Q2316/E2316</f>
        <v>0.234375</v>
      </c>
      <c r="S2316" s="503"/>
      <c r="V2316" s="528"/>
    </row>
    <row r="2317" spans="1:22" ht="9.75" customHeight="1">
      <c r="A2317" s="503"/>
      <c r="B2317" s="503"/>
      <c r="C2317" s="43" t="s">
        <v>362</v>
      </c>
      <c r="D2317" s="43" t="s">
        <v>23</v>
      </c>
      <c r="E2317" s="13"/>
      <c r="F2317" s="109"/>
      <c r="G2317" s="504"/>
      <c r="H2317" s="504"/>
      <c r="I2317" s="504"/>
      <c r="J2317" s="504"/>
      <c r="K2317" s="504"/>
      <c r="L2317" s="504"/>
      <c r="M2317" s="504"/>
      <c r="N2317" s="504"/>
      <c r="O2317" s="110"/>
      <c r="P2317" s="109"/>
      <c r="Q2317" s="504"/>
      <c r="R2317" s="107"/>
      <c r="S2317" s="503"/>
      <c r="V2317" s="528"/>
    </row>
    <row r="2318" spans="1:22" ht="9.75" customHeight="1">
      <c r="A2318" s="503"/>
      <c r="B2318" s="503"/>
      <c r="C2318" s="13"/>
      <c r="D2318" s="13" t="s">
        <v>25</v>
      </c>
      <c r="E2318" s="13"/>
      <c r="F2318" s="109"/>
      <c r="G2318" s="504"/>
      <c r="H2318" s="504"/>
      <c r="I2318" s="504"/>
      <c r="J2318" s="504"/>
      <c r="K2318" s="504"/>
      <c r="L2318" s="504"/>
      <c r="M2318" s="504"/>
      <c r="N2318" s="504"/>
      <c r="O2318" s="110"/>
      <c r="P2318" s="109"/>
      <c r="Q2318" s="504"/>
      <c r="R2318" s="107"/>
      <c r="S2318" s="503"/>
      <c r="V2318" s="528"/>
    </row>
    <row r="2319" spans="1:22" ht="9.75" customHeight="1">
      <c r="A2319" s="503"/>
      <c r="B2319" s="503"/>
      <c r="C2319" s="13"/>
      <c r="D2319" s="13" t="s">
        <v>27</v>
      </c>
      <c r="E2319" s="13"/>
      <c r="F2319" s="109"/>
      <c r="G2319" s="504"/>
      <c r="H2319" s="504"/>
      <c r="I2319" s="504"/>
      <c r="J2319" s="504"/>
      <c r="K2319" s="504"/>
      <c r="L2319" s="504"/>
      <c r="M2319" s="504"/>
      <c r="N2319" s="504"/>
      <c r="O2319" s="110"/>
      <c r="P2319" s="109"/>
      <c r="Q2319" s="504"/>
      <c r="R2319" s="107"/>
      <c r="S2319" s="503"/>
      <c r="V2319" s="528"/>
    </row>
    <row r="2320" spans="1:22" ht="9.75" customHeight="1">
      <c r="A2320" s="503"/>
      <c r="B2320" s="503"/>
      <c r="C2320" s="13"/>
      <c r="D2320" s="13" t="s">
        <v>173</v>
      </c>
      <c r="E2320" s="13">
        <f>120+57</f>
        <v>177</v>
      </c>
      <c r="F2320" s="109">
        <v>70</v>
      </c>
      <c r="G2320" s="504">
        <v>66</v>
      </c>
      <c r="H2320" s="504">
        <v>62</v>
      </c>
      <c r="I2320" s="504">
        <v>61</v>
      </c>
      <c r="J2320" s="504">
        <v>53</v>
      </c>
      <c r="K2320" s="504">
        <f>4+57-8</f>
        <v>53</v>
      </c>
      <c r="L2320" s="504">
        <f>7+57-7</f>
        <v>57</v>
      </c>
      <c r="M2320" s="504">
        <f>15+57-6</f>
        <v>66</v>
      </c>
      <c r="N2320" s="504">
        <f>34+53</f>
        <v>87</v>
      </c>
      <c r="O2320" s="110">
        <v>104</v>
      </c>
      <c r="P2320" s="109">
        <f>MIN(F2320:O2320)</f>
        <v>53</v>
      </c>
      <c r="Q2320" s="504">
        <f>E2320-P2320</f>
        <v>124</v>
      </c>
      <c r="R2320" s="107">
        <f>Q2320/E2320</f>
        <v>0.70056497175141241</v>
      </c>
      <c r="S2320" s="503"/>
      <c r="V2320" s="528"/>
    </row>
    <row r="2321" spans="1:22" ht="9.75" customHeight="1">
      <c r="A2321" s="503"/>
      <c r="B2321" s="503"/>
      <c r="C2321" s="13"/>
      <c r="D2321" s="13" t="s">
        <v>115</v>
      </c>
      <c r="E2321" s="13"/>
      <c r="F2321" s="109"/>
      <c r="G2321" s="504"/>
      <c r="H2321" s="504"/>
      <c r="I2321" s="504"/>
      <c r="J2321" s="504"/>
      <c r="K2321" s="504"/>
      <c r="L2321" s="504"/>
      <c r="M2321" s="504"/>
      <c r="N2321" s="504"/>
      <c r="O2321" s="110"/>
      <c r="P2321" s="109"/>
      <c r="Q2321" s="504"/>
      <c r="R2321" s="107"/>
      <c r="S2321" s="503"/>
      <c r="V2321" s="528"/>
    </row>
    <row r="2322" spans="1:22" ht="9.75" customHeight="1">
      <c r="A2322" s="503"/>
      <c r="B2322" s="503"/>
      <c r="C2322" s="13"/>
      <c r="D2322" s="13" t="s">
        <v>32</v>
      </c>
      <c r="E2322" s="13"/>
      <c r="F2322" s="109"/>
      <c r="G2322" s="504"/>
      <c r="H2322" s="504"/>
      <c r="I2322" s="504"/>
      <c r="J2322" s="504"/>
      <c r="K2322" s="504"/>
      <c r="L2322" s="504"/>
      <c r="M2322" s="504"/>
      <c r="N2322" s="504"/>
      <c r="O2322" s="110"/>
      <c r="P2322" s="109"/>
      <c r="Q2322" s="504"/>
      <c r="R2322" s="107"/>
      <c r="S2322" s="503"/>
      <c r="V2322" s="528"/>
    </row>
    <row r="2323" spans="1:22" ht="9.75" customHeight="1">
      <c r="A2323" s="503"/>
      <c r="B2323" s="503"/>
      <c r="C2323" s="13"/>
      <c r="D2323" s="13" t="s">
        <v>118</v>
      </c>
      <c r="E2323" s="13"/>
      <c r="F2323" s="109"/>
      <c r="G2323" s="504"/>
      <c r="H2323" s="504"/>
      <c r="I2323" s="504"/>
      <c r="J2323" s="504"/>
      <c r="K2323" s="504"/>
      <c r="L2323" s="504"/>
      <c r="M2323" s="504"/>
      <c r="N2323" s="504"/>
      <c r="O2323" s="110"/>
      <c r="P2323" s="109"/>
      <c r="Q2323" s="504"/>
      <c r="R2323" s="107"/>
      <c r="S2323" s="503"/>
      <c r="V2323" s="528"/>
    </row>
    <row r="2324" spans="1:22" ht="9.75" customHeight="1">
      <c r="A2324" s="503"/>
      <c r="B2324" s="503"/>
      <c r="C2324" s="13"/>
      <c r="D2324" s="13" t="s">
        <v>120</v>
      </c>
      <c r="E2324" s="13"/>
      <c r="F2324" s="109"/>
      <c r="G2324" s="504"/>
      <c r="H2324" s="504"/>
      <c r="I2324" s="504"/>
      <c r="J2324" s="504"/>
      <c r="K2324" s="504"/>
      <c r="L2324" s="504"/>
      <c r="M2324" s="504"/>
      <c r="N2324" s="504"/>
      <c r="O2324" s="110"/>
      <c r="P2324" s="109"/>
      <c r="Q2324" s="504"/>
      <c r="R2324" s="107"/>
      <c r="S2324" s="503"/>
      <c r="V2324" s="528"/>
    </row>
    <row r="2325" spans="1:22" ht="9.75" customHeight="1">
      <c r="A2325" s="503"/>
      <c r="B2325" s="503"/>
      <c r="C2325" s="13"/>
      <c r="D2325" s="13" t="s">
        <v>120</v>
      </c>
      <c r="E2325" s="13"/>
      <c r="F2325" s="109"/>
      <c r="G2325" s="504"/>
      <c r="H2325" s="504"/>
      <c r="I2325" s="504"/>
      <c r="J2325" s="504"/>
      <c r="K2325" s="504"/>
      <c r="L2325" s="504"/>
      <c r="M2325" s="504"/>
      <c r="N2325" s="504"/>
      <c r="O2325" s="110"/>
      <c r="P2325" s="109"/>
      <c r="Q2325" s="504"/>
      <c r="R2325" s="107"/>
      <c r="S2325" s="503"/>
      <c r="V2325" s="528"/>
    </row>
    <row r="2326" spans="1:22" ht="9.75" customHeight="1">
      <c r="A2326" s="503"/>
      <c r="B2326" s="503"/>
      <c r="C2326" s="13"/>
      <c r="D2326" s="13" t="s">
        <v>120</v>
      </c>
      <c r="E2326" s="13"/>
      <c r="F2326" s="109"/>
      <c r="G2326" s="504"/>
      <c r="H2326" s="504"/>
      <c r="I2326" s="504"/>
      <c r="J2326" s="504"/>
      <c r="K2326" s="504"/>
      <c r="L2326" s="504"/>
      <c r="M2326" s="504"/>
      <c r="N2326" s="504"/>
      <c r="O2326" s="110"/>
      <c r="P2326" s="109"/>
      <c r="Q2326" s="504"/>
      <c r="R2326" s="107"/>
      <c r="S2326" s="503"/>
      <c r="V2326" s="528"/>
    </row>
    <row r="2327" spans="1:22" ht="9.75" customHeight="1">
      <c r="A2327" s="503"/>
      <c r="B2327" s="503"/>
      <c r="C2327" s="13"/>
      <c r="D2327" s="13" t="s">
        <v>120</v>
      </c>
      <c r="E2327" s="13"/>
      <c r="F2327" s="109"/>
      <c r="G2327" s="504"/>
      <c r="H2327" s="504"/>
      <c r="I2327" s="504"/>
      <c r="J2327" s="504"/>
      <c r="K2327" s="504"/>
      <c r="L2327" s="504"/>
      <c r="M2327" s="504"/>
      <c r="N2327" s="504"/>
      <c r="O2327" s="110"/>
      <c r="P2327" s="109"/>
      <c r="Q2327" s="504"/>
      <c r="R2327" s="107"/>
      <c r="S2327" s="503"/>
      <c r="V2327" s="528"/>
    </row>
    <row r="2328" spans="1:22" ht="9.75" customHeight="1">
      <c r="A2328" s="503"/>
      <c r="B2328" s="503"/>
      <c r="C2328" s="13"/>
      <c r="D2328" s="13" t="s">
        <v>120</v>
      </c>
      <c r="E2328" s="13"/>
      <c r="F2328" s="109"/>
      <c r="G2328" s="504"/>
      <c r="H2328" s="504"/>
      <c r="I2328" s="504"/>
      <c r="J2328" s="504"/>
      <c r="K2328" s="504"/>
      <c r="L2328" s="504"/>
      <c r="M2328" s="504"/>
      <c r="N2328" s="504"/>
      <c r="O2328" s="110"/>
      <c r="P2328" s="109"/>
      <c r="Q2328" s="504"/>
      <c r="R2328" s="107"/>
      <c r="S2328" s="503"/>
      <c r="V2328" s="528"/>
    </row>
    <row r="2329" spans="1:22" ht="9.75" customHeight="1">
      <c r="A2329" s="503"/>
      <c r="B2329" s="503"/>
      <c r="C2329" s="13"/>
      <c r="D2329" s="13" t="s">
        <v>34</v>
      </c>
      <c r="E2329" s="13"/>
      <c r="F2329" s="109"/>
      <c r="G2329" s="504"/>
      <c r="H2329" s="504"/>
      <c r="I2329" s="504"/>
      <c r="J2329" s="504"/>
      <c r="K2329" s="504"/>
      <c r="L2329" s="504"/>
      <c r="M2329" s="504"/>
      <c r="N2329" s="504"/>
      <c r="O2329" s="110"/>
      <c r="P2329" s="109"/>
      <c r="Q2329" s="504"/>
      <c r="R2329" s="107"/>
      <c r="S2329" s="503"/>
      <c r="V2329" s="528"/>
    </row>
    <row r="2330" spans="1:22" ht="9.75" customHeight="1">
      <c r="A2330" s="503"/>
      <c r="B2330" s="503"/>
      <c r="C2330" s="13"/>
      <c r="D2330" s="13" t="s">
        <v>35</v>
      </c>
      <c r="E2330" s="13"/>
      <c r="F2330" s="109"/>
      <c r="G2330" s="504"/>
      <c r="H2330" s="504"/>
      <c r="I2330" s="504"/>
      <c r="J2330" s="504"/>
      <c r="K2330" s="504"/>
      <c r="L2330" s="504"/>
      <c r="M2330" s="504"/>
      <c r="N2330" s="504"/>
      <c r="O2330" s="110"/>
      <c r="P2330" s="109"/>
      <c r="Q2330" s="504"/>
      <c r="R2330" s="107"/>
      <c r="S2330" s="503"/>
      <c r="V2330" s="528"/>
    </row>
    <row r="2331" spans="1:22" ht="9.75" customHeight="1">
      <c r="A2331" s="503"/>
      <c r="B2331" s="503"/>
      <c r="C2331" s="13"/>
      <c r="D2331" s="13" t="s">
        <v>36</v>
      </c>
      <c r="E2331" s="13"/>
      <c r="F2331" s="109"/>
      <c r="G2331" s="504"/>
      <c r="H2331" s="504"/>
      <c r="I2331" s="504"/>
      <c r="J2331" s="504"/>
      <c r="K2331" s="504"/>
      <c r="L2331" s="504"/>
      <c r="M2331" s="504"/>
      <c r="N2331" s="504"/>
      <c r="O2331" s="110"/>
      <c r="P2331" s="109"/>
      <c r="Q2331" s="504"/>
      <c r="R2331" s="107"/>
      <c r="S2331" s="503"/>
      <c r="V2331" s="528"/>
    </row>
    <row r="2332" spans="1:22" ht="9.75" customHeight="1">
      <c r="A2332" s="503"/>
      <c r="B2332" s="503"/>
      <c r="C2332" s="13"/>
      <c r="D2332" s="13" t="s">
        <v>37</v>
      </c>
      <c r="E2332" s="13"/>
      <c r="F2332" s="109"/>
      <c r="G2332" s="504"/>
      <c r="H2332" s="504"/>
      <c r="I2332" s="504"/>
      <c r="J2332" s="504"/>
      <c r="K2332" s="504"/>
      <c r="L2332" s="504"/>
      <c r="M2332" s="504"/>
      <c r="N2332" s="504"/>
      <c r="O2332" s="110"/>
      <c r="P2332" s="109"/>
      <c r="Q2332" s="504"/>
      <c r="R2332" s="107"/>
      <c r="S2332" s="503"/>
      <c r="V2332" s="528"/>
    </row>
    <row r="2333" spans="1:22" ht="9.75" customHeight="1">
      <c r="A2333" s="503"/>
      <c r="B2333" s="503" t="s">
        <v>127</v>
      </c>
      <c r="C2333" s="2"/>
      <c r="D2333" s="21" t="s">
        <v>38</v>
      </c>
      <c r="E2333" s="21">
        <f t="shared" ref="E2333:O2333" si="449">SUM(E2317:E2332)</f>
        <v>177</v>
      </c>
      <c r="F2333" s="21">
        <f t="shared" si="449"/>
        <v>70</v>
      </c>
      <c r="G2333" s="71">
        <f t="shared" si="449"/>
        <v>66</v>
      </c>
      <c r="H2333" s="71">
        <f t="shared" si="449"/>
        <v>62</v>
      </c>
      <c r="I2333" s="71">
        <f t="shared" si="449"/>
        <v>61</v>
      </c>
      <c r="J2333" s="71">
        <f t="shared" si="449"/>
        <v>53</v>
      </c>
      <c r="K2333" s="71">
        <f t="shared" si="449"/>
        <v>53</v>
      </c>
      <c r="L2333" s="71">
        <f t="shared" si="449"/>
        <v>57</v>
      </c>
      <c r="M2333" s="71">
        <f t="shared" si="449"/>
        <v>66</v>
      </c>
      <c r="N2333" s="71">
        <f t="shared" si="449"/>
        <v>87</v>
      </c>
      <c r="O2333" s="26">
        <f t="shared" si="449"/>
        <v>104</v>
      </c>
      <c r="P2333" s="71">
        <f>MIN(F2333:O2333)</f>
        <v>53</v>
      </c>
      <c r="Q2333" s="71">
        <f>E2333-P2333</f>
        <v>124</v>
      </c>
      <c r="R2333" s="7">
        <f>Q2333/E2333</f>
        <v>0.70056497175141241</v>
      </c>
      <c r="S2333" s="503"/>
      <c r="V2333" s="528"/>
    </row>
    <row r="2334" spans="1:22" ht="9.75" customHeight="1">
      <c r="A2334" s="503"/>
      <c r="B2334" s="503"/>
      <c r="C2334" s="43" t="s">
        <v>363</v>
      </c>
      <c r="D2334" s="43" t="s">
        <v>23</v>
      </c>
      <c r="E2334" s="13"/>
      <c r="F2334" s="109"/>
      <c r="G2334" s="504"/>
      <c r="H2334" s="504"/>
      <c r="I2334" s="504"/>
      <c r="J2334" s="504"/>
      <c r="K2334" s="504"/>
      <c r="L2334" s="504"/>
      <c r="M2334" s="504"/>
      <c r="N2334" s="504"/>
      <c r="O2334" s="110"/>
      <c r="P2334" s="109"/>
      <c r="Q2334" s="504"/>
      <c r="R2334" s="107"/>
      <c r="S2334" s="503"/>
      <c r="V2334" s="528"/>
    </row>
    <row r="2335" spans="1:22" ht="9.75" customHeight="1">
      <c r="A2335" s="503"/>
      <c r="B2335" s="503"/>
      <c r="C2335" s="13"/>
      <c r="D2335" s="13" t="s">
        <v>25</v>
      </c>
      <c r="E2335" s="13"/>
      <c r="F2335" s="109"/>
      <c r="G2335" s="504"/>
      <c r="H2335" s="504"/>
      <c r="I2335" s="504"/>
      <c r="J2335" s="504"/>
      <c r="K2335" s="504"/>
      <c r="L2335" s="504"/>
      <c r="M2335" s="504"/>
      <c r="N2335" s="504"/>
      <c r="O2335" s="110"/>
      <c r="P2335" s="109"/>
      <c r="Q2335" s="504"/>
      <c r="R2335" s="107"/>
      <c r="S2335" s="503"/>
      <c r="V2335" s="528"/>
    </row>
    <row r="2336" spans="1:22" ht="9.75" customHeight="1">
      <c r="A2336" s="503"/>
      <c r="B2336" s="503"/>
      <c r="C2336" s="13"/>
      <c r="D2336" s="13" t="s">
        <v>27</v>
      </c>
      <c r="E2336" s="13"/>
      <c r="F2336" s="109"/>
      <c r="G2336" s="504"/>
      <c r="H2336" s="504"/>
      <c r="I2336" s="504"/>
      <c r="J2336" s="504"/>
      <c r="K2336" s="504"/>
      <c r="L2336" s="504"/>
      <c r="M2336" s="504"/>
      <c r="N2336" s="504"/>
      <c r="O2336" s="110"/>
      <c r="P2336" s="109"/>
      <c r="Q2336" s="504"/>
      <c r="R2336" s="107"/>
      <c r="S2336" s="503"/>
      <c r="V2336" s="528"/>
    </row>
    <row r="2337" spans="1:22" ht="9.75" customHeight="1">
      <c r="A2337" s="503"/>
      <c r="B2337" s="503"/>
      <c r="C2337" s="13"/>
      <c r="D2337" s="13" t="s">
        <v>173</v>
      </c>
      <c r="E2337" s="13">
        <f>57+59</f>
        <v>116</v>
      </c>
      <c r="F2337" s="109">
        <v>25</v>
      </c>
      <c r="G2337" s="504">
        <v>15</v>
      </c>
      <c r="H2337" s="504">
        <v>7</v>
      </c>
      <c r="I2337" s="504">
        <v>8</v>
      </c>
      <c r="J2337" s="504">
        <v>6</v>
      </c>
      <c r="K2337" s="504">
        <v>3</v>
      </c>
      <c r="L2337" s="504">
        <v>5</v>
      </c>
      <c r="M2337" s="504">
        <v>8</v>
      </c>
      <c r="N2337" s="504">
        <v>29</v>
      </c>
      <c r="O2337" s="110">
        <f>29+16</f>
        <v>45</v>
      </c>
      <c r="P2337" s="109">
        <f>MIN(F2337:O2337)</f>
        <v>3</v>
      </c>
      <c r="Q2337" s="504">
        <f>E2337-P2337</f>
        <v>113</v>
      </c>
      <c r="R2337" s="107">
        <f>Q2337/E2337</f>
        <v>0.97413793103448276</v>
      </c>
      <c r="S2337" s="503"/>
      <c r="V2337" s="528"/>
    </row>
    <row r="2338" spans="1:22" ht="9.75" customHeight="1">
      <c r="A2338" s="503"/>
      <c r="B2338" s="503"/>
      <c r="C2338" s="13"/>
      <c r="D2338" s="13" t="s">
        <v>115</v>
      </c>
      <c r="E2338" s="13"/>
      <c r="F2338" s="109"/>
      <c r="G2338" s="504"/>
      <c r="H2338" s="504"/>
      <c r="I2338" s="504"/>
      <c r="J2338" s="504"/>
      <c r="K2338" s="504"/>
      <c r="L2338" s="504"/>
      <c r="M2338" s="504"/>
      <c r="N2338" s="504"/>
      <c r="O2338" s="110"/>
      <c r="P2338" s="109"/>
      <c r="Q2338" s="504"/>
      <c r="R2338" s="107"/>
      <c r="S2338" s="503"/>
      <c r="V2338" s="528"/>
    </row>
    <row r="2339" spans="1:22" ht="9.75" customHeight="1">
      <c r="A2339" s="503"/>
      <c r="B2339" s="503"/>
      <c r="C2339" s="13"/>
      <c r="D2339" s="13" t="s">
        <v>32</v>
      </c>
      <c r="E2339" s="13"/>
      <c r="F2339" s="109"/>
      <c r="G2339" s="504"/>
      <c r="H2339" s="504"/>
      <c r="I2339" s="504"/>
      <c r="J2339" s="504"/>
      <c r="K2339" s="504"/>
      <c r="L2339" s="504"/>
      <c r="M2339" s="504"/>
      <c r="N2339" s="504"/>
      <c r="O2339" s="110"/>
      <c r="P2339" s="109"/>
      <c r="Q2339" s="504"/>
      <c r="R2339" s="107"/>
      <c r="S2339" s="503"/>
      <c r="V2339" s="528"/>
    </row>
    <row r="2340" spans="1:22" ht="9.75" customHeight="1">
      <c r="A2340" s="503"/>
      <c r="B2340" s="503"/>
      <c r="C2340" s="13"/>
      <c r="D2340" s="13" t="s">
        <v>118</v>
      </c>
      <c r="E2340" s="13">
        <v>3</v>
      </c>
      <c r="F2340" s="121">
        <v>0</v>
      </c>
      <c r="G2340" s="11">
        <v>0</v>
      </c>
      <c r="H2340" s="11">
        <v>0</v>
      </c>
      <c r="I2340" s="11">
        <v>0</v>
      </c>
      <c r="J2340" s="11">
        <v>0</v>
      </c>
      <c r="K2340" s="504">
        <v>0</v>
      </c>
      <c r="L2340" s="504">
        <v>0</v>
      </c>
      <c r="M2340" s="504">
        <v>2</v>
      </c>
      <c r="N2340" s="504">
        <v>0</v>
      </c>
      <c r="O2340" s="110">
        <v>2</v>
      </c>
      <c r="P2340" s="103">
        <f>MIN(F2340:O2340)</f>
        <v>0</v>
      </c>
      <c r="Q2340" s="91">
        <f>E2340-P2340</f>
        <v>3</v>
      </c>
      <c r="R2340" s="107">
        <f>Q2340/E2340</f>
        <v>1</v>
      </c>
      <c r="S2340" s="503"/>
      <c r="V2340" s="528"/>
    </row>
    <row r="2341" spans="1:22" ht="9.75" customHeight="1">
      <c r="A2341" s="503"/>
      <c r="B2341" s="503"/>
      <c r="C2341" s="13"/>
      <c r="D2341" s="13" t="s">
        <v>120</v>
      </c>
      <c r="E2341" s="13"/>
      <c r="F2341" s="109"/>
      <c r="G2341" s="504"/>
      <c r="H2341" s="504"/>
      <c r="I2341" s="504"/>
      <c r="J2341" s="504"/>
      <c r="K2341" s="504"/>
      <c r="L2341" s="504"/>
      <c r="M2341" s="504"/>
      <c r="N2341" s="504"/>
      <c r="O2341" s="110"/>
      <c r="P2341" s="109"/>
      <c r="Q2341" s="504"/>
      <c r="R2341" s="107"/>
      <c r="S2341" s="503"/>
      <c r="V2341" s="528"/>
    </row>
    <row r="2342" spans="1:22" ht="9.75" customHeight="1">
      <c r="A2342" s="503"/>
      <c r="B2342" s="503"/>
      <c r="C2342" s="13"/>
      <c r="D2342" s="13" t="s">
        <v>120</v>
      </c>
      <c r="E2342" s="13"/>
      <c r="F2342" s="109"/>
      <c r="G2342" s="504"/>
      <c r="H2342" s="504"/>
      <c r="I2342" s="504"/>
      <c r="J2342" s="504"/>
      <c r="K2342" s="504"/>
      <c r="L2342" s="504"/>
      <c r="M2342" s="504"/>
      <c r="N2342" s="504"/>
      <c r="O2342" s="110"/>
      <c r="P2342" s="109"/>
      <c r="Q2342" s="504"/>
      <c r="R2342" s="107"/>
      <c r="S2342" s="503"/>
      <c r="V2342" s="528"/>
    </row>
    <row r="2343" spans="1:22" ht="9.75" customHeight="1">
      <c r="A2343" s="503"/>
      <c r="B2343" s="503"/>
      <c r="C2343" s="13"/>
      <c r="D2343" s="13" t="s">
        <v>120</v>
      </c>
      <c r="E2343" s="13"/>
      <c r="F2343" s="109"/>
      <c r="G2343" s="504"/>
      <c r="H2343" s="504"/>
      <c r="I2343" s="504"/>
      <c r="J2343" s="504"/>
      <c r="K2343" s="504"/>
      <c r="L2343" s="504"/>
      <c r="M2343" s="504"/>
      <c r="N2343" s="504"/>
      <c r="O2343" s="110"/>
      <c r="P2343" s="109"/>
      <c r="Q2343" s="504"/>
      <c r="R2343" s="107"/>
      <c r="S2343" s="503"/>
      <c r="V2343" s="528"/>
    </row>
    <row r="2344" spans="1:22" ht="9.75" customHeight="1">
      <c r="A2344" s="503"/>
      <c r="B2344" s="503"/>
      <c r="C2344" s="13"/>
      <c r="D2344" s="13" t="s">
        <v>120</v>
      </c>
      <c r="E2344" s="13"/>
      <c r="F2344" s="109"/>
      <c r="G2344" s="504"/>
      <c r="H2344" s="504"/>
      <c r="I2344" s="504"/>
      <c r="J2344" s="504"/>
      <c r="K2344" s="504"/>
      <c r="L2344" s="504"/>
      <c r="M2344" s="504"/>
      <c r="N2344" s="504"/>
      <c r="O2344" s="110"/>
      <c r="P2344" s="109"/>
      <c r="Q2344" s="504"/>
      <c r="R2344" s="107"/>
      <c r="S2344" s="503"/>
      <c r="V2344" s="528"/>
    </row>
    <row r="2345" spans="1:22" ht="9.75" customHeight="1">
      <c r="A2345" s="503"/>
      <c r="B2345" s="503"/>
      <c r="C2345" s="13"/>
      <c r="D2345" s="13" t="s">
        <v>120</v>
      </c>
      <c r="E2345" s="13"/>
      <c r="F2345" s="109"/>
      <c r="G2345" s="504"/>
      <c r="H2345" s="504"/>
      <c r="I2345" s="504"/>
      <c r="J2345" s="504"/>
      <c r="K2345" s="504"/>
      <c r="L2345" s="504"/>
      <c r="M2345" s="504"/>
      <c r="N2345" s="504"/>
      <c r="O2345" s="110"/>
      <c r="P2345" s="109"/>
      <c r="Q2345" s="504"/>
      <c r="R2345" s="107"/>
      <c r="S2345" s="503"/>
      <c r="V2345" s="528"/>
    </row>
    <row r="2346" spans="1:22" ht="9.75" customHeight="1">
      <c r="A2346" s="503"/>
      <c r="B2346" s="503"/>
      <c r="C2346" s="13"/>
      <c r="D2346" s="13" t="s">
        <v>34</v>
      </c>
      <c r="E2346" s="13">
        <v>37</v>
      </c>
      <c r="F2346" s="109">
        <v>5</v>
      </c>
      <c r="G2346" s="504">
        <v>2</v>
      </c>
      <c r="H2346" s="504">
        <v>0</v>
      </c>
      <c r="I2346" s="504">
        <v>0</v>
      </c>
      <c r="J2346" s="91">
        <v>0</v>
      </c>
      <c r="K2346" s="504">
        <v>0</v>
      </c>
      <c r="L2346" s="504">
        <v>0</v>
      </c>
      <c r="M2346" s="504">
        <v>4</v>
      </c>
      <c r="N2346" s="504">
        <v>7</v>
      </c>
      <c r="O2346" s="110">
        <v>21</v>
      </c>
      <c r="P2346" s="109">
        <f>MIN(F2346:O2346)</f>
        <v>0</v>
      </c>
      <c r="Q2346" s="504">
        <f>E2346-P2346</f>
        <v>37</v>
      </c>
      <c r="R2346" s="107">
        <f>Q2346/E2346</f>
        <v>1</v>
      </c>
      <c r="S2346" s="503"/>
      <c r="V2346" s="528"/>
    </row>
    <row r="2347" spans="1:22" ht="9.75" customHeight="1">
      <c r="A2347" s="503"/>
      <c r="B2347" s="503"/>
      <c r="C2347" s="13"/>
      <c r="D2347" s="13" t="s">
        <v>35</v>
      </c>
      <c r="E2347" s="13"/>
      <c r="F2347" s="109"/>
      <c r="G2347" s="504"/>
      <c r="H2347" s="504"/>
      <c r="I2347" s="504"/>
      <c r="J2347" s="504"/>
      <c r="K2347" s="504"/>
      <c r="L2347" s="504"/>
      <c r="M2347" s="504"/>
      <c r="N2347" s="504"/>
      <c r="O2347" s="110"/>
      <c r="P2347" s="109"/>
      <c r="Q2347" s="504"/>
      <c r="R2347" s="107"/>
      <c r="S2347" s="503"/>
      <c r="V2347" s="528"/>
    </row>
    <row r="2348" spans="1:22" ht="9.75" customHeight="1">
      <c r="A2348" s="503"/>
      <c r="B2348" s="503"/>
      <c r="C2348" s="13"/>
      <c r="D2348" s="13" t="s">
        <v>36</v>
      </c>
      <c r="E2348" s="13"/>
      <c r="F2348" s="109"/>
      <c r="G2348" s="504"/>
      <c r="H2348" s="504"/>
      <c r="I2348" s="504"/>
      <c r="J2348" s="504"/>
      <c r="K2348" s="504"/>
      <c r="L2348" s="504"/>
      <c r="M2348" s="504"/>
      <c r="N2348" s="504"/>
      <c r="O2348" s="110"/>
      <c r="P2348" s="109"/>
      <c r="Q2348" s="504"/>
      <c r="R2348" s="107"/>
      <c r="S2348" s="503"/>
      <c r="V2348" s="528"/>
    </row>
    <row r="2349" spans="1:22" ht="9.75" customHeight="1">
      <c r="A2349" s="503"/>
      <c r="B2349" s="503"/>
      <c r="C2349" s="13"/>
      <c r="D2349" s="13" t="s">
        <v>37</v>
      </c>
      <c r="E2349" s="13"/>
      <c r="F2349" s="109"/>
      <c r="G2349" s="504"/>
      <c r="H2349" s="504"/>
      <c r="I2349" s="504"/>
      <c r="J2349" s="504"/>
      <c r="K2349" s="504"/>
      <c r="L2349" s="504"/>
      <c r="M2349" s="504"/>
      <c r="N2349" s="504"/>
      <c r="O2349" s="110"/>
      <c r="P2349" s="109"/>
      <c r="Q2349" s="504"/>
      <c r="R2349" s="107"/>
      <c r="S2349" s="503"/>
      <c r="V2349" s="528"/>
    </row>
    <row r="2350" spans="1:22" ht="9.75" customHeight="1">
      <c r="A2350" s="503"/>
      <c r="B2350" s="503" t="s">
        <v>127</v>
      </c>
      <c r="C2350" s="2"/>
      <c r="D2350" s="21" t="s">
        <v>38</v>
      </c>
      <c r="E2350" s="21">
        <f t="shared" ref="E2350:O2350" si="450">SUM(E2334:E2349)</f>
        <v>156</v>
      </c>
      <c r="F2350" s="21">
        <f t="shared" si="450"/>
        <v>30</v>
      </c>
      <c r="G2350" s="71">
        <f t="shared" si="450"/>
        <v>17</v>
      </c>
      <c r="H2350" s="71">
        <f t="shared" si="450"/>
        <v>7</v>
      </c>
      <c r="I2350" s="71">
        <f t="shared" si="450"/>
        <v>8</v>
      </c>
      <c r="J2350" s="71">
        <f t="shared" si="450"/>
        <v>6</v>
      </c>
      <c r="K2350" s="71">
        <f t="shared" si="450"/>
        <v>3</v>
      </c>
      <c r="L2350" s="71">
        <f t="shared" si="450"/>
        <v>5</v>
      </c>
      <c r="M2350" s="71">
        <f t="shared" si="450"/>
        <v>14</v>
      </c>
      <c r="N2350" s="71">
        <f t="shared" si="450"/>
        <v>36</v>
      </c>
      <c r="O2350" s="26">
        <f t="shared" si="450"/>
        <v>68</v>
      </c>
      <c r="P2350" s="71">
        <f t="shared" ref="P2350:P2351" si="451">MIN(F2350:O2350)</f>
        <v>3</v>
      </c>
      <c r="Q2350" s="71">
        <f t="shared" ref="Q2350:Q2351" si="452">E2350-P2350</f>
        <v>153</v>
      </c>
      <c r="R2350" s="7">
        <f t="shared" ref="R2350:R2351" si="453">Q2350/E2350</f>
        <v>0.98076923076923073</v>
      </c>
      <c r="S2350" s="503"/>
      <c r="V2350" s="528"/>
    </row>
    <row r="2351" spans="1:22" ht="9.75" customHeight="1">
      <c r="A2351" s="503"/>
      <c r="B2351" s="503"/>
      <c r="C2351" s="43" t="s">
        <v>364</v>
      </c>
      <c r="D2351" s="43" t="s">
        <v>23</v>
      </c>
      <c r="E2351" s="13">
        <v>7</v>
      </c>
      <c r="F2351" s="109">
        <v>5</v>
      </c>
      <c r="G2351" s="504">
        <v>4</v>
      </c>
      <c r="H2351" s="504">
        <v>2</v>
      </c>
      <c r="I2351" s="504">
        <v>2</v>
      </c>
      <c r="J2351" s="504">
        <v>1</v>
      </c>
      <c r="K2351" s="504">
        <v>0</v>
      </c>
      <c r="L2351" s="504">
        <v>1</v>
      </c>
      <c r="M2351" s="504">
        <v>1</v>
      </c>
      <c r="N2351" s="504">
        <v>1</v>
      </c>
      <c r="O2351" s="110">
        <v>2</v>
      </c>
      <c r="P2351" s="109">
        <f t="shared" si="451"/>
        <v>0</v>
      </c>
      <c r="Q2351" s="504">
        <f t="shared" si="452"/>
        <v>7</v>
      </c>
      <c r="R2351" s="107">
        <f t="shared" si="453"/>
        <v>1</v>
      </c>
      <c r="S2351" s="503"/>
      <c r="V2351" s="528"/>
    </row>
    <row r="2352" spans="1:22" ht="9.75" customHeight="1">
      <c r="A2352" s="503"/>
      <c r="B2352" s="503"/>
      <c r="C2352" s="13"/>
      <c r="D2352" s="13" t="s">
        <v>25</v>
      </c>
      <c r="E2352" s="13"/>
      <c r="F2352" s="109"/>
      <c r="G2352" s="504"/>
      <c r="H2352" s="504"/>
      <c r="I2352" s="504"/>
      <c r="J2352" s="504"/>
      <c r="K2352" s="504"/>
      <c r="L2352" s="504"/>
      <c r="M2352" s="504"/>
      <c r="N2352" s="504"/>
      <c r="O2352" s="110"/>
      <c r="P2352" s="109"/>
      <c r="Q2352" s="504"/>
      <c r="R2352" s="107"/>
      <c r="S2352" s="503"/>
      <c r="V2352" s="528"/>
    </row>
    <row r="2353" spans="1:22" ht="9.75" customHeight="1">
      <c r="A2353" s="503"/>
      <c r="B2353" s="503"/>
      <c r="C2353" s="13"/>
      <c r="D2353" s="13" t="s">
        <v>27</v>
      </c>
      <c r="E2353" s="13"/>
      <c r="F2353" s="109"/>
      <c r="G2353" s="504"/>
      <c r="H2353" s="504"/>
      <c r="I2353" s="504"/>
      <c r="J2353" s="504"/>
      <c r="K2353" s="504"/>
      <c r="L2353" s="504"/>
      <c r="M2353" s="504"/>
      <c r="N2353" s="504"/>
      <c r="O2353" s="110"/>
      <c r="P2353" s="109"/>
      <c r="Q2353" s="504"/>
      <c r="R2353" s="107"/>
      <c r="S2353" s="503"/>
      <c r="V2353" s="528"/>
    </row>
    <row r="2354" spans="1:22" ht="9.75" customHeight="1">
      <c r="A2354" s="503"/>
      <c r="B2354" s="503"/>
      <c r="C2354" s="13"/>
      <c r="D2354" s="13" t="s">
        <v>173</v>
      </c>
      <c r="E2354" s="13">
        <v>65</v>
      </c>
      <c r="F2354" s="109">
        <v>31</v>
      </c>
      <c r="G2354" s="504">
        <v>5</v>
      </c>
      <c r="H2354" s="504">
        <v>1</v>
      </c>
      <c r="I2354" s="504">
        <v>1</v>
      </c>
      <c r="J2354" s="504">
        <v>1</v>
      </c>
      <c r="K2354" s="504">
        <v>1</v>
      </c>
      <c r="L2354" s="504">
        <v>0</v>
      </c>
      <c r="M2354" s="504">
        <v>0</v>
      </c>
      <c r="N2354" s="504">
        <v>3</v>
      </c>
      <c r="O2354" s="110">
        <v>17</v>
      </c>
      <c r="P2354" s="109">
        <f>MIN(F2354:O2354)</f>
        <v>0</v>
      </c>
      <c r="Q2354" s="504">
        <f>E2354-P2354</f>
        <v>65</v>
      </c>
      <c r="R2354" s="107">
        <f>Q2354/E2354</f>
        <v>1</v>
      </c>
      <c r="S2354" s="503"/>
      <c r="V2354" s="528"/>
    </row>
    <row r="2355" spans="1:22" ht="9.75" customHeight="1">
      <c r="A2355" s="503"/>
      <c r="B2355" s="503"/>
      <c r="C2355" s="13"/>
      <c r="D2355" s="13" t="s">
        <v>115</v>
      </c>
      <c r="E2355" s="13"/>
      <c r="F2355" s="109"/>
      <c r="G2355" s="504"/>
      <c r="H2355" s="504"/>
      <c r="I2355" s="504"/>
      <c r="J2355" s="504"/>
      <c r="K2355" s="504"/>
      <c r="L2355" s="504"/>
      <c r="M2355" s="504"/>
      <c r="N2355" s="504"/>
      <c r="O2355" s="110"/>
      <c r="P2355" s="109"/>
      <c r="Q2355" s="504"/>
      <c r="R2355" s="107"/>
      <c r="S2355" s="503"/>
      <c r="V2355" s="528"/>
    </row>
    <row r="2356" spans="1:22" ht="9.75" customHeight="1">
      <c r="A2356" s="503"/>
      <c r="B2356" s="503"/>
      <c r="C2356" s="13"/>
      <c r="D2356" s="13" t="s">
        <v>32</v>
      </c>
      <c r="E2356" s="13">
        <v>15</v>
      </c>
      <c r="F2356" s="109">
        <v>15</v>
      </c>
      <c r="G2356" s="504">
        <v>14</v>
      </c>
      <c r="H2356" s="504">
        <v>14</v>
      </c>
      <c r="I2356" s="504">
        <v>14</v>
      </c>
      <c r="J2356" s="504">
        <v>13</v>
      </c>
      <c r="K2356" s="504">
        <v>13</v>
      </c>
      <c r="L2356" s="504">
        <v>12</v>
      </c>
      <c r="M2356" s="504">
        <v>13</v>
      </c>
      <c r="N2356" s="504">
        <v>13</v>
      </c>
      <c r="O2356" s="110">
        <v>14</v>
      </c>
      <c r="P2356" s="109">
        <f t="shared" ref="P2356:P2360" si="454">MIN(F2356:O2356)</f>
        <v>12</v>
      </c>
      <c r="Q2356" s="504">
        <f t="shared" ref="Q2356:Q2360" si="455">E2356-P2356</f>
        <v>3</v>
      </c>
      <c r="R2356" s="107">
        <f t="shared" ref="R2356:R2360" si="456">Q2356/E2356</f>
        <v>0.2</v>
      </c>
      <c r="S2356" s="503"/>
      <c r="V2356" s="528"/>
    </row>
    <row r="2357" spans="1:22" ht="9.75" customHeight="1">
      <c r="A2357" s="503"/>
      <c r="B2357" s="503"/>
      <c r="C2357" s="13"/>
      <c r="D2357" s="13" t="s">
        <v>118</v>
      </c>
      <c r="E2357" s="13">
        <v>3</v>
      </c>
      <c r="F2357" s="109">
        <v>0</v>
      </c>
      <c r="G2357" s="504">
        <v>0</v>
      </c>
      <c r="H2357" s="504">
        <v>0</v>
      </c>
      <c r="I2357" s="504">
        <v>0</v>
      </c>
      <c r="J2357" s="504">
        <v>0</v>
      </c>
      <c r="K2357" s="504">
        <v>0</v>
      </c>
      <c r="L2357" s="504">
        <v>0</v>
      </c>
      <c r="M2357" s="504">
        <v>0</v>
      </c>
      <c r="N2357" s="504">
        <v>1</v>
      </c>
      <c r="O2357" s="110">
        <v>1</v>
      </c>
      <c r="P2357" s="109">
        <f t="shared" si="454"/>
        <v>0</v>
      </c>
      <c r="Q2357" s="504">
        <f t="shared" si="455"/>
        <v>3</v>
      </c>
      <c r="R2357" s="107">
        <f t="shared" si="456"/>
        <v>1</v>
      </c>
      <c r="S2357" s="503"/>
      <c r="V2357" s="528"/>
    </row>
    <row r="2358" spans="1:22" ht="9.75" customHeight="1">
      <c r="A2358" s="503"/>
      <c r="B2358" s="503"/>
      <c r="C2358" s="13"/>
      <c r="D2358" s="13" t="s">
        <v>365</v>
      </c>
      <c r="E2358" s="13">
        <v>10</v>
      </c>
      <c r="F2358" s="109">
        <v>0</v>
      </c>
      <c r="G2358" s="504">
        <v>5</v>
      </c>
      <c r="H2358" s="504">
        <v>5</v>
      </c>
      <c r="I2358" s="504">
        <v>6</v>
      </c>
      <c r="J2358" s="504">
        <v>6</v>
      </c>
      <c r="K2358" s="504">
        <v>6</v>
      </c>
      <c r="L2358" s="504">
        <v>4</v>
      </c>
      <c r="M2358" s="504">
        <v>3</v>
      </c>
      <c r="N2358" s="504">
        <v>3</v>
      </c>
      <c r="O2358" s="110">
        <v>3</v>
      </c>
      <c r="P2358" s="109">
        <f t="shared" si="454"/>
        <v>0</v>
      </c>
      <c r="Q2358" s="504">
        <f t="shared" si="455"/>
        <v>10</v>
      </c>
      <c r="R2358" s="107">
        <f t="shared" si="456"/>
        <v>1</v>
      </c>
      <c r="S2358" s="503"/>
      <c r="V2358" s="528"/>
    </row>
    <row r="2359" spans="1:22" ht="9.75" customHeight="1">
      <c r="A2359" s="503"/>
      <c r="B2359" s="503"/>
      <c r="C2359" s="13"/>
      <c r="D2359" s="13" t="s">
        <v>366</v>
      </c>
      <c r="E2359" s="13">
        <v>1</v>
      </c>
      <c r="F2359" s="109">
        <v>1</v>
      </c>
      <c r="G2359" s="504">
        <v>1</v>
      </c>
      <c r="H2359" s="504">
        <v>1</v>
      </c>
      <c r="I2359" s="504">
        <v>0</v>
      </c>
      <c r="J2359" s="504">
        <v>0</v>
      </c>
      <c r="K2359" s="504">
        <v>0</v>
      </c>
      <c r="L2359" s="504">
        <v>0</v>
      </c>
      <c r="M2359" s="504">
        <v>0</v>
      </c>
      <c r="N2359" s="504">
        <v>1</v>
      </c>
      <c r="O2359" s="110">
        <v>1</v>
      </c>
      <c r="P2359" s="109">
        <f t="shared" si="454"/>
        <v>0</v>
      </c>
      <c r="Q2359" s="504">
        <f t="shared" si="455"/>
        <v>1</v>
      </c>
      <c r="R2359" s="107">
        <f t="shared" si="456"/>
        <v>1</v>
      </c>
      <c r="S2359" s="503"/>
      <c r="V2359" s="528"/>
    </row>
    <row r="2360" spans="1:22" ht="9.75" customHeight="1">
      <c r="A2360" s="503"/>
      <c r="B2360" s="503"/>
      <c r="C2360" s="13"/>
      <c r="D2360" s="13" t="s">
        <v>246</v>
      </c>
      <c r="E2360" s="13">
        <v>2</v>
      </c>
      <c r="F2360" s="109">
        <v>1</v>
      </c>
      <c r="G2360" s="504">
        <v>1</v>
      </c>
      <c r="H2360" s="504">
        <v>1</v>
      </c>
      <c r="I2360" s="504">
        <v>1</v>
      </c>
      <c r="J2360" s="504">
        <v>1</v>
      </c>
      <c r="K2360" s="504">
        <v>1</v>
      </c>
      <c r="L2360" s="504">
        <v>1</v>
      </c>
      <c r="M2360" s="504">
        <v>1</v>
      </c>
      <c r="N2360" s="504">
        <v>1</v>
      </c>
      <c r="O2360" s="110">
        <v>1</v>
      </c>
      <c r="P2360" s="109">
        <f t="shared" si="454"/>
        <v>1</v>
      </c>
      <c r="Q2360" s="504">
        <f t="shared" si="455"/>
        <v>1</v>
      </c>
      <c r="R2360" s="107">
        <f t="shared" si="456"/>
        <v>0.5</v>
      </c>
      <c r="S2360" s="503"/>
      <c r="V2360" s="528"/>
    </row>
    <row r="2361" spans="1:22" ht="9.75" customHeight="1">
      <c r="A2361" s="503"/>
      <c r="B2361" s="503"/>
      <c r="C2361" s="13"/>
      <c r="D2361" s="13" t="s">
        <v>120</v>
      </c>
      <c r="E2361" s="13"/>
      <c r="F2361" s="109"/>
      <c r="G2361" s="504"/>
      <c r="H2361" s="504"/>
      <c r="I2361" s="504"/>
      <c r="J2361" s="504"/>
      <c r="K2361" s="504"/>
      <c r="L2361" s="504"/>
      <c r="M2361" s="504"/>
      <c r="N2361" s="504"/>
      <c r="O2361" s="110"/>
      <c r="P2361" s="109"/>
      <c r="Q2361" s="504"/>
      <c r="R2361" s="107"/>
      <c r="S2361" s="503"/>
      <c r="V2361" s="528"/>
    </row>
    <row r="2362" spans="1:22" ht="9.75" customHeight="1">
      <c r="A2362" s="503"/>
      <c r="B2362" s="503"/>
      <c r="C2362" s="13"/>
      <c r="D2362" s="13" t="s">
        <v>120</v>
      </c>
      <c r="E2362" s="13"/>
      <c r="F2362" s="109"/>
      <c r="G2362" s="504"/>
      <c r="H2362" s="504"/>
      <c r="I2362" s="504"/>
      <c r="J2362" s="504"/>
      <c r="K2362" s="504"/>
      <c r="L2362" s="504"/>
      <c r="M2362" s="504"/>
      <c r="N2362" s="504"/>
      <c r="O2362" s="110"/>
      <c r="P2362" s="109"/>
      <c r="Q2362" s="504"/>
      <c r="R2362" s="107"/>
      <c r="S2362" s="503"/>
      <c r="V2362" s="528"/>
    </row>
    <row r="2363" spans="1:22" ht="9.75" customHeight="1">
      <c r="A2363" s="503"/>
      <c r="B2363" s="503"/>
      <c r="C2363" s="13"/>
      <c r="D2363" s="13" t="s">
        <v>34</v>
      </c>
      <c r="E2363" s="13">
        <v>31</v>
      </c>
      <c r="F2363" s="109">
        <v>0</v>
      </c>
      <c r="G2363" s="504">
        <v>0</v>
      </c>
      <c r="H2363" s="504">
        <v>0</v>
      </c>
      <c r="I2363" s="504">
        <v>0</v>
      </c>
      <c r="J2363" s="504">
        <v>0</v>
      </c>
      <c r="K2363" s="504">
        <v>0</v>
      </c>
      <c r="L2363" s="504">
        <v>0</v>
      </c>
      <c r="M2363" s="504">
        <v>0</v>
      </c>
      <c r="N2363" s="504">
        <v>1</v>
      </c>
      <c r="O2363" s="110">
        <v>7</v>
      </c>
      <c r="P2363" s="109">
        <f>MIN(F2363:O2363)</f>
        <v>0</v>
      </c>
      <c r="Q2363" s="504">
        <f>E2363-P2363</f>
        <v>31</v>
      </c>
      <c r="R2363" s="107">
        <f>Q2363/E2363</f>
        <v>1</v>
      </c>
      <c r="S2363" s="503"/>
      <c r="V2363" s="528"/>
    </row>
    <row r="2364" spans="1:22" ht="9.75" customHeight="1">
      <c r="A2364" s="503"/>
      <c r="B2364" s="503"/>
      <c r="C2364" s="13"/>
      <c r="D2364" s="13" t="s">
        <v>35</v>
      </c>
      <c r="E2364" s="13"/>
      <c r="F2364" s="109"/>
      <c r="G2364" s="504"/>
      <c r="H2364" s="504"/>
      <c r="I2364" s="504"/>
      <c r="J2364" s="504"/>
      <c r="K2364" s="504"/>
      <c r="L2364" s="504"/>
      <c r="M2364" s="504"/>
      <c r="N2364" s="504"/>
      <c r="O2364" s="110"/>
      <c r="P2364" s="109"/>
      <c r="Q2364" s="504"/>
      <c r="R2364" s="107"/>
      <c r="S2364" s="503"/>
      <c r="V2364" s="528"/>
    </row>
    <row r="2365" spans="1:22" ht="9.75" customHeight="1">
      <c r="A2365" s="503"/>
      <c r="B2365" s="503"/>
      <c r="C2365" s="13"/>
      <c r="D2365" s="13" t="s">
        <v>36</v>
      </c>
      <c r="E2365" s="13"/>
      <c r="F2365" s="109"/>
      <c r="G2365" s="504"/>
      <c r="H2365" s="504"/>
      <c r="I2365" s="504"/>
      <c r="J2365" s="504"/>
      <c r="K2365" s="504"/>
      <c r="L2365" s="504"/>
      <c r="M2365" s="504"/>
      <c r="N2365" s="504"/>
      <c r="O2365" s="110"/>
      <c r="P2365" s="109"/>
      <c r="Q2365" s="504"/>
      <c r="R2365" s="107"/>
      <c r="S2365" s="503"/>
      <c r="V2365" s="528"/>
    </row>
    <row r="2366" spans="1:22" ht="9.75" customHeight="1">
      <c r="A2366" s="503"/>
      <c r="B2366" s="503"/>
      <c r="C2366" s="13"/>
      <c r="D2366" s="13" t="s">
        <v>37</v>
      </c>
      <c r="E2366" s="13"/>
      <c r="F2366" s="109"/>
      <c r="G2366" s="504"/>
      <c r="H2366" s="504"/>
      <c r="I2366" s="504"/>
      <c r="J2366" s="504"/>
      <c r="K2366" s="504"/>
      <c r="L2366" s="504"/>
      <c r="M2366" s="504"/>
      <c r="N2366" s="504"/>
      <c r="O2366" s="110"/>
      <c r="P2366" s="109"/>
      <c r="Q2366" s="504"/>
      <c r="R2366" s="107"/>
      <c r="S2366" s="503"/>
      <c r="V2366" s="528"/>
    </row>
    <row r="2367" spans="1:22" ht="9.75" customHeight="1">
      <c r="A2367" s="503"/>
      <c r="B2367" s="503" t="s">
        <v>127</v>
      </c>
      <c r="C2367" s="2"/>
      <c r="D2367" s="21" t="s">
        <v>38</v>
      </c>
      <c r="E2367" s="21">
        <f t="shared" ref="E2367:O2367" si="457">SUM(E2351:E2366)</f>
        <v>134</v>
      </c>
      <c r="F2367" s="21">
        <f t="shared" si="457"/>
        <v>53</v>
      </c>
      <c r="G2367" s="71">
        <f t="shared" si="457"/>
        <v>30</v>
      </c>
      <c r="H2367" s="71">
        <f t="shared" si="457"/>
        <v>24</v>
      </c>
      <c r="I2367" s="71">
        <f t="shared" si="457"/>
        <v>24</v>
      </c>
      <c r="J2367" s="71">
        <f t="shared" si="457"/>
        <v>22</v>
      </c>
      <c r="K2367" s="71">
        <f t="shared" si="457"/>
        <v>21</v>
      </c>
      <c r="L2367" s="71">
        <f t="shared" si="457"/>
        <v>18</v>
      </c>
      <c r="M2367" s="71">
        <f t="shared" si="457"/>
        <v>18</v>
      </c>
      <c r="N2367" s="71">
        <f t="shared" si="457"/>
        <v>24</v>
      </c>
      <c r="O2367" s="26">
        <f t="shared" si="457"/>
        <v>46</v>
      </c>
      <c r="P2367" s="71">
        <f>MIN(F2367:O2367)</f>
        <v>18</v>
      </c>
      <c r="Q2367" s="71">
        <f>E2367-P2367</f>
        <v>116</v>
      </c>
      <c r="R2367" s="7">
        <f>Q2367/E2367</f>
        <v>0.86567164179104472</v>
      </c>
      <c r="S2367" s="503"/>
      <c r="V2367" s="528"/>
    </row>
    <row r="2368" spans="1:22" ht="9.75" customHeight="1">
      <c r="A2368" s="503"/>
      <c r="B2368" s="503"/>
      <c r="C2368" s="43" t="s">
        <v>367</v>
      </c>
      <c r="D2368" s="43" t="s">
        <v>23</v>
      </c>
      <c r="E2368" s="13"/>
      <c r="F2368" s="109"/>
      <c r="G2368" s="504"/>
      <c r="H2368" s="504"/>
      <c r="I2368" s="504"/>
      <c r="J2368" s="504"/>
      <c r="K2368" s="504"/>
      <c r="L2368" s="504"/>
      <c r="M2368" s="504"/>
      <c r="N2368" s="504"/>
      <c r="O2368" s="110"/>
      <c r="P2368" s="116"/>
      <c r="Q2368" s="128"/>
      <c r="R2368" s="141"/>
      <c r="S2368" s="503"/>
      <c r="V2368" s="528"/>
    </row>
    <row r="2369" spans="1:22" ht="9.75" customHeight="1">
      <c r="A2369" s="503"/>
      <c r="B2369" s="503"/>
      <c r="C2369" s="13"/>
      <c r="D2369" s="13" t="s">
        <v>25</v>
      </c>
      <c r="E2369" s="13"/>
      <c r="F2369" s="109"/>
      <c r="G2369" s="504"/>
      <c r="H2369" s="504"/>
      <c r="I2369" s="504"/>
      <c r="J2369" s="504"/>
      <c r="K2369" s="504"/>
      <c r="L2369" s="504"/>
      <c r="M2369" s="504"/>
      <c r="N2369" s="504"/>
      <c r="O2369" s="110"/>
      <c r="P2369" s="109"/>
      <c r="Q2369" s="504"/>
      <c r="R2369" s="107"/>
      <c r="S2369" s="503"/>
      <c r="V2369" s="528"/>
    </row>
    <row r="2370" spans="1:22" ht="9.75" customHeight="1">
      <c r="A2370" s="503"/>
      <c r="B2370" s="503"/>
      <c r="C2370" s="13"/>
      <c r="D2370" s="13" t="s">
        <v>27</v>
      </c>
      <c r="E2370" s="13"/>
      <c r="F2370" s="109"/>
      <c r="G2370" s="504"/>
      <c r="H2370" s="504"/>
      <c r="I2370" s="504"/>
      <c r="J2370" s="504"/>
      <c r="K2370" s="504"/>
      <c r="L2370" s="504"/>
      <c r="M2370" s="504"/>
      <c r="N2370" s="504"/>
      <c r="O2370" s="110"/>
      <c r="P2370" s="109"/>
      <c r="Q2370" s="504"/>
      <c r="R2370" s="107"/>
      <c r="S2370" s="503"/>
      <c r="V2370" s="528"/>
    </row>
    <row r="2371" spans="1:22" ht="9.75" customHeight="1">
      <c r="A2371" s="503"/>
      <c r="B2371" s="503"/>
      <c r="C2371" s="13"/>
      <c r="D2371" s="13" t="s">
        <v>173</v>
      </c>
      <c r="E2371" s="13">
        <v>128</v>
      </c>
      <c r="F2371" s="109">
        <v>15</v>
      </c>
      <c r="G2371" s="504">
        <v>14</v>
      </c>
      <c r="H2371" s="504">
        <v>5</v>
      </c>
      <c r="I2371" s="504">
        <v>4</v>
      </c>
      <c r="J2371" s="504">
        <v>3</v>
      </c>
      <c r="K2371" s="504">
        <v>2</v>
      </c>
      <c r="L2371" s="504">
        <v>9</v>
      </c>
      <c r="M2371" s="504">
        <v>2</v>
      </c>
      <c r="N2371" s="504">
        <v>6</v>
      </c>
      <c r="O2371" s="110">
        <v>29</v>
      </c>
      <c r="P2371" s="109">
        <f>MIN(F2371:O2371)</f>
        <v>2</v>
      </c>
      <c r="Q2371" s="504">
        <f>E2371-P2371</f>
        <v>126</v>
      </c>
      <c r="R2371" s="107">
        <f>Q2371/E2371</f>
        <v>0.984375</v>
      </c>
      <c r="S2371" s="503"/>
      <c r="V2371" s="528"/>
    </row>
    <row r="2372" spans="1:22" ht="9.75" customHeight="1">
      <c r="A2372" s="503"/>
      <c r="B2372" s="503"/>
      <c r="C2372" s="13"/>
      <c r="D2372" s="13" t="s">
        <v>115</v>
      </c>
      <c r="E2372" s="13"/>
      <c r="F2372" s="109"/>
      <c r="G2372" s="504"/>
      <c r="H2372" s="504"/>
      <c r="I2372" s="504"/>
      <c r="J2372" s="504"/>
      <c r="K2372" s="504"/>
      <c r="L2372" s="504"/>
      <c r="M2372" s="504"/>
      <c r="N2372" s="504"/>
      <c r="O2372" s="110"/>
      <c r="P2372" s="109"/>
      <c r="Q2372" s="504"/>
      <c r="R2372" s="107"/>
      <c r="S2372" s="503"/>
      <c r="V2372" s="528"/>
    </row>
    <row r="2373" spans="1:22" ht="9.75" customHeight="1">
      <c r="A2373" s="503"/>
      <c r="B2373" s="503"/>
      <c r="C2373" s="13"/>
      <c r="D2373" s="13" t="s">
        <v>32</v>
      </c>
      <c r="E2373" s="13"/>
      <c r="F2373" s="109"/>
      <c r="G2373" s="504"/>
      <c r="H2373" s="504"/>
      <c r="I2373" s="504"/>
      <c r="J2373" s="504"/>
      <c r="K2373" s="504"/>
      <c r="L2373" s="504"/>
      <c r="M2373" s="504"/>
      <c r="N2373" s="504"/>
      <c r="O2373" s="110"/>
      <c r="P2373" s="109"/>
      <c r="Q2373" s="504"/>
      <c r="R2373" s="107"/>
      <c r="S2373" s="503"/>
      <c r="V2373" s="528"/>
    </row>
    <row r="2374" spans="1:22" ht="9.75" customHeight="1">
      <c r="A2374" s="503"/>
      <c r="B2374" s="503"/>
      <c r="C2374" s="13"/>
      <c r="D2374" s="13" t="s">
        <v>120</v>
      </c>
      <c r="E2374" s="13"/>
      <c r="F2374" s="109"/>
      <c r="G2374" s="504"/>
      <c r="H2374" s="504"/>
      <c r="I2374" s="504"/>
      <c r="J2374" s="504"/>
      <c r="K2374" s="504"/>
      <c r="L2374" s="504"/>
      <c r="M2374" s="504"/>
      <c r="N2374" s="504"/>
      <c r="O2374" s="110"/>
      <c r="P2374" s="109"/>
      <c r="Q2374" s="504"/>
      <c r="R2374" s="107"/>
      <c r="S2374" s="503"/>
      <c r="V2374" s="528"/>
    </row>
    <row r="2375" spans="1:22" ht="9.75" customHeight="1">
      <c r="A2375" s="503"/>
      <c r="B2375" s="503"/>
      <c r="C2375" s="13"/>
      <c r="D2375" s="13" t="s">
        <v>120</v>
      </c>
      <c r="E2375" s="13"/>
      <c r="F2375" s="109"/>
      <c r="G2375" s="504"/>
      <c r="H2375" s="504"/>
      <c r="I2375" s="504"/>
      <c r="J2375" s="504"/>
      <c r="K2375" s="504"/>
      <c r="L2375" s="504"/>
      <c r="M2375" s="504"/>
      <c r="N2375" s="504"/>
      <c r="O2375" s="110"/>
      <c r="P2375" s="109"/>
      <c r="Q2375" s="504"/>
      <c r="R2375" s="107"/>
      <c r="S2375" s="503"/>
      <c r="V2375" s="528"/>
    </row>
    <row r="2376" spans="1:22" ht="9.75" customHeight="1">
      <c r="A2376" s="503"/>
      <c r="B2376" s="503"/>
      <c r="C2376" s="13"/>
      <c r="D2376" s="13" t="s">
        <v>120</v>
      </c>
      <c r="E2376" s="13"/>
      <c r="F2376" s="109"/>
      <c r="G2376" s="504"/>
      <c r="H2376" s="504"/>
      <c r="I2376" s="504"/>
      <c r="J2376" s="504"/>
      <c r="K2376" s="504"/>
      <c r="L2376" s="504"/>
      <c r="M2376" s="504"/>
      <c r="N2376" s="504"/>
      <c r="O2376" s="110"/>
      <c r="P2376" s="109"/>
      <c r="Q2376" s="504"/>
      <c r="R2376" s="107"/>
      <c r="S2376" s="503"/>
      <c r="V2376" s="528"/>
    </row>
    <row r="2377" spans="1:22" ht="9.75" customHeight="1">
      <c r="A2377" s="503"/>
      <c r="B2377" s="503"/>
      <c r="C2377" s="13"/>
      <c r="D2377" s="13" t="s">
        <v>120</v>
      </c>
      <c r="E2377" s="13"/>
      <c r="F2377" s="109"/>
      <c r="G2377" s="504"/>
      <c r="H2377" s="504"/>
      <c r="I2377" s="504"/>
      <c r="J2377" s="504"/>
      <c r="K2377" s="504"/>
      <c r="L2377" s="504"/>
      <c r="M2377" s="504"/>
      <c r="N2377" s="504"/>
      <c r="O2377" s="110"/>
      <c r="P2377" s="109"/>
      <c r="Q2377" s="504"/>
      <c r="R2377" s="107"/>
      <c r="S2377" s="503"/>
      <c r="V2377" s="528"/>
    </row>
    <row r="2378" spans="1:22" ht="9.75" customHeight="1">
      <c r="A2378" s="503"/>
      <c r="B2378" s="503"/>
      <c r="C2378" s="13"/>
      <c r="D2378" s="13" t="s">
        <v>120</v>
      </c>
      <c r="E2378" s="13"/>
      <c r="F2378" s="109"/>
      <c r="G2378" s="504"/>
      <c r="H2378" s="504"/>
      <c r="I2378" s="504"/>
      <c r="J2378" s="504"/>
      <c r="K2378" s="504"/>
      <c r="L2378" s="504"/>
      <c r="M2378" s="504"/>
      <c r="N2378" s="504"/>
      <c r="O2378" s="110"/>
      <c r="P2378" s="109"/>
      <c r="Q2378" s="504"/>
      <c r="R2378" s="107"/>
      <c r="S2378" s="503"/>
      <c r="V2378" s="528"/>
    </row>
    <row r="2379" spans="1:22" ht="9.75" customHeight="1">
      <c r="A2379" s="503"/>
      <c r="B2379" s="503"/>
      <c r="C2379" s="13"/>
      <c r="D2379" s="13" t="s">
        <v>120</v>
      </c>
      <c r="E2379" s="13"/>
      <c r="F2379" s="109"/>
      <c r="G2379" s="504"/>
      <c r="H2379" s="504"/>
      <c r="I2379" s="504"/>
      <c r="J2379" s="504"/>
      <c r="K2379" s="504"/>
      <c r="L2379" s="504"/>
      <c r="M2379" s="504"/>
      <c r="N2379" s="504"/>
      <c r="O2379" s="110"/>
      <c r="P2379" s="109"/>
      <c r="Q2379" s="504"/>
      <c r="R2379" s="107"/>
      <c r="S2379" s="503"/>
      <c r="V2379" s="528"/>
    </row>
    <row r="2380" spans="1:22" ht="9.75" customHeight="1">
      <c r="A2380" s="503"/>
      <c r="B2380" s="503"/>
      <c r="C2380" s="13"/>
      <c r="D2380" s="13" t="s">
        <v>34</v>
      </c>
      <c r="E2380" s="13">
        <v>36</v>
      </c>
      <c r="F2380" s="109">
        <v>30</v>
      </c>
      <c r="G2380" s="504">
        <v>27</v>
      </c>
      <c r="H2380" s="504">
        <v>12</v>
      </c>
      <c r="I2380" s="504">
        <v>12</v>
      </c>
      <c r="J2380" s="504">
        <v>12</v>
      </c>
      <c r="K2380" s="504">
        <v>13</v>
      </c>
      <c r="L2380" s="504">
        <v>20</v>
      </c>
      <c r="M2380" s="504">
        <v>18</v>
      </c>
      <c r="N2380" s="504">
        <v>21</v>
      </c>
      <c r="O2380" s="110">
        <v>29</v>
      </c>
      <c r="P2380" s="109">
        <f>MIN(F2380:O2380)</f>
        <v>12</v>
      </c>
      <c r="Q2380" s="504">
        <f>E2380-P2380</f>
        <v>24</v>
      </c>
      <c r="R2380" s="107">
        <f>Q2380/E2380</f>
        <v>0.66666666666666663</v>
      </c>
      <c r="S2380" s="503"/>
      <c r="V2380" s="528"/>
    </row>
    <row r="2381" spans="1:22" ht="9.75" customHeight="1">
      <c r="A2381" s="503"/>
      <c r="B2381" s="503"/>
      <c r="C2381" s="13"/>
      <c r="D2381" s="13" t="s">
        <v>35</v>
      </c>
      <c r="E2381" s="13"/>
      <c r="F2381" s="109"/>
      <c r="G2381" s="504"/>
      <c r="H2381" s="504"/>
      <c r="I2381" s="504"/>
      <c r="J2381" s="504"/>
      <c r="K2381" s="504"/>
      <c r="L2381" s="504"/>
      <c r="M2381" s="504"/>
      <c r="N2381" s="504"/>
      <c r="O2381" s="110"/>
      <c r="P2381" s="109"/>
      <c r="Q2381" s="504"/>
      <c r="R2381" s="107"/>
      <c r="S2381" s="503"/>
      <c r="V2381" s="528"/>
    </row>
    <row r="2382" spans="1:22" ht="9.75" customHeight="1">
      <c r="A2382" s="503"/>
      <c r="B2382" s="503"/>
      <c r="C2382" s="13"/>
      <c r="D2382" s="13" t="s">
        <v>36</v>
      </c>
      <c r="E2382" s="13"/>
      <c r="F2382" s="109"/>
      <c r="G2382" s="504"/>
      <c r="H2382" s="504"/>
      <c r="I2382" s="504"/>
      <c r="J2382" s="504"/>
      <c r="K2382" s="504"/>
      <c r="L2382" s="504"/>
      <c r="M2382" s="504"/>
      <c r="N2382" s="504"/>
      <c r="O2382" s="110"/>
      <c r="P2382" s="109"/>
      <c r="Q2382" s="504"/>
      <c r="R2382" s="107"/>
      <c r="S2382" s="503"/>
      <c r="V2382" s="528"/>
    </row>
    <row r="2383" spans="1:22" ht="9.75" customHeight="1">
      <c r="A2383" s="503"/>
      <c r="B2383" s="503"/>
      <c r="C2383" s="13"/>
      <c r="D2383" s="13" t="s">
        <v>37</v>
      </c>
      <c r="E2383" s="13"/>
      <c r="F2383" s="109"/>
      <c r="G2383" s="504"/>
      <c r="H2383" s="504"/>
      <c r="I2383" s="504"/>
      <c r="J2383" s="504"/>
      <c r="K2383" s="504"/>
      <c r="L2383" s="504"/>
      <c r="M2383" s="504"/>
      <c r="N2383" s="504"/>
      <c r="O2383" s="110"/>
      <c r="P2383" s="109"/>
      <c r="Q2383" s="504"/>
      <c r="R2383" s="107"/>
      <c r="S2383" s="503"/>
      <c r="V2383" s="528"/>
    </row>
    <row r="2384" spans="1:22" ht="9.75" customHeight="1">
      <c r="A2384" s="503"/>
      <c r="B2384" s="503" t="s">
        <v>127</v>
      </c>
      <c r="C2384" s="2"/>
      <c r="D2384" s="21" t="s">
        <v>38</v>
      </c>
      <c r="E2384" s="21">
        <f t="shared" ref="E2384:O2384" si="458">SUM(E2368:E2383)</f>
        <v>164</v>
      </c>
      <c r="F2384" s="21">
        <f t="shared" si="458"/>
        <v>45</v>
      </c>
      <c r="G2384" s="71">
        <f t="shared" si="458"/>
        <v>41</v>
      </c>
      <c r="H2384" s="71">
        <f t="shared" si="458"/>
        <v>17</v>
      </c>
      <c r="I2384" s="71">
        <f t="shared" si="458"/>
        <v>16</v>
      </c>
      <c r="J2384" s="71">
        <f t="shared" si="458"/>
        <v>15</v>
      </c>
      <c r="K2384" s="71">
        <f t="shared" si="458"/>
        <v>15</v>
      </c>
      <c r="L2384" s="71">
        <f t="shared" si="458"/>
        <v>29</v>
      </c>
      <c r="M2384" s="71">
        <f t="shared" si="458"/>
        <v>20</v>
      </c>
      <c r="N2384" s="71">
        <f t="shared" si="458"/>
        <v>27</v>
      </c>
      <c r="O2384" s="26">
        <f t="shared" si="458"/>
        <v>58</v>
      </c>
      <c r="P2384" s="71">
        <f t="shared" ref="P2384:P2385" si="459">MIN(F2384:O2384)</f>
        <v>15</v>
      </c>
      <c r="Q2384" s="71">
        <f t="shared" ref="Q2384:Q2385" si="460">E2384-P2384</f>
        <v>149</v>
      </c>
      <c r="R2384" s="7">
        <f t="shared" ref="R2384:R2385" si="461">Q2384/E2384</f>
        <v>0.90853658536585369</v>
      </c>
      <c r="S2384" s="503"/>
      <c r="V2384" s="528"/>
    </row>
    <row r="2385" spans="1:22" ht="9.75" customHeight="1">
      <c r="A2385" s="503"/>
      <c r="B2385" s="503"/>
      <c r="C2385" s="43" t="s">
        <v>368</v>
      </c>
      <c r="D2385" s="43" t="s">
        <v>23</v>
      </c>
      <c r="E2385" s="13">
        <v>4</v>
      </c>
      <c r="F2385" s="109">
        <v>4</v>
      </c>
      <c r="G2385" s="504">
        <v>0</v>
      </c>
      <c r="H2385" s="504">
        <v>0</v>
      </c>
      <c r="I2385" s="504">
        <v>0</v>
      </c>
      <c r="J2385" s="504">
        <v>0</v>
      </c>
      <c r="K2385" s="504">
        <v>0</v>
      </c>
      <c r="L2385" s="504">
        <v>0</v>
      </c>
      <c r="M2385" s="504">
        <v>1</v>
      </c>
      <c r="N2385" s="504">
        <v>2</v>
      </c>
      <c r="O2385" s="110">
        <v>3</v>
      </c>
      <c r="P2385" s="109">
        <f t="shared" si="459"/>
        <v>0</v>
      </c>
      <c r="Q2385" s="504">
        <f t="shared" si="460"/>
        <v>4</v>
      </c>
      <c r="R2385" s="107">
        <f t="shared" si="461"/>
        <v>1</v>
      </c>
      <c r="S2385" s="503"/>
      <c r="V2385" s="528"/>
    </row>
    <row r="2386" spans="1:22" ht="9.75" customHeight="1">
      <c r="A2386" s="503"/>
      <c r="B2386" s="503"/>
      <c r="C2386" s="13"/>
      <c r="D2386" s="13" t="s">
        <v>25</v>
      </c>
      <c r="E2386" s="13"/>
      <c r="F2386" s="109"/>
      <c r="G2386" s="504"/>
      <c r="H2386" s="504"/>
      <c r="I2386" s="504"/>
      <c r="J2386" s="504"/>
      <c r="K2386" s="504"/>
      <c r="L2386" s="504"/>
      <c r="M2386" s="504"/>
      <c r="N2386" s="504"/>
      <c r="O2386" s="110"/>
      <c r="P2386" s="109"/>
      <c r="Q2386" s="504"/>
      <c r="R2386" s="107"/>
      <c r="S2386" s="503"/>
      <c r="V2386" s="528"/>
    </row>
    <row r="2387" spans="1:22" ht="9.75" customHeight="1">
      <c r="A2387" s="503"/>
      <c r="B2387" s="503"/>
      <c r="C2387" s="13"/>
      <c r="D2387" s="13" t="s">
        <v>27</v>
      </c>
      <c r="E2387" s="13"/>
      <c r="F2387" s="109"/>
      <c r="G2387" s="504"/>
      <c r="H2387" s="504"/>
      <c r="I2387" s="504"/>
      <c r="J2387" s="504"/>
      <c r="K2387" s="504"/>
      <c r="L2387" s="504"/>
      <c r="M2387" s="504"/>
      <c r="N2387" s="504"/>
      <c r="O2387" s="110"/>
      <c r="P2387" s="109"/>
      <c r="Q2387" s="504"/>
      <c r="R2387" s="107"/>
      <c r="S2387" s="503"/>
      <c r="V2387" s="528"/>
    </row>
    <row r="2388" spans="1:22" ht="9.75" customHeight="1">
      <c r="A2388" s="503"/>
      <c r="B2388" s="503"/>
      <c r="C2388" s="13"/>
      <c r="D2388" s="13" t="s">
        <v>173</v>
      </c>
      <c r="E2388" s="13">
        <v>64</v>
      </c>
      <c r="F2388" s="109">
        <v>21</v>
      </c>
      <c r="G2388" s="504">
        <v>11</v>
      </c>
      <c r="H2388" s="504">
        <v>6</v>
      </c>
      <c r="I2388" s="504">
        <v>6</v>
      </c>
      <c r="J2388" s="504">
        <v>20</v>
      </c>
      <c r="K2388" s="504">
        <v>13</v>
      </c>
      <c r="L2388" s="504">
        <v>5</v>
      </c>
      <c r="M2388" s="504">
        <v>19</v>
      </c>
      <c r="N2388" s="504">
        <v>34</v>
      </c>
      <c r="O2388" s="110">
        <v>44</v>
      </c>
      <c r="P2388" s="109">
        <f>MIN(F2388:O2388)</f>
        <v>5</v>
      </c>
      <c r="Q2388" s="504">
        <f>E2388-P2388</f>
        <v>59</v>
      </c>
      <c r="R2388" s="107">
        <f>Q2388/E2388</f>
        <v>0.921875</v>
      </c>
      <c r="S2388" s="503"/>
      <c r="V2388" s="528"/>
    </row>
    <row r="2389" spans="1:22" ht="9.75" customHeight="1">
      <c r="A2389" s="503"/>
      <c r="B2389" s="503"/>
      <c r="C2389" s="13"/>
      <c r="D2389" s="13" t="s">
        <v>115</v>
      </c>
      <c r="E2389" s="13"/>
      <c r="F2389" s="109"/>
      <c r="G2389" s="504"/>
      <c r="H2389" s="504"/>
      <c r="I2389" s="504"/>
      <c r="J2389" s="504"/>
      <c r="K2389" s="504"/>
      <c r="L2389" s="504"/>
      <c r="M2389" s="504"/>
      <c r="N2389" s="504"/>
      <c r="O2389" s="110"/>
      <c r="P2389" s="109"/>
      <c r="Q2389" s="504"/>
      <c r="R2389" s="107"/>
      <c r="S2389" s="503"/>
      <c r="V2389" s="528"/>
    </row>
    <row r="2390" spans="1:22" ht="9.75" customHeight="1">
      <c r="A2390" s="503"/>
      <c r="B2390" s="503"/>
      <c r="C2390" s="13"/>
      <c r="D2390" s="13" t="s">
        <v>32</v>
      </c>
      <c r="E2390" s="13"/>
      <c r="F2390" s="109"/>
      <c r="G2390" s="504"/>
      <c r="H2390" s="504"/>
      <c r="I2390" s="504"/>
      <c r="J2390" s="504"/>
      <c r="K2390" s="504"/>
      <c r="L2390" s="504"/>
      <c r="M2390" s="504"/>
      <c r="N2390" s="504"/>
      <c r="O2390" s="110"/>
      <c r="P2390" s="109"/>
      <c r="Q2390" s="504"/>
      <c r="R2390" s="107"/>
      <c r="S2390" s="503"/>
      <c r="V2390" s="528"/>
    </row>
    <row r="2391" spans="1:22" ht="9.75" customHeight="1">
      <c r="A2391" s="503"/>
      <c r="B2391" s="503"/>
      <c r="C2391" s="13"/>
      <c r="D2391" s="13" t="s">
        <v>118</v>
      </c>
      <c r="E2391" s="13">
        <v>12</v>
      </c>
      <c r="F2391" s="109">
        <v>5</v>
      </c>
      <c r="G2391" s="504">
        <v>4</v>
      </c>
      <c r="H2391" s="504">
        <v>5</v>
      </c>
      <c r="I2391" s="504">
        <v>2</v>
      </c>
      <c r="J2391" s="504">
        <v>4</v>
      </c>
      <c r="K2391" s="504">
        <v>8</v>
      </c>
      <c r="L2391" s="504">
        <v>10</v>
      </c>
      <c r="M2391" s="504">
        <v>7</v>
      </c>
      <c r="N2391" s="504">
        <v>10</v>
      </c>
      <c r="O2391" s="110">
        <v>11</v>
      </c>
      <c r="P2391" s="109">
        <f t="shared" ref="P2391:P2392" si="462">MIN(F2391:O2391)</f>
        <v>2</v>
      </c>
      <c r="Q2391" s="504">
        <f t="shared" ref="Q2391:Q2392" si="463">E2391-P2391</f>
        <v>10</v>
      </c>
      <c r="R2391" s="107">
        <f t="shared" ref="R2391:R2392" si="464">Q2391/E2391</f>
        <v>0.83333333333333337</v>
      </c>
      <c r="S2391" s="503"/>
      <c r="V2391" s="528"/>
    </row>
    <row r="2392" spans="1:22" ht="9.75" customHeight="1">
      <c r="A2392" s="503"/>
      <c r="B2392" s="503"/>
      <c r="C2392" s="13"/>
      <c r="D2392" s="30" t="s">
        <v>366</v>
      </c>
      <c r="E2392" s="30">
        <v>7</v>
      </c>
      <c r="F2392" s="109">
        <v>5</v>
      </c>
      <c r="G2392" s="504">
        <v>6</v>
      </c>
      <c r="H2392" s="504">
        <v>7</v>
      </c>
      <c r="I2392" s="504">
        <v>4</v>
      </c>
      <c r="J2392" s="504">
        <v>7</v>
      </c>
      <c r="K2392" s="504">
        <v>5</v>
      </c>
      <c r="L2392" s="504">
        <v>4</v>
      </c>
      <c r="M2392" s="504">
        <v>5</v>
      </c>
      <c r="N2392" s="504">
        <v>7</v>
      </c>
      <c r="O2392" s="110">
        <v>6</v>
      </c>
      <c r="P2392" s="109">
        <f t="shared" si="462"/>
        <v>4</v>
      </c>
      <c r="Q2392" s="504">
        <f t="shared" si="463"/>
        <v>3</v>
      </c>
      <c r="R2392" s="107">
        <f t="shared" si="464"/>
        <v>0.42857142857142855</v>
      </c>
      <c r="S2392" s="503"/>
      <c r="V2392" s="528"/>
    </row>
    <row r="2393" spans="1:22" ht="9.75" customHeight="1">
      <c r="A2393" s="503"/>
      <c r="B2393" s="503"/>
      <c r="C2393" s="13"/>
      <c r="D2393" s="30" t="s">
        <v>120</v>
      </c>
      <c r="E2393" s="30"/>
      <c r="F2393" s="109"/>
      <c r="G2393" s="504"/>
      <c r="H2393" s="504"/>
      <c r="I2393" s="504"/>
      <c r="J2393" s="504"/>
      <c r="K2393" s="504"/>
      <c r="L2393" s="504"/>
      <c r="M2393" s="504"/>
      <c r="N2393" s="504"/>
      <c r="O2393" s="110"/>
      <c r="P2393" s="109"/>
      <c r="Q2393" s="504"/>
      <c r="R2393" s="107"/>
      <c r="S2393" s="503"/>
      <c r="V2393" s="528"/>
    </row>
    <row r="2394" spans="1:22" ht="9.75" customHeight="1">
      <c r="A2394" s="503"/>
      <c r="B2394" s="503"/>
      <c r="C2394" s="13"/>
      <c r="D2394" s="30" t="s">
        <v>120</v>
      </c>
      <c r="E2394" s="30"/>
      <c r="F2394" s="109"/>
      <c r="G2394" s="504"/>
      <c r="H2394" s="504"/>
      <c r="I2394" s="504"/>
      <c r="J2394" s="504"/>
      <c r="K2394" s="504"/>
      <c r="L2394" s="504"/>
      <c r="M2394" s="504"/>
      <c r="N2394" s="504"/>
      <c r="O2394" s="110"/>
      <c r="P2394" s="109"/>
      <c r="Q2394" s="504"/>
      <c r="R2394" s="107"/>
      <c r="S2394" s="503"/>
      <c r="V2394" s="528"/>
    </row>
    <row r="2395" spans="1:22" ht="9.75" customHeight="1">
      <c r="A2395" s="503"/>
      <c r="B2395" s="503"/>
      <c r="C2395" s="13"/>
      <c r="D2395" s="13" t="s">
        <v>120</v>
      </c>
      <c r="E2395" s="13"/>
      <c r="F2395" s="109"/>
      <c r="G2395" s="504"/>
      <c r="H2395" s="504"/>
      <c r="I2395" s="504"/>
      <c r="J2395" s="504"/>
      <c r="K2395" s="504"/>
      <c r="L2395" s="504"/>
      <c r="M2395" s="504"/>
      <c r="N2395" s="504"/>
      <c r="O2395" s="110"/>
      <c r="P2395" s="109"/>
      <c r="Q2395" s="504"/>
      <c r="R2395" s="107"/>
      <c r="S2395" s="503"/>
      <c r="V2395" s="528"/>
    </row>
    <row r="2396" spans="1:22" ht="9.75" customHeight="1">
      <c r="A2396" s="503"/>
      <c r="B2396" s="503"/>
      <c r="C2396" s="13"/>
      <c r="D2396" s="13" t="s">
        <v>120</v>
      </c>
      <c r="E2396" s="13"/>
      <c r="F2396" s="109"/>
      <c r="G2396" s="504"/>
      <c r="H2396" s="504"/>
      <c r="I2396" s="504"/>
      <c r="J2396" s="504"/>
      <c r="K2396" s="504"/>
      <c r="L2396" s="504"/>
      <c r="M2396" s="504"/>
      <c r="N2396" s="504"/>
      <c r="O2396" s="110"/>
      <c r="P2396" s="109"/>
      <c r="Q2396" s="504"/>
      <c r="R2396" s="107"/>
      <c r="S2396" s="503"/>
      <c r="V2396" s="528"/>
    </row>
    <row r="2397" spans="1:22" ht="9.75" customHeight="1">
      <c r="A2397" s="503"/>
      <c r="B2397" s="503"/>
      <c r="C2397" s="13"/>
      <c r="D2397" s="13" t="s">
        <v>34</v>
      </c>
      <c r="E2397" s="13">
        <v>58</v>
      </c>
      <c r="F2397" s="109">
        <f>E2397-11</f>
        <v>47</v>
      </c>
      <c r="G2397" s="504">
        <f>E2397-27</f>
        <v>31</v>
      </c>
      <c r="H2397" s="504">
        <f>E2397-28</f>
        <v>30</v>
      </c>
      <c r="I2397" s="504">
        <f>E2397-34</f>
        <v>24</v>
      </c>
      <c r="J2397" s="504">
        <f>E2397-27</f>
        <v>31</v>
      </c>
      <c r="K2397" s="504">
        <f>E2397-29</f>
        <v>29</v>
      </c>
      <c r="L2397" s="504">
        <f>E2397-32</f>
        <v>26</v>
      </c>
      <c r="M2397" s="504">
        <f>E2397-25</f>
        <v>33</v>
      </c>
      <c r="N2397" s="504">
        <f>E2397-22</f>
        <v>36</v>
      </c>
      <c r="O2397" s="110">
        <f>E2397-11</f>
        <v>47</v>
      </c>
      <c r="P2397" s="109">
        <f>MIN(F2397:O2397)</f>
        <v>24</v>
      </c>
      <c r="Q2397" s="504">
        <f>E2397-P2397</f>
        <v>34</v>
      </c>
      <c r="R2397" s="107">
        <f>Q2397/E2397</f>
        <v>0.58620689655172409</v>
      </c>
      <c r="S2397" s="503"/>
      <c r="V2397" s="528"/>
    </row>
    <row r="2398" spans="1:22" ht="9.75" customHeight="1">
      <c r="A2398" s="503"/>
      <c r="B2398" s="503"/>
      <c r="C2398" s="13"/>
      <c r="D2398" s="13" t="s">
        <v>35</v>
      </c>
      <c r="E2398" s="13"/>
      <c r="F2398" s="109"/>
      <c r="G2398" s="504"/>
      <c r="H2398" s="504"/>
      <c r="I2398" s="504"/>
      <c r="J2398" s="504"/>
      <c r="K2398" s="504"/>
      <c r="L2398" s="504"/>
      <c r="M2398" s="504"/>
      <c r="N2398" s="504"/>
      <c r="O2398" s="110"/>
      <c r="P2398" s="109"/>
      <c r="Q2398" s="504"/>
      <c r="R2398" s="107"/>
      <c r="S2398" s="503"/>
      <c r="V2398" s="528"/>
    </row>
    <row r="2399" spans="1:22" ht="9.75" customHeight="1">
      <c r="A2399" s="503"/>
      <c r="B2399" s="503"/>
      <c r="C2399" s="13"/>
      <c r="D2399" s="13" t="s">
        <v>36</v>
      </c>
      <c r="E2399" s="13"/>
      <c r="F2399" s="109"/>
      <c r="G2399" s="504"/>
      <c r="H2399" s="504"/>
      <c r="I2399" s="504"/>
      <c r="J2399" s="504"/>
      <c r="K2399" s="504"/>
      <c r="L2399" s="504"/>
      <c r="M2399" s="504"/>
      <c r="N2399" s="504"/>
      <c r="O2399" s="110"/>
      <c r="P2399" s="109"/>
      <c r="Q2399" s="504"/>
      <c r="R2399" s="107"/>
      <c r="S2399" s="503"/>
      <c r="V2399" s="528"/>
    </row>
    <row r="2400" spans="1:22" ht="9.75" customHeight="1">
      <c r="A2400" s="503"/>
      <c r="B2400" s="503"/>
      <c r="C2400" s="13"/>
      <c r="D2400" s="13" t="s">
        <v>37</v>
      </c>
      <c r="E2400" s="13"/>
      <c r="F2400" s="109"/>
      <c r="G2400" s="504"/>
      <c r="H2400" s="504"/>
      <c r="I2400" s="504"/>
      <c r="J2400" s="504"/>
      <c r="K2400" s="504"/>
      <c r="L2400" s="504"/>
      <c r="M2400" s="504"/>
      <c r="N2400" s="504"/>
      <c r="O2400" s="110"/>
      <c r="P2400" s="109"/>
      <c r="Q2400" s="504"/>
      <c r="R2400" s="107"/>
      <c r="S2400" s="503"/>
      <c r="V2400" s="528"/>
    </row>
    <row r="2401" spans="1:22" ht="9.75" customHeight="1">
      <c r="A2401" s="503"/>
      <c r="B2401" s="503" t="s">
        <v>127</v>
      </c>
      <c r="C2401" s="2"/>
      <c r="D2401" s="21" t="s">
        <v>38</v>
      </c>
      <c r="E2401" s="21">
        <f t="shared" ref="E2401:O2401" si="465">SUM(E2385:E2400)</f>
        <v>145</v>
      </c>
      <c r="F2401" s="21">
        <f>SUM(F2385:F2400)</f>
        <v>82</v>
      </c>
      <c r="G2401" s="71">
        <f>SUM(G2385:G2400)</f>
        <v>52</v>
      </c>
      <c r="H2401" s="71">
        <f>SUM(H2385:H2400)</f>
        <v>48</v>
      </c>
      <c r="I2401" s="71">
        <f>SUM(I2385:I2400)</f>
        <v>36</v>
      </c>
      <c r="J2401" s="71">
        <f>SUM(J2385:J2400)</f>
        <v>62</v>
      </c>
      <c r="K2401" s="71">
        <f t="shared" si="465"/>
        <v>55</v>
      </c>
      <c r="L2401" s="71">
        <f t="shared" si="465"/>
        <v>45</v>
      </c>
      <c r="M2401" s="71">
        <f t="shared" si="465"/>
        <v>65</v>
      </c>
      <c r="N2401" s="71">
        <f t="shared" si="465"/>
        <v>89</v>
      </c>
      <c r="O2401" s="26">
        <f t="shared" si="465"/>
        <v>111</v>
      </c>
      <c r="P2401" s="71">
        <f t="shared" ref="P2401:P2402" si="466">MIN(F2401:O2401)</f>
        <v>36</v>
      </c>
      <c r="Q2401" s="71">
        <f t="shared" ref="Q2401:Q2402" si="467">E2401-P2401</f>
        <v>109</v>
      </c>
      <c r="R2401" s="7">
        <f t="shared" ref="R2401:R2402" si="468">Q2401/E2401</f>
        <v>0.75172413793103443</v>
      </c>
      <c r="S2401" s="503"/>
      <c r="V2401" s="528"/>
    </row>
    <row r="2402" spans="1:22" ht="9.75" customHeight="1">
      <c r="A2402" s="503"/>
      <c r="B2402" s="503"/>
      <c r="C2402" s="43" t="s">
        <v>369</v>
      </c>
      <c r="D2402" s="43" t="s">
        <v>23</v>
      </c>
      <c r="E2402" s="13">
        <v>17</v>
      </c>
      <c r="F2402" s="109">
        <v>2</v>
      </c>
      <c r="G2402" s="504">
        <v>0</v>
      </c>
      <c r="H2402" s="504">
        <v>0</v>
      </c>
      <c r="I2402" s="504">
        <v>1</v>
      </c>
      <c r="J2402" s="504">
        <v>2</v>
      </c>
      <c r="K2402" s="504">
        <v>2</v>
      </c>
      <c r="L2402" s="504">
        <v>3</v>
      </c>
      <c r="M2402" s="504">
        <v>3</v>
      </c>
      <c r="N2402" s="504">
        <v>7</v>
      </c>
      <c r="O2402" s="110">
        <v>10</v>
      </c>
      <c r="P2402" s="109">
        <f t="shared" si="466"/>
        <v>0</v>
      </c>
      <c r="Q2402" s="504">
        <f t="shared" si="467"/>
        <v>17</v>
      </c>
      <c r="R2402" s="107">
        <f t="shared" si="468"/>
        <v>1</v>
      </c>
      <c r="S2402" s="503"/>
      <c r="V2402" s="528"/>
    </row>
    <row r="2403" spans="1:22" ht="9.75" customHeight="1">
      <c r="A2403" s="503"/>
      <c r="B2403" s="503"/>
      <c r="C2403" s="13"/>
      <c r="D2403" s="13" t="s">
        <v>25</v>
      </c>
      <c r="E2403" s="13"/>
      <c r="F2403" s="109"/>
      <c r="G2403" s="504"/>
      <c r="H2403" s="504"/>
      <c r="I2403" s="504"/>
      <c r="J2403" s="504"/>
      <c r="K2403" s="504"/>
      <c r="L2403" s="504"/>
      <c r="M2403" s="504"/>
      <c r="N2403" s="504"/>
      <c r="O2403" s="110"/>
      <c r="P2403" s="109"/>
      <c r="Q2403" s="504"/>
      <c r="R2403" s="107"/>
      <c r="S2403" s="503"/>
      <c r="V2403" s="528"/>
    </row>
    <row r="2404" spans="1:22" ht="9.75" customHeight="1">
      <c r="A2404" s="503"/>
      <c r="B2404" s="503"/>
      <c r="C2404" s="13"/>
      <c r="D2404" s="13" t="s">
        <v>27</v>
      </c>
      <c r="E2404" s="13"/>
      <c r="F2404" s="109"/>
      <c r="G2404" s="504"/>
      <c r="H2404" s="504"/>
      <c r="I2404" s="504"/>
      <c r="J2404" s="504"/>
      <c r="K2404" s="504"/>
      <c r="L2404" s="504"/>
      <c r="M2404" s="504"/>
      <c r="N2404" s="504"/>
      <c r="O2404" s="110"/>
      <c r="P2404" s="109"/>
      <c r="Q2404" s="504"/>
      <c r="R2404" s="107"/>
      <c r="S2404" s="503"/>
      <c r="V2404" s="528"/>
    </row>
    <row r="2405" spans="1:22" ht="9.75" customHeight="1">
      <c r="A2405" s="503"/>
      <c r="B2405" s="503"/>
      <c r="C2405" s="13"/>
      <c r="D2405" s="13" t="s">
        <v>173</v>
      </c>
      <c r="E2405" s="13">
        <v>155</v>
      </c>
      <c r="F2405" s="109">
        <f>E2405-39</f>
        <v>116</v>
      </c>
      <c r="G2405" s="504">
        <f>E2405-58</f>
        <v>97</v>
      </c>
      <c r="H2405" s="504">
        <f>E2405-69</f>
        <v>86</v>
      </c>
      <c r="I2405" s="504">
        <f>E2405-68</f>
        <v>87</v>
      </c>
      <c r="J2405" s="504">
        <f>E2405-71</f>
        <v>84</v>
      </c>
      <c r="K2405" s="504">
        <f>E2405-58</f>
        <v>97</v>
      </c>
      <c r="L2405" s="504">
        <f>E2405-57</f>
        <v>98</v>
      </c>
      <c r="M2405" s="504">
        <f>E2405-49</f>
        <v>106</v>
      </c>
      <c r="N2405" s="504">
        <f>E2405-29</f>
        <v>126</v>
      </c>
      <c r="O2405" s="110">
        <f>E2405-21</f>
        <v>134</v>
      </c>
      <c r="P2405" s="109">
        <f>MIN(F2405:O2405)</f>
        <v>84</v>
      </c>
      <c r="Q2405" s="504">
        <f>E2405-P2405</f>
        <v>71</v>
      </c>
      <c r="R2405" s="107">
        <f>Q2405/E2405</f>
        <v>0.45806451612903226</v>
      </c>
      <c r="S2405" s="503"/>
      <c r="V2405" s="528"/>
    </row>
    <row r="2406" spans="1:22" ht="9.75" customHeight="1">
      <c r="A2406" s="503"/>
      <c r="B2406" s="503"/>
      <c r="C2406" s="13"/>
      <c r="D2406" s="13" t="s">
        <v>115</v>
      </c>
      <c r="E2406" s="13"/>
      <c r="F2406" s="109"/>
      <c r="G2406" s="504"/>
      <c r="H2406" s="504"/>
      <c r="I2406" s="504"/>
      <c r="J2406" s="504"/>
      <c r="K2406" s="504"/>
      <c r="L2406" s="504"/>
      <c r="M2406" s="504"/>
      <c r="N2406" s="504"/>
      <c r="O2406" s="110"/>
      <c r="P2406" s="109"/>
      <c r="Q2406" s="504"/>
      <c r="R2406" s="107"/>
      <c r="S2406" s="503"/>
      <c r="V2406" s="528"/>
    </row>
    <row r="2407" spans="1:22" ht="9.75" customHeight="1">
      <c r="A2407" s="503"/>
      <c r="B2407" s="503"/>
      <c r="C2407" s="13"/>
      <c r="D2407" s="13" t="s">
        <v>32</v>
      </c>
      <c r="E2407" s="13"/>
      <c r="F2407" s="109"/>
      <c r="G2407" s="504"/>
      <c r="H2407" s="504"/>
      <c r="I2407" s="504"/>
      <c r="J2407" s="504"/>
      <c r="K2407" s="504"/>
      <c r="L2407" s="504"/>
      <c r="M2407" s="504"/>
      <c r="N2407" s="504"/>
      <c r="O2407" s="110"/>
      <c r="P2407" s="109"/>
      <c r="Q2407" s="504"/>
      <c r="R2407" s="107"/>
      <c r="S2407" s="503"/>
      <c r="V2407" s="528"/>
    </row>
    <row r="2408" spans="1:22" ht="9.75" customHeight="1">
      <c r="A2408" s="503"/>
      <c r="B2408" s="503"/>
      <c r="C2408" s="13"/>
      <c r="D2408" s="13" t="s">
        <v>120</v>
      </c>
      <c r="E2408" s="13"/>
      <c r="F2408" s="109"/>
      <c r="G2408" s="504"/>
      <c r="H2408" s="504"/>
      <c r="I2408" s="504"/>
      <c r="J2408" s="504"/>
      <c r="K2408" s="504"/>
      <c r="L2408" s="504"/>
      <c r="M2408" s="504"/>
      <c r="N2408" s="504"/>
      <c r="O2408" s="110"/>
      <c r="P2408" s="109"/>
      <c r="Q2408" s="504"/>
      <c r="R2408" s="107"/>
      <c r="S2408" s="503"/>
      <c r="V2408" s="528"/>
    </row>
    <row r="2409" spans="1:22" ht="9.75" customHeight="1">
      <c r="A2409" s="503"/>
      <c r="B2409" s="503"/>
      <c r="C2409" s="13"/>
      <c r="D2409" s="13" t="s">
        <v>120</v>
      </c>
      <c r="E2409" s="13"/>
      <c r="F2409" s="109"/>
      <c r="G2409" s="504"/>
      <c r="H2409" s="504"/>
      <c r="I2409" s="504"/>
      <c r="J2409" s="504"/>
      <c r="K2409" s="504"/>
      <c r="L2409" s="504"/>
      <c r="M2409" s="504"/>
      <c r="N2409" s="504"/>
      <c r="O2409" s="110"/>
      <c r="P2409" s="109"/>
      <c r="Q2409" s="504"/>
      <c r="R2409" s="107"/>
      <c r="S2409" s="503"/>
      <c r="V2409" s="528"/>
    </row>
    <row r="2410" spans="1:22" ht="9.75" customHeight="1">
      <c r="A2410" s="503"/>
      <c r="B2410" s="503"/>
      <c r="C2410" s="13"/>
      <c r="D2410" s="13" t="s">
        <v>120</v>
      </c>
      <c r="E2410" s="13"/>
      <c r="F2410" s="109"/>
      <c r="G2410" s="504"/>
      <c r="H2410" s="504"/>
      <c r="I2410" s="504"/>
      <c r="J2410" s="504"/>
      <c r="K2410" s="504"/>
      <c r="L2410" s="504"/>
      <c r="M2410" s="504"/>
      <c r="N2410" s="504"/>
      <c r="O2410" s="110"/>
      <c r="P2410" s="109"/>
      <c r="Q2410" s="504"/>
      <c r="R2410" s="107"/>
      <c r="S2410" s="503"/>
      <c r="V2410" s="528"/>
    </row>
    <row r="2411" spans="1:22" ht="9.75" customHeight="1">
      <c r="A2411" s="503"/>
      <c r="B2411" s="503"/>
      <c r="C2411" s="13"/>
      <c r="D2411" s="13" t="s">
        <v>120</v>
      </c>
      <c r="E2411" s="13"/>
      <c r="F2411" s="109"/>
      <c r="G2411" s="504"/>
      <c r="H2411" s="504"/>
      <c r="I2411" s="504"/>
      <c r="J2411" s="504"/>
      <c r="K2411" s="504"/>
      <c r="L2411" s="504"/>
      <c r="M2411" s="504"/>
      <c r="N2411" s="504"/>
      <c r="O2411" s="110"/>
      <c r="P2411" s="109"/>
      <c r="Q2411" s="504"/>
      <c r="R2411" s="107"/>
      <c r="S2411" s="503"/>
      <c r="V2411" s="528"/>
    </row>
    <row r="2412" spans="1:22" ht="9.75" customHeight="1">
      <c r="A2412" s="503"/>
      <c r="B2412" s="503"/>
      <c r="C2412" s="13"/>
      <c r="D2412" s="13" t="s">
        <v>120</v>
      </c>
      <c r="E2412" s="13"/>
      <c r="F2412" s="109"/>
      <c r="G2412" s="504"/>
      <c r="H2412" s="504"/>
      <c r="I2412" s="504"/>
      <c r="J2412" s="504"/>
      <c r="K2412" s="504"/>
      <c r="L2412" s="504"/>
      <c r="M2412" s="504"/>
      <c r="N2412" s="504"/>
      <c r="O2412" s="110"/>
      <c r="P2412" s="109"/>
      <c r="Q2412" s="504"/>
      <c r="R2412" s="107"/>
      <c r="S2412" s="503"/>
      <c r="V2412" s="528"/>
    </row>
    <row r="2413" spans="1:22" ht="9.75" customHeight="1">
      <c r="A2413" s="503"/>
      <c r="B2413" s="503"/>
      <c r="C2413" s="13"/>
      <c r="D2413" s="13" t="s">
        <v>120</v>
      </c>
      <c r="E2413" s="13"/>
      <c r="F2413" s="109"/>
      <c r="G2413" s="504"/>
      <c r="H2413" s="504"/>
      <c r="I2413" s="504"/>
      <c r="J2413" s="504"/>
      <c r="K2413" s="504"/>
      <c r="L2413" s="504"/>
      <c r="M2413" s="504"/>
      <c r="N2413" s="504"/>
      <c r="O2413" s="110"/>
      <c r="P2413" s="109"/>
      <c r="Q2413" s="504"/>
      <c r="R2413" s="107"/>
      <c r="S2413" s="503"/>
      <c r="V2413" s="528"/>
    </row>
    <row r="2414" spans="1:22" ht="9.75" customHeight="1">
      <c r="A2414" s="503"/>
      <c r="B2414" s="503"/>
      <c r="C2414" s="13"/>
      <c r="D2414" s="13" t="s">
        <v>34</v>
      </c>
      <c r="E2414" s="13">
        <v>10</v>
      </c>
      <c r="F2414" s="109">
        <v>10</v>
      </c>
      <c r="G2414" s="504">
        <v>8</v>
      </c>
      <c r="H2414" s="504">
        <v>7</v>
      </c>
      <c r="I2414" s="504">
        <v>7</v>
      </c>
      <c r="J2414" s="504">
        <v>7</v>
      </c>
      <c r="K2414" s="504">
        <v>6</v>
      </c>
      <c r="L2414" s="504">
        <v>7</v>
      </c>
      <c r="M2414" s="504">
        <v>9</v>
      </c>
      <c r="N2414" s="504">
        <v>9</v>
      </c>
      <c r="O2414" s="110">
        <v>10</v>
      </c>
      <c r="P2414" s="109">
        <f>MIN(F2414:O2414)</f>
        <v>6</v>
      </c>
      <c r="Q2414" s="504">
        <f>E2414-P2414</f>
        <v>4</v>
      </c>
      <c r="R2414" s="107">
        <f>Q2414/E2414</f>
        <v>0.4</v>
      </c>
      <c r="S2414" s="503"/>
      <c r="V2414" s="528"/>
    </row>
    <row r="2415" spans="1:22" ht="9.75" customHeight="1">
      <c r="A2415" s="503"/>
      <c r="B2415" s="503"/>
      <c r="C2415" s="13"/>
      <c r="D2415" s="13" t="s">
        <v>35</v>
      </c>
      <c r="E2415" s="13"/>
      <c r="F2415" s="109"/>
      <c r="G2415" s="504"/>
      <c r="H2415" s="504"/>
      <c r="I2415" s="504"/>
      <c r="J2415" s="504"/>
      <c r="K2415" s="504"/>
      <c r="L2415" s="504"/>
      <c r="M2415" s="504"/>
      <c r="N2415" s="504"/>
      <c r="O2415" s="110"/>
      <c r="P2415" s="109"/>
      <c r="Q2415" s="504"/>
      <c r="R2415" s="107"/>
      <c r="S2415" s="503"/>
      <c r="V2415" s="528"/>
    </row>
    <row r="2416" spans="1:22" ht="9.75" customHeight="1">
      <c r="A2416" s="503"/>
      <c r="B2416" s="503"/>
      <c r="C2416" s="13"/>
      <c r="D2416" s="13" t="s">
        <v>36</v>
      </c>
      <c r="E2416" s="13"/>
      <c r="F2416" s="109"/>
      <c r="G2416" s="504"/>
      <c r="H2416" s="504"/>
      <c r="I2416" s="504"/>
      <c r="J2416" s="504"/>
      <c r="K2416" s="504"/>
      <c r="L2416" s="504"/>
      <c r="M2416" s="504"/>
      <c r="N2416" s="504"/>
      <c r="O2416" s="110"/>
      <c r="P2416" s="109"/>
      <c r="Q2416" s="504"/>
      <c r="R2416" s="107"/>
      <c r="S2416" s="503"/>
      <c r="V2416" s="528"/>
    </row>
    <row r="2417" spans="1:22" ht="9.75" customHeight="1">
      <c r="A2417" s="503"/>
      <c r="B2417" s="503"/>
      <c r="C2417" s="13"/>
      <c r="D2417" s="13" t="s">
        <v>37</v>
      </c>
      <c r="E2417" s="13"/>
      <c r="F2417" s="109"/>
      <c r="G2417" s="504"/>
      <c r="H2417" s="504"/>
      <c r="I2417" s="504"/>
      <c r="J2417" s="504"/>
      <c r="K2417" s="504"/>
      <c r="L2417" s="504"/>
      <c r="M2417" s="504"/>
      <c r="N2417" s="504"/>
      <c r="O2417" s="110"/>
      <c r="P2417" s="109"/>
      <c r="Q2417" s="504"/>
      <c r="R2417" s="107"/>
      <c r="S2417" s="503"/>
      <c r="V2417" s="528"/>
    </row>
    <row r="2418" spans="1:22" ht="9.75" customHeight="1">
      <c r="A2418" s="503"/>
      <c r="B2418" s="503" t="s">
        <v>127</v>
      </c>
      <c r="C2418" s="2"/>
      <c r="D2418" s="21" t="s">
        <v>38</v>
      </c>
      <c r="E2418" s="21">
        <f t="shared" ref="E2418:O2418" si="469">SUM(E2402:E2417)</f>
        <v>182</v>
      </c>
      <c r="F2418" s="21">
        <f>SUM(F2402:F2417)</f>
        <v>128</v>
      </c>
      <c r="G2418" s="71">
        <f>SUM(G2402:G2417)</f>
        <v>105</v>
      </c>
      <c r="H2418" s="71">
        <f>SUM(H2402:H2417)</f>
        <v>93</v>
      </c>
      <c r="I2418" s="71">
        <f>SUM(I2402:I2417)</f>
        <v>95</v>
      </c>
      <c r="J2418" s="71">
        <f>SUM(J2402:J2417)</f>
        <v>93</v>
      </c>
      <c r="K2418" s="71">
        <f t="shared" si="469"/>
        <v>105</v>
      </c>
      <c r="L2418" s="71">
        <f t="shared" si="469"/>
        <v>108</v>
      </c>
      <c r="M2418" s="71">
        <f t="shared" si="469"/>
        <v>118</v>
      </c>
      <c r="N2418" s="71">
        <f t="shared" si="469"/>
        <v>142</v>
      </c>
      <c r="O2418" s="26">
        <f t="shared" si="469"/>
        <v>154</v>
      </c>
      <c r="P2418" s="71">
        <f t="shared" ref="P2418:P2420" si="470">MIN(F2418:O2418)</f>
        <v>93</v>
      </c>
      <c r="Q2418" s="71">
        <f t="shared" ref="Q2418:Q2420" si="471">E2418-P2418</f>
        <v>89</v>
      </c>
      <c r="R2418" s="7">
        <f t="shared" ref="R2418:R2420" si="472">Q2418/E2418</f>
        <v>0.48901098901098899</v>
      </c>
      <c r="S2418" s="503"/>
      <c r="V2418" s="528"/>
    </row>
    <row r="2419" spans="1:22" ht="9.75" customHeight="1">
      <c r="A2419" s="503"/>
      <c r="B2419" s="503"/>
      <c r="C2419" s="43" t="s">
        <v>370</v>
      </c>
      <c r="D2419" s="43" t="s">
        <v>23</v>
      </c>
      <c r="E2419" s="13">
        <v>57</v>
      </c>
      <c r="F2419" s="109">
        <v>37</v>
      </c>
      <c r="G2419" s="504">
        <v>29</v>
      </c>
      <c r="H2419" s="504">
        <v>22</v>
      </c>
      <c r="I2419" s="504">
        <v>18</v>
      </c>
      <c r="J2419" s="504">
        <v>16</v>
      </c>
      <c r="K2419" s="504">
        <v>14</v>
      </c>
      <c r="L2419" s="504">
        <v>20</v>
      </c>
      <c r="M2419" s="504">
        <v>22</v>
      </c>
      <c r="N2419" s="504">
        <v>29</v>
      </c>
      <c r="O2419" s="110">
        <v>37</v>
      </c>
      <c r="P2419" s="109">
        <f t="shared" si="470"/>
        <v>14</v>
      </c>
      <c r="Q2419" s="504">
        <f t="shared" si="471"/>
        <v>43</v>
      </c>
      <c r="R2419" s="107">
        <f t="shared" si="472"/>
        <v>0.75438596491228072</v>
      </c>
      <c r="S2419" s="503"/>
      <c r="V2419" s="528"/>
    </row>
    <row r="2420" spans="1:22" ht="9.75" customHeight="1">
      <c r="A2420" s="503"/>
      <c r="B2420" s="503"/>
      <c r="C2420" s="13"/>
      <c r="D2420" s="13" t="s">
        <v>25</v>
      </c>
      <c r="E2420" s="13">
        <v>103</v>
      </c>
      <c r="F2420" s="109">
        <v>0</v>
      </c>
      <c r="G2420" s="504">
        <v>0</v>
      </c>
      <c r="H2420" s="504">
        <v>0</v>
      </c>
      <c r="I2420" s="504">
        <v>0</v>
      </c>
      <c r="J2420" s="504">
        <v>0</v>
      </c>
      <c r="K2420" s="504">
        <v>0</v>
      </c>
      <c r="L2420" s="504">
        <v>4</v>
      </c>
      <c r="M2420" s="504">
        <v>15</v>
      </c>
      <c r="N2420" s="504">
        <v>35</v>
      </c>
      <c r="O2420" s="110">
        <f>E2420-48</f>
        <v>55</v>
      </c>
      <c r="P2420" s="109">
        <f t="shared" si="470"/>
        <v>0</v>
      </c>
      <c r="Q2420" s="504">
        <f t="shared" si="471"/>
        <v>103</v>
      </c>
      <c r="R2420" s="107">
        <f t="shared" si="472"/>
        <v>1</v>
      </c>
      <c r="S2420" s="503"/>
      <c r="V2420" s="528"/>
    </row>
    <row r="2421" spans="1:22" ht="9.75" customHeight="1">
      <c r="A2421" s="503"/>
      <c r="B2421" s="503"/>
      <c r="C2421" s="13"/>
      <c r="D2421" s="13" t="s">
        <v>27</v>
      </c>
      <c r="E2421" s="13"/>
      <c r="F2421" s="109"/>
      <c r="G2421" s="504"/>
      <c r="H2421" s="504"/>
      <c r="I2421" s="504"/>
      <c r="J2421" s="504"/>
      <c r="K2421" s="504"/>
      <c r="L2421" s="504"/>
      <c r="M2421" s="504"/>
      <c r="N2421" s="504"/>
      <c r="O2421" s="110"/>
      <c r="P2421" s="109"/>
      <c r="Q2421" s="504"/>
      <c r="R2421" s="107"/>
      <c r="S2421" s="503"/>
      <c r="V2421" s="528"/>
    </row>
    <row r="2422" spans="1:22" ht="9.75" customHeight="1">
      <c r="A2422" s="503"/>
      <c r="B2422" s="503"/>
      <c r="C2422" s="13"/>
      <c r="D2422" s="13" t="s">
        <v>173</v>
      </c>
      <c r="E2422" s="13">
        <v>39</v>
      </c>
      <c r="F2422" s="109">
        <v>34</v>
      </c>
      <c r="G2422" s="504">
        <v>35</v>
      </c>
      <c r="H2422" s="504">
        <v>33</v>
      </c>
      <c r="I2422" s="504">
        <v>31</v>
      </c>
      <c r="J2422" s="504">
        <v>30</v>
      </c>
      <c r="K2422" s="504">
        <v>29</v>
      </c>
      <c r="L2422" s="504">
        <v>21</v>
      </c>
      <c r="M2422" s="504">
        <v>30</v>
      </c>
      <c r="N2422" s="504">
        <v>32</v>
      </c>
      <c r="O2422" s="110">
        <v>36</v>
      </c>
      <c r="P2422" s="109">
        <f>MIN(F2422:O2422)</f>
        <v>21</v>
      </c>
      <c r="Q2422" s="504">
        <f>E2422-P2422</f>
        <v>18</v>
      </c>
      <c r="R2422" s="107">
        <f>Q2422/E2422</f>
        <v>0.46153846153846156</v>
      </c>
      <c r="S2422" s="503"/>
      <c r="V2422" s="528"/>
    </row>
    <row r="2423" spans="1:22" ht="9.75" customHeight="1">
      <c r="A2423" s="503"/>
      <c r="B2423" s="503"/>
      <c r="C2423" s="13"/>
      <c r="D2423" s="13" t="s">
        <v>115</v>
      </c>
      <c r="E2423" s="13"/>
      <c r="F2423" s="109"/>
      <c r="G2423" s="504"/>
      <c r="H2423" s="504"/>
      <c r="I2423" s="504"/>
      <c r="J2423" s="504"/>
      <c r="K2423" s="504"/>
      <c r="L2423" s="504"/>
      <c r="M2423" s="504"/>
      <c r="N2423" s="504"/>
      <c r="O2423" s="110"/>
      <c r="P2423" s="109"/>
      <c r="Q2423" s="504"/>
      <c r="R2423" s="107"/>
      <c r="S2423" s="503"/>
      <c r="V2423" s="528"/>
    </row>
    <row r="2424" spans="1:22" ht="9.75" customHeight="1">
      <c r="A2424" s="503"/>
      <c r="B2424" s="503"/>
      <c r="C2424" s="13"/>
      <c r="D2424" s="13" t="s">
        <v>32</v>
      </c>
      <c r="E2424" s="13"/>
      <c r="F2424" s="109"/>
      <c r="G2424" s="504"/>
      <c r="H2424" s="504"/>
      <c r="I2424" s="504"/>
      <c r="J2424" s="504"/>
      <c r="K2424" s="504"/>
      <c r="L2424" s="504"/>
      <c r="M2424" s="504"/>
      <c r="N2424" s="504"/>
      <c r="O2424" s="110"/>
      <c r="P2424" s="109"/>
      <c r="Q2424" s="504"/>
      <c r="R2424" s="107"/>
      <c r="S2424" s="503"/>
      <c r="V2424" s="528"/>
    </row>
    <row r="2425" spans="1:22" ht="9.75" customHeight="1">
      <c r="A2425" s="503"/>
      <c r="B2425" s="503"/>
      <c r="C2425" s="13"/>
      <c r="D2425" s="13" t="s">
        <v>120</v>
      </c>
      <c r="E2425" s="13"/>
      <c r="F2425" s="109"/>
      <c r="G2425" s="504"/>
      <c r="H2425" s="504"/>
      <c r="I2425" s="504"/>
      <c r="J2425" s="504"/>
      <c r="K2425" s="504"/>
      <c r="L2425" s="504"/>
      <c r="M2425" s="504"/>
      <c r="N2425" s="504"/>
      <c r="O2425" s="110"/>
      <c r="P2425" s="109"/>
      <c r="Q2425" s="504"/>
      <c r="R2425" s="107"/>
      <c r="S2425" s="503"/>
      <c r="V2425" s="528"/>
    </row>
    <row r="2426" spans="1:22" ht="9.75" customHeight="1">
      <c r="A2426" s="503"/>
      <c r="B2426" s="503"/>
      <c r="C2426" s="13"/>
      <c r="D2426" s="13" t="s">
        <v>120</v>
      </c>
      <c r="E2426" s="13"/>
      <c r="F2426" s="109"/>
      <c r="G2426" s="504"/>
      <c r="H2426" s="504"/>
      <c r="I2426" s="504"/>
      <c r="J2426" s="504"/>
      <c r="K2426" s="504"/>
      <c r="L2426" s="504"/>
      <c r="M2426" s="504"/>
      <c r="N2426" s="504"/>
      <c r="O2426" s="110"/>
      <c r="P2426" s="109"/>
      <c r="Q2426" s="504"/>
      <c r="R2426" s="107"/>
      <c r="S2426" s="503"/>
      <c r="V2426" s="528"/>
    </row>
    <row r="2427" spans="1:22" ht="9.75" customHeight="1">
      <c r="A2427" s="503"/>
      <c r="B2427" s="503"/>
      <c r="C2427" s="13"/>
      <c r="D2427" s="13" t="s">
        <v>120</v>
      </c>
      <c r="E2427" s="13"/>
      <c r="F2427" s="109"/>
      <c r="G2427" s="504"/>
      <c r="H2427" s="504"/>
      <c r="I2427" s="504"/>
      <c r="J2427" s="504"/>
      <c r="K2427" s="504"/>
      <c r="L2427" s="504"/>
      <c r="M2427" s="504"/>
      <c r="N2427" s="504"/>
      <c r="O2427" s="110"/>
      <c r="P2427" s="109"/>
      <c r="Q2427" s="504"/>
      <c r="R2427" s="107"/>
      <c r="S2427" s="503"/>
      <c r="V2427" s="528"/>
    </row>
    <row r="2428" spans="1:22" ht="9.75" customHeight="1">
      <c r="A2428" s="503"/>
      <c r="B2428" s="503"/>
      <c r="C2428" s="13"/>
      <c r="D2428" s="13" t="s">
        <v>120</v>
      </c>
      <c r="E2428" s="13"/>
      <c r="F2428" s="109"/>
      <c r="G2428" s="504"/>
      <c r="H2428" s="504"/>
      <c r="I2428" s="504"/>
      <c r="J2428" s="504"/>
      <c r="K2428" s="504"/>
      <c r="L2428" s="504"/>
      <c r="M2428" s="504"/>
      <c r="N2428" s="504"/>
      <c r="O2428" s="110"/>
      <c r="P2428" s="109"/>
      <c r="Q2428" s="504"/>
      <c r="R2428" s="107"/>
      <c r="S2428" s="503"/>
      <c r="V2428" s="528"/>
    </row>
    <row r="2429" spans="1:22" ht="9.75" customHeight="1">
      <c r="A2429" s="503"/>
      <c r="B2429" s="503"/>
      <c r="C2429" s="13"/>
      <c r="D2429" s="13" t="s">
        <v>120</v>
      </c>
      <c r="E2429" s="13"/>
      <c r="F2429" s="109"/>
      <c r="G2429" s="504"/>
      <c r="H2429" s="504"/>
      <c r="I2429" s="504"/>
      <c r="J2429" s="504"/>
      <c r="K2429" s="504"/>
      <c r="L2429" s="504"/>
      <c r="M2429" s="504"/>
      <c r="N2429" s="504"/>
      <c r="O2429" s="110"/>
      <c r="P2429" s="109"/>
      <c r="Q2429" s="504"/>
      <c r="R2429" s="107"/>
      <c r="S2429" s="503"/>
      <c r="V2429" s="528"/>
    </row>
    <row r="2430" spans="1:22" ht="9.75" customHeight="1">
      <c r="A2430" s="503"/>
      <c r="B2430" s="503"/>
      <c r="C2430" s="13"/>
      <c r="D2430" s="13" t="s">
        <v>120</v>
      </c>
      <c r="E2430" s="13"/>
      <c r="F2430" s="109"/>
      <c r="G2430" s="504"/>
      <c r="H2430" s="504"/>
      <c r="I2430" s="504"/>
      <c r="J2430" s="504"/>
      <c r="K2430" s="504"/>
      <c r="L2430" s="504"/>
      <c r="M2430" s="504"/>
      <c r="N2430" s="504"/>
      <c r="O2430" s="110"/>
      <c r="P2430" s="109"/>
      <c r="Q2430" s="504"/>
      <c r="R2430" s="107"/>
      <c r="S2430" s="503"/>
      <c r="V2430" s="528"/>
    </row>
    <row r="2431" spans="1:22" ht="9.75" customHeight="1">
      <c r="A2431" s="503"/>
      <c r="B2431" s="503"/>
      <c r="C2431" s="13"/>
      <c r="D2431" s="13" t="s">
        <v>34</v>
      </c>
      <c r="E2431" s="13">
        <v>9</v>
      </c>
      <c r="F2431" s="109">
        <v>8</v>
      </c>
      <c r="G2431" s="504">
        <v>8</v>
      </c>
      <c r="H2431" s="504">
        <v>8</v>
      </c>
      <c r="I2431" s="504">
        <v>8</v>
      </c>
      <c r="J2431" s="504">
        <v>8</v>
      </c>
      <c r="K2431" s="504">
        <v>8</v>
      </c>
      <c r="L2431" s="504">
        <v>8</v>
      </c>
      <c r="M2431" s="504">
        <v>8</v>
      </c>
      <c r="N2431" s="504">
        <v>8</v>
      </c>
      <c r="O2431" s="110">
        <v>8</v>
      </c>
      <c r="P2431" s="109">
        <f>MIN(F2431:O2431)</f>
        <v>8</v>
      </c>
      <c r="Q2431" s="504">
        <f>E2431-P2431</f>
        <v>1</v>
      </c>
      <c r="R2431" s="107">
        <f>Q2431/E2431</f>
        <v>0.1111111111111111</v>
      </c>
      <c r="S2431" s="503"/>
      <c r="V2431" s="528"/>
    </row>
    <row r="2432" spans="1:22" ht="9.75" customHeight="1">
      <c r="A2432" s="503"/>
      <c r="B2432" s="503"/>
      <c r="C2432" s="13"/>
      <c r="D2432" s="13" t="s">
        <v>35</v>
      </c>
      <c r="E2432" s="13"/>
      <c r="F2432" s="109"/>
      <c r="G2432" s="504"/>
      <c r="H2432" s="504"/>
      <c r="I2432" s="504"/>
      <c r="J2432" s="504"/>
      <c r="K2432" s="504"/>
      <c r="L2432" s="504"/>
      <c r="M2432" s="504"/>
      <c r="N2432" s="504"/>
      <c r="O2432" s="110"/>
      <c r="P2432" s="109"/>
      <c r="Q2432" s="504"/>
      <c r="R2432" s="107"/>
      <c r="S2432" s="503"/>
      <c r="V2432" s="528"/>
    </row>
    <row r="2433" spans="1:22" ht="9.75" customHeight="1">
      <c r="A2433" s="503"/>
      <c r="B2433" s="503"/>
      <c r="C2433" s="13"/>
      <c r="D2433" s="13" t="s">
        <v>36</v>
      </c>
      <c r="E2433" s="13"/>
      <c r="F2433" s="109"/>
      <c r="G2433" s="504"/>
      <c r="H2433" s="504"/>
      <c r="I2433" s="504"/>
      <c r="J2433" s="504"/>
      <c r="K2433" s="504"/>
      <c r="L2433" s="504"/>
      <c r="M2433" s="504"/>
      <c r="N2433" s="504"/>
      <c r="O2433" s="110"/>
      <c r="P2433" s="109"/>
      <c r="Q2433" s="504"/>
      <c r="R2433" s="107"/>
      <c r="S2433" s="503"/>
      <c r="V2433" s="528"/>
    </row>
    <row r="2434" spans="1:22" ht="9.75" customHeight="1">
      <c r="A2434" s="503"/>
      <c r="B2434" s="503"/>
      <c r="C2434" s="13"/>
      <c r="D2434" s="13" t="s">
        <v>37</v>
      </c>
      <c r="E2434" s="13"/>
      <c r="F2434" s="109"/>
      <c r="G2434" s="504"/>
      <c r="H2434" s="504"/>
      <c r="I2434" s="504"/>
      <c r="J2434" s="504"/>
      <c r="K2434" s="504"/>
      <c r="L2434" s="504"/>
      <c r="M2434" s="504"/>
      <c r="N2434" s="504"/>
      <c r="O2434" s="110"/>
      <c r="P2434" s="109"/>
      <c r="Q2434" s="504"/>
      <c r="R2434" s="107"/>
      <c r="S2434" s="503"/>
      <c r="V2434" s="528"/>
    </row>
    <row r="2435" spans="1:22" ht="9.75" customHeight="1">
      <c r="A2435" s="503"/>
      <c r="B2435" s="503" t="s">
        <v>127</v>
      </c>
      <c r="C2435" s="2"/>
      <c r="D2435" s="21" t="s">
        <v>38</v>
      </c>
      <c r="E2435" s="21">
        <f t="shared" ref="E2435:O2435" si="473">SUM(E2419:E2434)</f>
        <v>208</v>
      </c>
      <c r="F2435" s="21">
        <f>SUM(F2419:F2434)</f>
        <v>79</v>
      </c>
      <c r="G2435" s="71">
        <f>SUM(G2419:G2434)</f>
        <v>72</v>
      </c>
      <c r="H2435" s="71">
        <f>SUM(H2419:H2434)</f>
        <v>63</v>
      </c>
      <c r="I2435" s="71">
        <f>SUM(I2419:I2434)</f>
        <v>57</v>
      </c>
      <c r="J2435" s="71">
        <f>SUM(J2419:J2434)</f>
        <v>54</v>
      </c>
      <c r="K2435" s="71">
        <f t="shared" si="473"/>
        <v>51</v>
      </c>
      <c r="L2435" s="71">
        <f t="shared" si="473"/>
        <v>53</v>
      </c>
      <c r="M2435" s="71">
        <f t="shared" si="473"/>
        <v>75</v>
      </c>
      <c r="N2435" s="71">
        <f t="shared" si="473"/>
        <v>104</v>
      </c>
      <c r="O2435" s="26">
        <f t="shared" si="473"/>
        <v>136</v>
      </c>
      <c r="P2435" s="71">
        <f t="shared" ref="P2435:P2437" si="474">MIN(F2435:O2435)</f>
        <v>51</v>
      </c>
      <c r="Q2435" s="71">
        <f t="shared" ref="Q2435:Q2437" si="475">E2435-P2435</f>
        <v>157</v>
      </c>
      <c r="R2435" s="7">
        <f t="shared" ref="R2435:R2437" si="476">Q2435/E2435</f>
        <v>0.75480769230769229</v>
      </c>
      <c r="S2435" s="503"/>
      <c r="V2435" s="528"/>
    </row>
    <row r="2436" spans="1:22" ht="9.75" customHeight="1">
      <c r="A2436" s="503"/>
      <c r="B2436" s="503"/>
      <c r="C2436" s="43" t="s">
        <v>371</v>
      </c>
      <c r="D2436" s="43" t="s">
        <v>23</v>
      </c>
      <c r="E2436" s="13">
        <v>117</v>
      </c>
      <c r="F2436" s="109">
        <f>E2436-13</f>
        <v>104</v>
      </c>
      <c r="G2436" s="504">
        <f>E2436-34</f>
        <v>83</v>
      </c>
      <c r="H2436" s="504">
        <f>E2436-41</f>
        <v>76</v>
      </c>
      <c r="I2436" s="504">
        <f>E2436-46</f>
        <v>71</v>
      </c>
      <c r="J2436" s="504">
        <f>E2436-53</f>
        <v>64</v>
      </c>
      <c r="K2436" s="504">
        <f>E2436-46</f>
        <v>71</v>
      </c>
      <c r="L2436" s="504">
        <f>E2436-46</f>
        <v>71</v>
      </c>
      <c r="M2436" s="504">
        <f>E2436-42</f>
        <v>75</v>
      </c>
      <c r="N2436" s="504">
        <f>E2436-41</f>
        <v>76</v>
      </c>
      <c r="O2436" s="110">
        <f>E2436-24</f>
        <v>93</v>
      </c>
      <c r="P2436" s="109">
        <f t="shared" si="474"/>
        <v>64</v>
      </c>
      <c r="Q2436" s="504">
        <f t="shared" si="475"/>
        <v>53</v>
      </c>
      <c r="R2436" s="107">
        <f t="shared" si="476"/>
        <v>0.45299145299145299</v>
      </c>
      <c r="S2436" s="503"/>
      <c r="V2436" s="528"/>
    </row>
    <row r="2437" spans="1:22" ht="9.75" customHeight="1">
      <c r="A2437" s="503"/>
      <c r="B2437" s="503"/>
      <c r="C2437" s="13"/>
      <c r="D2437" s="13" t="s">
        <v>25</v>
      </c>
      <c r="E2437" s="13">
        <v>100</v>
      </c>
      <c r="F2437" s="109">
        <v>18</v>
      </c>
      <c r="G2437" s="504">
        <v>0</v>
      </c>
      <c r="H2437" s="504">
        <v>1</v>
      </c>
      <c r="I2437" s="504">
        <v>0</v>
      </c>
      <c r="J2437" s="504">
        <v>0</v>
      </c>
      <c r="K2437" s="504">
        <v>0</v>
      </c>
      <c r="L2437" s="504">
        <v>1</v>
      </c>
      <c r="M2437" s="504">
        <v>6</v>
      </c>
      <c r="N2437" s="504">
        <f>28+7</f>
        <v>35</v>
      </c>
      <c r="O2437" s="110">
        <f>E2437-62</f>
        <v>38</v>
      </c>
      <c r="P2437" s="109">
        <f t="shared" si="474"/>
        <v>0</v>
      </c>
      <c r="Q2437" s="504">
        <f t="shared" si="475"/>
        <v>100</v>
      </c>
      <c r="R2437" s="107">
        <f t="shared" si="476"/>
        <v>1</v>
      </c>
      <c r="S2437" s="503"/>
      <c r="V2437" s="528"/>
    </row>
    <row r="2438" spans="1:22" ht="9.75" customHeight="1">
      <c r="A2438" s="503"/>
      <c r="B2438" s="503"/>
      <c r="C2438" s="13"/>
      <c r="D2438" s="13" t="s">
        <v>27</v>
      </c>
      <c r="E2438" s="13"/>
      <c r="F2438" s="109"/>
      <c r="G2438" s="504"/>
      <c r="H2438" s="504"/>
      <c r="I2438" s="504"/>
      <c r="J2438" s="504"/>
      <c r="K2438" s="504"/>
      <c r="L2438" s="504"/>
      <c r="M2438" s="504"/>
      <c r="N2438" s="504"/>
      <c r="O2438" s="110"/>
      <c r="P2438" s="109"/>
      <c r="Q2438" s="504"/>
      <c r="R2438" s="107"/>
      <c r="S2438" s="503"/>
      <c r="V2438" s="528"/>
    </row>
    <row r="2439" spans="1:22" ht="9.75" customHeight="1">
      <c r="A2439" s="503"/>
      <c r="B2439" s="503"/>
      <c r="C2439" s="13"/>
      <c r="D2439" s="13" t="s">
        <v>115</v>
      </c>
      <c r="E2439" s="13"/>
      <c r="F2439" s="109"/>
      <c r="G2439" s="504"/>
      <c r="H2439" s="504"/>
      <c r="I2439" s="504"/>
      <c r="J2439" s="504"/>
      <c r="K2439" s="504"/>
      <c r="L2439" s="504"/>
      <c r="M2439" s="504"/>
      <c r="N2439" s="504"/>
      <c r="O2439" s="110"/>
      <c r="P2439" s="109"/>
      <c r="Q2439" s="504"/>
      <c r="R2439" s="107"/>
      <c r="S2439" s="503"/>
      <c r="V2439" s="528"/>
    </row>
    <row r="2440" spans="1:22" ht="9.75" customHeight="1">
      <c r="A2440" s="503"/>
      <c r="B2440" s="503"/>
      <c r="C2440" s="13"/>
      <c r="D2440" s="13" t="s">
        <v>115</v>
      </c>
      <c r="E2440" s="13"/>
      <c r="F2440" s="109"/>
      <c r="G2440" s="504"/>
      <c r="H2440" s="504"/>
      <c r="I2440" s="504"/>
      <c r="J2440" s="504"/>
      <c r="K2440" s="504"/>
      <c r="L2440" s="504"/>
      <c r="M2440" s="504"/>
      <c r="N2440" s="504"/>
      <c r="O2440" s="110"/>
      <c r="P2440" s="109"/>
      <c r="Q2440" s="504"/>
      <c r="R2440" s="107"/>
      <c r="S2440" s="503"/>
      <c r="V2440" s="528"/>
    </row>
    <row r="2441" spans="1:22" ht="9.75" customHeight="1">
      <c r="A2441" s="503"/>
      <c r="B2441" s="503"/>
      <c r="C2441" s="13"/>
      <c r="D2441" s="13" t="s">
        <v>32</v>
      </c>
      <c r="E2441" s="13">
        <v>6</v>
      </c>
      <c r="F2441" s="109">
        <v>5</v>
      </c>
      <c r="G2441" s="504">
        <v>5</v>
      </c>
      <c r="H2441" s="504">
        <v>5</v>
      </c>
      <c r="I2441" s="504">
        <v>5</v>
      </c>
      <c r="J2441" s="504">
        <v>5</v>
      </c>
      <c r="K2441" s="504">
        <v>5</v>
      </c>
      <c r="L2441" s="504">
        <v>5</v>
      </c>
      <c r="M2441" s="504">
        <v>5</v>
      </c>
      <c r="N2441" s="504">
        <v>6</v>
      </c>
      <c r="O2441" s="110">
        <v>6</v>
      </c>
      <c r="P2441" s="109">
        <f>MIN(F2441:O2441)</f>
        <v>5</v>
      </c>
      <c r="Q2441" s="504">
        <f>E2441-P2441</f>
        <v>1</v>
      </c>
      <c r="R2441" s="107">
        <f>Q2441/E2441</f>
        <v>0.16666666666666666</v>
      </c>
      <c r="S2441" s="503"/>
      <c r="V2441" s="528"/>
    </row>
    <row r="2442" spans="1:22" ht="9.75" customHeight="1">
      <c r="A2442" s="503"/>
      <c r="B2442" s="503"/>
      <c r="C2442" s="13"/>
      <c r="D2442" s="13" t="s">
        <v>120</v>
      </c>
      <c r="E2442" s="13"/>
      <c r="F2442" s="109"/>
      <c r="G2442" s="504"/>
      <c r="H2442" s="504"/>
      <c r="I2442" s="504"/>
      <c r="J2442" s="504"/>
      <c r="K2442" s="504"/>
      <c r="L2442" s="504"/>
      <c r="M2442" s="504"/>
      <c r="N2442" s="504"/>
      <c r="O2442" s="110"/>
      <c r="P2442" s="109"/>
      <c r="Q2442" s="504"/>
      <c r="R2442" s="107"/>
      <c r="S2442" s="503"/>
      <c r="V2442" s="528"/>
    </row>
    <row r="2443" spans="1:22" ht="9.75" customHeight="1">
      <c r="A2443" s="503"/>
      <c r="B2443" s="503"/>
      <c r="C2443" s="13"/>
      <c r="D2443" s="13" t="s">
        <v>120</v>
      </c>
      <c r="E2443" s="13"/>
      <c r="F2443" s="109"/>
      <c r="G2443" s="504"/>
      <c r="H2443" s="504"/>
      <c r="I2443" s="504"/>
      <c r="J2443" s="504"/>
      <c r="K2443" s="504"/>
      <c r="L2443" s="504"/>
      <c r="M2443" s="504"/>
      <c r="N2443" s="504"/>
      <c r="O2443" s="110"/>
      <c r="P2443" s="109"/>
      <c r="Q2443" s="504"/>
      <c r="R2443" s="107"/>
      <c r="S2443" s="503"/>
      <c r="V2443" s="528"/>
    </row>
    <row r="2444" spans="1:22" ht="9.75" customHeight="1">
      <c r="A2444" s="503"/>
      <c r="B2444" s="503"/>
      <c r="C2444" s="13"/>
      <c r="D2444" s="13" t="s">
        <v>120</v>
      </c>
      <c r="E2444" s="13"/>
      <c r="F2444" s="109"/>
      <c r="G2444" s="504"/>
      <c r="H2444" s="504"/>
      <c r="I2444" s="504"/>
      <c r="J2444" s="504"/>
      <c r="K2444" s="504"/>
      <c r="L2444" s="504"/>
      <c r="M2444" s="504"/>
      <c r="N2444" s="504"/>
      <c r="O2444" s="110"/>
      <c r="P2444" s="109"/>
      <c r="Q2444" s="504"/>
      <c r="R2444" s="107"/>
      <c r="S2444" s="503"/>
      <c r="V2444" s="528"/>
    </row>
    <row r="2445" spans="1:22" ht="9.75" customHeight="1">
      <c r="A2445" s="503"/>
      <c r="B2445" s="503"/>
      <c r="C2445" s="13"/>
      <c r="D2445" s="13" t="s">
        <v>120</v>
      </c>
      <c r="E2445" s="13"/>
      <c r="F2445" s="109"/>
      <c r="G2445" s="504"/>
      <c r="H2445" s="504"/>
      <c r="I2445" s="504"/>
      <c r="J2445" s="504"/>
      <c r="K2445" s="504"/>
      <c r="L2445" s="504"/>
      <c r="M2445" s="504"/>
      <c r="N2445" s="504"/>
      <c r="O2445" s="110"/>
      <c r="P2445" s="109"/>
      <c r="Q2445" s="504"/>
      <c r="R2445" s="107"/>
      <c r="S2445" s="503"/>
      <c r="V2445" s="528"/>
    </row>
    <row r="2446" spans="1:22" ht="9.75" customHeight="1">
      <c r="A2446" s="503"/>
      <c r="B2446" s="503"/>
      <c r="C2446" s="13"/>
      <c r="D2446" s="13" t="s">
        <v>120</v>
      </c>
      <c r="E2446" s="13"/>
      <c r="F2446" s="109"/>
      <c r="G2446" s="504"/>
      <c r="H2446" s="504"/>
      <c r="I2446" s="504"/>
      <c r="J2446" s="504"/>
      <c r="K2446" s="504"/>
      <c r="L2446" s="504"/>
      <c r="M2446" s="504"/>
      <c r="N2446" s="504"/>
      <c r="O2446" s="110"/>
      <c r="P2446" s="109"/>
      <c r="Q2446" s="504"/>
      <c r="R2446" s="107"/>
      <c r="S2446" s="503"/>
      <c r="V2446" s="528"/>
    </row>
    <row r="2447" spans="1:22" ht="9.75" customHeight="1">
      <c r="A2447" s="503"/>
      <c r="B2447" s="503"/>
      <c r="C2447" s="13"/>
      <c r="D2447" s="13" t="s">
        <v>120</v>
      </c>
      <c r="E2447" s="13"/>
      <c r="F2447" s="109"/>
      <c r="G2447" s="504"/>
      <c r="H2447" s="504"/>
      <c r="I2447" s="504"/>
      <c r="J2447" s="504"/>
      <c r="K2447" s="504"/>
      <c r="L2447" s="504"/>
      <c r="M2447" s="504"/>
      <c r="N2447" s="504"/>
      <c r="O2447" s="110"/>
      <c r="P2447" s="109"/>
      <c r="Q2447" s="504"/>
      <c r="R2447" s="107"/>
      <c r="S2447" s="503"/>
      <c r="V2447" s="528"/>
    </row>
    <row r="2448" spans="1:22" ht="9.75" customHeight="1">
      <c r="A2448" s="503"/>
      <c r="B2448" s="503"/>
      <c r="C2448" s="13"/>
      <c r="D2448" s="13" t="s">
        <v>34</v>
      </c>
      <c r="E2448" s="13"/>
      <c r="F2448" s="109"/>
      <c r="G2448" s="504"/>
      <c r="H2448" s="504"/>
      <c r="I2448" s="504"/>
      <c r="J2448" s="504"/>
      <c r="K2448" s="504"/>
      <c r="L2448" s="504"/>
      <c r="M2448" s="504"/>
      <c r="N2448" s="504"/>
      <c r="O2448" s="110"/>
      <c r="P2448" s="109"/>
      <c r="Q2448" s="504"/>
      <c r="R2448" s="107"/>
      <c r="S2448" s="503"/>
      <c r="V2448" s="528"/>
    </row>
    <row r="2449" spans="1:22" ht="9.75" customHeight="1">
      <c r="A2449" s="503"/>
      <c r="B2449" s="503"/>
      <c r="C2449" s="13"/>
      <c r="D2449" s="13" t="s">
        <v>35</v>
      </c>
      <c r="E2449" s="13"/>
      <c r="F2449" s="109"/>
      <c r="G2449" s="504"/>
      <c r="H2449" s="504"/>
      <c r="I2449" s="504"/>
      <c r="J2449" s="504"/>
      <c r="K2449" s="504"/>
      <c r="L2449" s="504"/>
      <c r="M2449" s="504"/>
      <c r="N2449" s="504"/>
      <c r="O2449" s="110"/>
      <c r="P2449" s="109"/>
      <c r="Q2449" s="504"/>
      <c r="R2449" s="107"/>
      <c r="S2449" s="503"/>
      <c r="V2449" s="528"/>
    </row>
    <row r="2450" spans="1:22" ht="9.75" customHeight="1">
      <c r="A2450" s="503"/>
      <c r="B2450" s="503"/>
      <c r="C2450" s="13"/>
      <c r="D2450" s="13" t="s">
        <v>36</v>
      </c>
      <c r="E2450" s="13"/>
      <c r="F2450" s="109"/>
      <c r="G2450" s="504"/>
      <c r="H2450" s="504"/>
      <c r="I2450" s="504"/>
      <c r="J2450" s="504"/>
      <c r="K2450" s="504"/>
      <c r="L2450" s="504"/>
      <c r="M2450" s="504"/>
      <c r="N2450" s="504"/>
      <c r="O2450" s="110"/>
      <c r="P2450" s="109"/>
      <c r="Q2450" s="504"/>
      <c r="R2450" s="107"/>
      <c r="S2450" s="503"/>
      <c r="V2450" s="528"/>
    </row>
    <row r="2451" spans="1:22" ht="9.75" customHeight="1">
      <c r="A2451" s="503"/>
      <c r="B2451" s="503"/>
      <c r="C2451" s="13"/>
      <c r="D2451" s="13" t="s">
        <v>37</v>
      </c>
      <c r="E2451" s="13"/>
      <c r="F2451" s="109"/>
      <c r="G2451" s="504"/>
      <c r="H2451" s="504"/>
      <c r="I2451" s="504"/>
      <c r="J2451" s="504"/>
      <c r="K2451" s="504"/>
      <c r="L2451" s="504"/>
      <c r="M2451" s="504"/>
      <c r="N2451" s="504"/>
      <c r="O2451" s="110"/>
      <c r="P2451" s="109"/>
      <c r="Q2451" s="504"/>
      <c r="R2451" s="107"/>
      <c r="S2451" s="503"/>
      <c r="V2451" s="528"/>
    </row>
    <row r="2452" spans="1:22" ht="9.75" customHeight="1">
      <c r="A2452" s="503"/>
      <c r="B2452" s="503" t="s">
        <v>127</v>
      </c>
      <c r="C2452" s="2"/>
      <c r="D2452" s="21" t="s">
        <v>38</v>
      </c>
      <c r="E2452" s="21">
        <f t="shared" ref="E2452:O2452" si="477">SUM(E2436:E2451)</f>
        <v>223</v>
      </c>
      <c r="F2452" s="21">
        <f t="shared" si="477"/>
        <v>127</v>
      </c>
      <c r="G2452" s="71">
        <f t="shared" si="477"/>
        <v>88</v>
      </c>
      <c r="H2452" s="71">
        <f t="shared" si="477"/>
        <v>82</v>
      </c>
      <c r="I2452" s="71">
        <f t="shared" si="477"/>
        <v>76</v>
      </c>
      <c r="J2452" s="71">
        <f t="shared" si="477"/>
        <v>69</v>
      </c>
      <c r="K2452" s="71">
        <f t="shared" si="477"/>
        <v>76</v>
      </c>
      <c r="L2452" s="71">
        <f t="shared" si="477"/>
        <v>77</v>
      </c>
      <c r="M2452" s="71">
        <f t="shared" si="477"/>
        <v>86</v>
      </c>
      <c r="N2452" s="71">
        <f t="shared" si="477"/>
        <v>117</v>
      </c>
      <c r="O2452" s="26">
        <f t="shared" si="477"/>
        <v>137</v>
      </c>
      <c r="P2452" s="71">
        <f>MIN(F2452:O2452)</f>
        <v>69</v>
      </c>
      <c r="Q2452" s="71">
        <f>E2452-P2452</f>
        <v>154</v>
      </c>
      <c r="R2452" s="7">
        <f>Q2452/E2452</f>
        <v>0.6905829596412556</v>
      </c>
      <c r="S2452" s="503"/>
      <c r="V2452" s="528"/>
    </row>
    <row r="2453" spans="1:22" ht="9.75" customHeight="1">
      <c r="A2453" s="503"/>
      <c r="B2453" s="503"/>
      <c r="C2453" s="43" t="s">
        <v>372</v>
      </c>
      <c r="D2453" s="43" t="s">
        <v>23</v>
      </c>
      <c r="E2453" s="13"/>
      <c r="F2453" s="109"/>
      <c r="G2453" s="504"/>
      <c r="H2453" s="504"/>
      <c r="I2453" s="504"/>
      <c r="J2453" s="504"/>
      <c r="K2453" s="504"/>
      <c r="L2453" s="504"/>
      <c r="M2453" s="504"/>
      <c r="N2453" s="504"/>
      <c r="O2453" s="110"/>
      <c r="P2453" s="109"/>
      <c r="Q2453" s="504"/>
      <c r="R2453" s="107"/>
      <c r="S2453" s="503"/>
      <c r="V2453" s="528"/>
    </row>
    <row r="2454" spans="1:22" ht="9.75" customHeight="1">
      <c r="A2454" s="503"/>
      <c r="B2454" s="503"/>
      <c r="C2454" s="13"/>
      <c r="D2454" s="13" t="s">
        <v>25</v>
      </c>
      <c r="E2454" s="13">
        <v>222</v>
      </c>
      <c r="F2454" s="109">
        <v>140</v>
      </c>
      <c r="G2454" s="504">
        <v>87</v>
      </c>
      <c r="H2454" s="504">
        <v>54</v>
      </c>
      <c r="I2454" s="504">
        <v>53</v>
      </c>
      <c r="J2454" s="504">
        <v>47</v>
      </c>
      <c r="K2454" s="504">
        <v>42</v>
      </c>
      <c r="L2454" s="504">
        <v>44</v>
      </c>
      <c r="M2454" s="504">
        <v>50</v>
      </c>
      <c r="N2454" s="504">
        <v>102</v>
      </c>
      <c r="O2454" s="110">
        <f>E2454-78</f>
        <v>144</v>
      </c>
      <c r="P2454" s="109">
        <f>MIN(F2454:O2454)</f>
        <v>42</v>
      </c>
      <c r="Q2454" s="504">
        <f>E2454-P2454</f>
        <v>180</v>
      </c>
      <c r="R2454" s="107">
        <f>Q2454/E2454</f>
        <v>0.81081081081081086</v>
      </c>
      <c r="S2454" s="503"/>
      <c r="V2454" s="528"/>
    </row>
    <row r="2455" spans="1:22" ht="9.75" customHeight="1">
      <c r="A2455" s="503"/>
      <c r="B2455" s="503"/>
      <c r="C2455" s="13"/>
      <c r="D2455" s="13" t="s">
        <v>27</v>
      </c>
      <c r="E2455" s="13"/>
      <c r="F2455" s="109"/>
      <c r="G2455" s="504"/>
      <c r="H2455" s="504"/>
      <c r="I2455" s="504"/>
      <c r="J2455" s="504"/>
      <c r="K2455" s="504"/>
      <c r="L2455" s="504"/>
      <c r="M2455" s="504"/>
      <c r="N2455" s="504"/>
      <c r="O2455" s="110"/>
      <c r="P2455" s="109"/>
      <c r="Q2455" s="504"/>
      <c r="R2455" s="107"/>
      <c r="S2455" s="503"/>
      <c r="V2455" s="528"/>
    </row>
    <row r="2456" spans="1:22" ht="9.75" customHeight="1">
      <c r="A2456" s="503"/>
      <c r="B2456" s="503"/>
      <c r="C2456" s="13"/>
      <c r="D2456" s="13" t="s">
        <v>373</v>
      </c>
      <c r="E2456" s="13"/>
      <c r="F2456" s="109"/>
      <c r="G2456" s="504"/>
      <c r="H2456" s="504"/>
      <c r="I2456" s="504"/>
      <c r="J2456" s="504"/>
      <c r="K2456" s="504"/>
      <c r="L2456" s="504"/>
      <c r="M2456" s="504"/>
      <c r="N2456" s="504"/>
      <c r="O2456" s="110"/>
      <c r="P2456" s="109"/>
      <c r="Q2456" s="504"/>
      <c r="R2456" s="107"/>
      <c r="S2456" s="503"/>
      <c r="V2456" s="528"/>
    </row>
    <row r="2457" spans="1:22" ht="9.75" customHeight="1">
      <c r="A2457" s="503"/>
      <c r="B2457" s="503"/>
      <c r="C2457" s="13"/>
      <c r="D2457" s="13" t="s">
        <v>115</v>
      </c>
      <c r="E2457" s="13"/>
      <c r="F2457" s="109"/>
      <c r="G2457" s="504"/>
      <c r="H2457" s="504"/>
      <c r="I2457" s="504"/>
      <c r="J2457" s="504"/>
      <c r="K2457" s="504"/>
      <c r="L2457" s="504"/>
      <c r="M2457" s="504"/>
      <c r="N2457" s="504"/>
      <c r="O2457" s="110"/>
      <c r="P2457" s="109"/>
      <c r="Q2457" s="504"/>
      <c r="R2457" s="107"/>
      <c r="S2457" s="503"/>
      <c r="V2457" s="528"/>
    </row>
    <row r="2458" spans="1:22" ht="9.75" customHeight="1">
      <c r="A2458" s="503"/>
      <c r="B2458" s="503"/>
      <c r="C2458" s="13"/>
      <c r="D2458" s="13" t="s">
        <v>32</v>
      </c>
      <c r="E2458" s="13"/>
      <c r="F2458" s="109"/>
      <c r="G2458" s="504"/>
      <c r="H2458" s="504"/>
      <c r="I2458" s="504"/>
      <c r="J2458" s="504"/>
      <c r="K2458" s="504"/>
      <c r="L2458" s="504"/>
      <c r="M2458" s="504"/>
      <c r="N2458" s="504"/>
      <c r="O2458" s="110"/>
      <c r="P2458" s="109"/>
      <c r="Q2458" s="504"/>
      <c r="R2458" s="107"/>
      <c r="S2458" s="503"/>
      <c r="V2458" s="528"/>
    </row>
    <row r="2459" spans="1:22" ht="9.75" customHeight="1">
      <c r="A2459" s="503"/>
      <c r="B2459" s="503"/>
      <c r="C2459" s="13"/>
      <c r="D2459" s="13" t="s">
        <v>374</v>
      </c>
      <c r="E2459" s="13">
        <v>2</v>
      </c>
      <c r="F2459" s="109">
        <v>1</v>
      </c>
      <c r="G2459" s="504">
        <v>1</v>
      </c>
      <c r="H2459" s="504">
        <v>1</v>
      </c>
      <c r="I2459" s="504">
        <v>1</v>
      </c>
      <c r="J2459" s="504">
        <v>1</v>
      </c>
      <c r="K2459" s="504">
        <v>1</v>
      </c>
      <c r="L2459" s="504">
        <v>1</v>
      </c>
      <c r="M2459" s="504">
        <v>1</v>
      </c>
      <c r="N2459" s="504">
        <v>1</v>
      </c>
      <c r="O2459" s="110">
        <v>1</v>
      </c>
      <c r="P2459" s="109">
        <f>MIN(F2459:O2459)</f>
        <v>1</v>
      </c>
      <c r="Q2459" s="504">
        <f>E2459-P2459</f>
        <v>1</v>
      </c>
      <c r="R2459" s="107">
        <f>Q2459/E2459</f>
        <v>0.5</v>
      </c>
      <c r="S2459" s="503"/>
      <c r="V2459" s="528"/>
    </row>
    <row r="2460" spans="1:22" ht="9.75" customHeight="1">
      <c r="A2460" s="503"/>
      <c r="B2460" s="503"/>
      <c r="C2460" s="13"/>
      <c r="D2460" s="13" t="s">
        <v>120</v>
      </c>
      <c r="E2460" s="13"/>
      <c r="F2460" s="109"/>
      <c r="G2460" s="504"/>
      <c r="H2460" s="504"/>
      <c r="I2460" s="504"/>
      <c r="J2460" s="504"/>
      <c r="K2460" s="504"/>
      <c r="L2460" s="504"/>
      <c r="M2460" s="504"/>
      <c r="N2460" s="504"/>
      <c r="O2460" s="110"/>
      <c r="P2460" s="109"/>
      <c r="Q2460" s="504"/>
      <c r="R2460" s="107"/>
      <c r="S2460" s="503"/>
      <c r="V2460" s="528"/>
    </row>
    <row r="2461" spans="1:22" ht="9.75" customHeight="1">
      <c r="A2461" s="503"/>
      <c r="B2461" s="503"/>
      <c r="C2461" s="13"/>
      <c r="D2461" s="13" t="s">
        <v>120</v>
      </c>
      <c r="E2461" s="13"/>
      <c r="F2461" s="109"/>
      <c r="G2461" s="504"/>
      <c r="H2461" s="504"/>
      <c r="I2461" s="504"/>
      <c r="J2461" s="504"/>
      <c r="K2461" s="504"/>
      <c r="L2461" s="504"/>
      <c r="M2461" s="504"/>
      <c r="N2461" s="504"/>
      <c r="O2461" s="110"/>
      <c r="P2461" s="109"/>
      <c r="Q2461" s="504"/>
      <c r="R2461" s="107"/>
      <c r="S2461" s="503"/>
      <c r="V2461" s="528"/>
    </row>
    <row r="2462" spans="1:22" ht="9.75" customHeight="1">
      <c r="A2462" s="503"/>
      <c r="B2462" s="503"/>
      <c r="C2462" s="13"/>
      <c r="D2462" s="13" t="s">
        <v>120</v>
      </c>
      <c r="E2462" s="13"/>
      <c r="F2462" s="109"/>
      <c r="G2462" s="504"/>
      <c r="H2462" s="504"/>
      <c r="I2462" s="504"/>
      <c r="J2462" s="504"/>
      <c r="K2462" s="504"/>
      <c r="L2462" s="504"/>
      <c r="M2462" s="504"/>
      <c r="N2462" s="504"/>
      <c r="O2462" s="110"/>
      <c r="P2462" s="109"/>
      <c r="Q2462" s="504"/>
      <c r="R2462" s="107"/>
      <c r="S2462" s="503"/>
      <c r="V2462" s="528"/>
    </row>
    <row r="2463" spans="1:22" ht="9.75" customHeight="1">
      <c r="A2463" s="503"/>
      <c r="B2463" s="503"/>
      <c r="C2463" s="13"/>
      <c r="D2463" s="13" t="s">
        <v>120</v>
      </c>
      <c r="E2463" s="13"/>
      <c r="F2463" s="109"/>
      <c r="G2463" s="504"/>
      <c r="H2463" s="504"/>
      <c r="I2463" s="504"/>
      <c r="J2463" s="504"/>
      <c r="K2463" s="504"/>
      <c r="L2463" s="504"/>
      <c r="M2463" s="504"/>
      <c r="N2463" s="504"/>
      <c r="O2463" s="110"/>
      <c r="P2463" s="109"/>
      <c r="Q2463" s="504"/>
      <c r="R2463" s="107"/>
      <c r="S2463" s="503"/>
      <c r="V2463" s="528"/>
    </row>
    <row r="2464" spans="1:22" ht="9.75" customHeight="1">
      <c r="A2464" s="503"/>
      <c r="B2464" s="503"/>
      <c r="C2464" s="13"/>
      <c r="D2464" s="13" t="s">
        <v>120</v>
      </c>
      <c r="E2464" s="13"/>
      <c r="F2464" s="109"/>
      <c r="G2464" s="504"/>
      <c r="H2464" s="504"/>
      <c r="I2464" s="504"/>
      <c r="J2464" s="504"/>
      <c r="K2464" s="504"/>
      <c r="L2464" s="504"/>
      <c r="M2464" s="504"/>
      <c r="N2464" s="504"/>
      <c r="O2464" s="110"/>
      <c r="P2464" s="109"/>
      <c r="Q2464" s="504"/>
      <c r="R2464" s="107"/>
      <c r="S2464" s="503"/>
      <c r="V2464" s="528"/>
    </row>
    <row r="2465" spans="1:22" ht="9.75" customHeight="1">
      <c r="A2465" s="503"/>
      <c r="B2465" s="503"/>
      <c r="C2465" s="13"/>
      <c r="D2465" s="13" t="s">
        <v>34</v>
      </c>
      <c r="E2465" s="13"/>
      <c r="F2465" s="109"/>
      <c r="G2465" s="504"/>
      <c r="H2465" s="504"/>
      <c r="I2465" s="504"/>
      <c r="J2465" s="504"/>
      <c r="K2465" s="504"/>
      <c r="L2465" s="504"/>
      <c r="M2465" s="504"/>
      <c r="N2465" s="504"/>
      <c r="O2465" s="110"/>
      <c r="P2465" s="109"/>
      <c r="Q2465" s="504"/>
      <c r="R2465" s="107"/>
      <c r="S2465" s="503"/>
      <c r="V2465" s="528"/>
    </row>
    <row r="2466" spans="1:22" ht="9.75" customHeight="1">
      <c r="A2466" s="503"/>
      <c r="B2466" s="503"/>
      <c r="C2466" s="13"/>
      <c r="D2466" s="13" t="s">
        <v>35</v>
      </c>
      <c r="E2466" s="13"/>
      <c r="F2466" s="109"/>
      <c r="G2466" s="504"/>
      <c r="H2466" s="504"/>
      <c r="I2466" s="504"/>
      <c r="J2466" s="504"/>
      <c r="K2466" s="504"/>
      <c r="L2466" s="504"/>
      <c r="M2466" s="504"/>
      <c r="N2466" s="504"/>
      <c r="O2466" s="110"/>
      <c r="P2466" s="109"/>
      <c r="Q2466" s="504"/>
      <c r="R2466" s="107"/>
      <c r="S2466" s="503"/>
      <c r="V2466" s="528"/>
    </row>
    <row r="2467" spans="1:22" ht="9.75" customHeight="1">
      <c r="A2467" s="503"/>
      <c r="B2467" s="503"/>
      <c r="C2467" s="13"/>
      <c r="D2467" s="13" t="s">
        <v>36</v>
      </c>
      <c r="E2467" s="13"/>
      <c r="F2467" s="109"/>
      <c r="G2467" s="504"/>
      <c r="H2467" s="504"/>
      <c r="I2467" s="504"/>
      <c r="J2467" s="504"/>
      <c r="K2467" s="504"/>
      <c r="L2467" s="504"/>
      <c r="M2467" s="504"/>
      <c r="N2467" s="504"/>
      <c r="O2467" s="110"/>
      <c r="P2467" s="109"/>
      <c r="Q2467" s="504"/>
      <c r="R2467" s="107"/>
      <c r="S2467" s="503"/>
      <c r="V2467" s="528"/>
    </row>
    <row r="2468" spans="1:22" ht="9.75" customHeight="1">
      <c r="A2468" s="503"/>
      <c r="B2468" s="503"/>
      <c r="C2468" s="13"/>
      <c r="D2468" s="13" t="s">
        <v>37</v>
      </c>
      <c r="E2468" s="13"/>
      <c r="F2468" s="109"/>
      <c r="G2468" s="504"/>
      <c r="H2468" s="504"/>
      <c r="I2468" s="504"/>
      <c r="J2468" s="504"/>
      <c r="K2468" s="504"/>
      <c r="L2468" s="504"/>
      <c r="M2468" s="504"/>
      <c r="N2468" s="504"/>
      <c r="O2468" s="110"/>
      <c r="P2468" s="109"/>
      <c r="Q2468" s="504"/>
      <c r="R2468" s="107"/>
      <c r="S2468" s="503"/>
      <c r="V2468" s="528"/>
    </row>
    <row r="2469" spans="1:22" ht="9.75" customHeight="1">
      <c r="A2469" s="503"/>
      <c r="B2469" s="503" t="s">
        <v>127</v>
      </c>
      <c r="C2469" s="2"/>
      <c r="D2469" s="21" t="s">
        <v>38</v>
      </c>
      <c r="E2469" s="21">
        <f t="shared" ref="E2469:O2469" si="478">SUM(E2453:E2468)</f>
        <v>224</v>
      </c>
      <c r="F2469" s="21">
        <f t="shared" si="478"/>
        <v>141</v>
      </c>
      <c r="G2469" s="71">
        <f>SUM(G2453:G2468)</f>
        <v>88</v>
      </c>
      <c r="H2469" s="71">
        <f>SUM(H2453:H2468)</f>
        <v>55</v>
      </c>
      <c r="I2469" s="71">
        <f>SUM(I2453:I2468)</f>
        <v>54</v>
      </c>
      <c r="J2469" s="71">
        <f>SUM(J2453:J2468)</f>
        <v>48</v>
      </c>
      <c r="K2469" s="71">
        <f t="shared" si="478"/>
        <v>43</v>
      </c>
      <c r="L2469" s="71">
        <f t="shared" si="478"/>
        <v>45</v>
      </c>
      <c r="M2469" s="71">
        <f t="shared" si="478"/>
        <v>51</v>
      </c>
      <c r="N2469" s="71">
        <f t="shared" si="478"/>
        <v>103</v>
      </c>
      <c r="O2469" s="26">
        <f t="shared" si="478"/>
        <v>145</v>
      </c>
      <c r="P2469" s="71">
        <f>MIN(F2469:O2469)</f>
        <v>43</v>
      </c>
      <c r="Q2469" s="71">
        <f>E2469-P2469</f>
        <v>181</v>
      </c>
      <c r="R2469" s="7">
        <f>Q2469/E2469</f>
        <v>0.8080357142857143</v>
      </c>
      <c r="S2469" s="503"/>
      <c r="V2469" s="528"/>
    </row>
    <row r="2470" spans="1:22" ht="9.75" customHeight="1">
      <c r="A2470" s="503"/>
      <c r="B2470" s="503"/>
      <c r="C2470" s="43" t="s">
        <v>375</v>
      </c>
      <c r="D2470" s="43" t="s">
        <v>23</v>
      </c>
      <c r="E2470" s="13"/>
      <c r="F2470" s="109"/>
      <c r="G2470" s="504"/>
      <c r="H2470" s="504"/>
      <c r="I2470" s="504"/>
      <c r="J2470" s="504"/>
      <c r="K2470" s="504"/>
      <c r="L2470" s="504"/>
      <c r="M2470" s="504"/>
      <c r="N2470" s="504"/>
      <c r="O2470" s="110"/>
      <c r="P2470" s="116"/>
      <c r="Q2470" s="128"/>
      <c r="R2470" s="141"/>
      <c r="S2470" s="503"/>
      <c r="V2470" s="528"/>
    </row>
    <row r="2471" spans="1:22" ht="9.75" customHeight="1">
      <c r="A2471" s="503"/>
      <c r="B2471" s="503"/>
      <c r="C2471" s="13"/>
      <c r="D2471" s="13" t="s">
        <v>25</v>
      </c>
      <c r="E2471" s="109">
        <v>130</v>
      </c>
      <c r="F2471" s="109">
        <v>125</v>
      </c>
      <c r="G2471" s="504">
        <f>E2471-13</f>
        <v>117</v>
      </c>
      <c r="H2471" s="504">
        <f>E2471-21</f>
        <v>109</v>
      </c>
      <c r="I2471" s="504">
        <f>E2471-24</f>
        <v>106</v>
      </c>
      <c r="J2471" s="504">
        <f>E2471-33</f>
        <v>97</v>
      </c>
      <c r="K2471" s="504">
        <f>E2471-33</f>
        <v>97</v>
      </c>
      <c r="L2471" s="504">
        <f>E2471-31</f>
        <v>99</v>
      </c>
      <c r="M2471" s="504">
        <f>E2471-34</f>
        <v>96</v>
      </c>
      <c r="N2471" s="504">
        <f>E2471-30</f>
        <v>100</v>
      </c>
      <c r="O2471" s="110">
        <f>E2471-26</f>
        <v>104</v>
      </c>
      <c r="P2471" s="109">
        <f>MIN(F2471:O2471)</f>
        <v>96</v>
      </c>
      <c r="Q2471" s="504">
        <f>E2471-P2471</f>
        <v>34</v>
      </c>
      <c r="R2471" s="107">
        <f>Q2471/E2471</f>
        <v>0.26153846153846155</v>
      </c>
      <c r="S2471" s="503"/>
      <c r="V2471" s="528"/>
    </row>
    <row r="2472" spans="1:22" ht="9.75" customHeight="1">
      <c r="A2472" s="503"/>
      <c r="B2472" s="503"/>
      <c r="C2472" s="13"/>
      <c r="D2472" s="13" t="s">
        <v>27</v>
      </c>
      <c r="E2472" s="13"/>
      <c r="F2472" s="109"/>
      <c r="G2472" s="504"/>
      <c r="H2472" s="504"/>
      <c r="I2472" s="504"/>
      <c r="J2472" s="504"/>
      <c r="K2472" s="504"/>
      <c r="L2472" s="504"/>
      <c r="M2472" s="504"/>
      <c r="N2472" s="504"/>
      <c r="O2472" s="110"/>
      <c r="P2472" s="109"/>
      <c r="Q2472" s="504"/>
      <c r="R2472" s="107"/>
      <c r="S2472" s="503"/>
      <c r="V2472" s="528"/>
    </row>
    <row r="2473" spans="1:22" ht="9.75" customHeight="1">
      <c r="A2473" s="503"/>
      <c r="B2473" s="503"/>
      <c r="C2473" s="13"/>
      <c r="D2473" s="13" t="s">
        <v>115</v>
      </c>
      <c r="E2473" s="13"/>
      <c r="F2473" s="109"/>
      <c r="G2473" s="504"/>
      <c r="H2473" s="504"/>
      <c r="I2473" s="504"/>
      <c r="J2473" s="504"/>
      <c r="K2473" s="504"/>
      <c r="L2473" s="504"/>
      <c r="M2473" s="504"/>
      <c r="N2473" s="504"/>
      <c r="O2473" s="110"/>
      <c r="P2473" s="109"/>
      <c r="Q2473" s="504"/>
      <c r="R2473" s="107"/>
      <c r="S2473" s="503"/>
      <c r="V2473" s="528"/>
    </row>
    <row r="2474" spans="1:22" ht="9.75" customHeight="1">
      <c r="A2474" s="503"/>
      <c r="B2474" s="503"/>
      <c r="C2474" s="13"/>
      <c r="D2474" s="13" t="s">
        <v>115</v>
      </c>
      <c r="E2474" s="13"/>
      <c r="F2474" s="109"/>
      <c r="G2474" s="504"/>
      <c r="H2474" s="504"/>
      <c r="I2474" s="504"/>
      <c r="J2474" s="504"/>
      <c r="K2474" s="504"/>
      <c r="L2474" s="504"/>
      <c r="M2474" s="504"/>
      <c r="N2474" s="504"/>
      <c r="O2474" s="110"/>
      <c r="P2474" s="109"/>
      <c r="Q2474" s="504"/>
      <c r="R2474" s="107"/>
      <c r="S2474" s="503"/>
      <c r="V2474" s="528"/>
    </row>
    <row r="2475" spans="1:22" ht="9.75" customHeight="1">
      <c r="A2475" s="503"/>
      <c r="B2475" s="503"/>
      <c r="C2475" s="13"/>
      <c r="D2475" s="13" t="s">
        <v>32</v>
      </c>
      <c r="E2475" s="13"/>
      <c r="F2475" s="109"/>
      <c r="G2475" s="504"/>
      <c r="H2475" s="504"/>
      <c r="I2475" s="504"/>
      <c r="J2475" s="504"/>
      <c r="K2475" s="504"/>
      <c r="L2475" s="504"/>
      <c r="M2475" s="504"/>
      <c r="N2475" s="504"/>
      <c r="O2475" s="110"/>
      <c r="P2475" s="109"/>
      <c r="Q2475" s="504"/>
      <c r="R2475" s="107"/>
      <c r="S2475" s="503"/>
      <c r="V2475" s="528"/>
    </row>
    <row r="2476" spans="1:22" ht="9.75" customHeight="1">
      <c r="A2476" s="503"/>
      <c r="B2476" s="503"/>
      <c r="C2476" s="13"/>
      <c r="D2476" s="13" t="s">
        <v>118</v>
      </c>
      <c r="E2476" s="13">
        <v>24</v>
      </c>
      <c r="F2476" s="109">
        <f>E2476-8</f>
        <v>16</v>
      </c>
      <c r="G2476" s="504">
        <v>14</v>
      </c>
      <c r="H2476" s="504">
        <v>13</v>
      </c>
      <c r="I2476" s="504">
        <v>12</v>
      </c>
      <c r="J2476" s="504">
        <v>16</v>
      </c>
      <c r="K2476" s="504">
        <v>11</v>
      </c>
      <c r="L2476" s="504">
        <f>E2476-13</f>
        <v>11</v>
      </c>
      <c r="M2476" s="504">
        <f>E2476-15</f>
        <v>9</v>
      </c>
      <c r="N2476" s="504">
        <v>12</v>
      </c>
      <c r="O2476" s="110">
        <f>E2476-9</f>
        <v>15</v>
      </c>
      <c r="P2476" s="109">
        <f>MIN(F2476:O2476)</f>
        <v>9</v>
      </c>
      <c r="Q2476" s="504">
        <f>E2476-P2476</f>
        <v>15</v>
      </c>
      <c r="R2476" s="107">
        <f>Q2476/E2476</f>
        <v>0.625</v>
      </c>
      <c r="S2476" s="503"/>
      <c r="V2476" s="528"/>
    </row>
    <row r="2477" spans="1:22" ht="9.75" customHeight="1">
      <c r="A2477" s="503"/>
      <c r="B2477" s="503"/>
      <c r="C2477" s="13"/>
      <c r="D2477" s="13" t="s">
        <v>120</v>
      </c>
      <c r="E2477" s="13"/>
      <c r="F2477" s="109"/>
      <c r="G2477" s="504"/>
      <c r="H2477" s="504"/>
      <c r="I2477" s="504"/>
      <c r="J2477" s="504"/>
      <c r="K2477" s="504"/>
      <c r="L2477" s="504"/>
      <c r="M2477" s="504"/>
      <c r="N2477" s="504"/>
      <c r="O2477" s="110"/>
      <c r="P2477" s="109"/>
      <c r="Q2477" s="504"/>
      <c r="R2477" s="107"/>
      <c r="S2477" s="503"/>
      <c r="V2477" s="528"/>
    </row>
    <row r="2478" spans="1:22" ht="9.75" customHeight="1">
      <c r="A2478" s="503"/>
      <c r="B2478" s="503"/>
      <c r="C2478" s="13"/>
      <c r="D2478" s="13" t="s">
        <v>120</v>
      </c>
      <c r="E2478" s="13"/>
      <c r="F2478" s="109"/>
      <c r="G2478" s="504"/>
      <c r="H2478" s="504"/>
      <c r="I2478" s="504"/>
      <c r="J2478" s="504"/>
      <c r="K2478" s="504"/>
      <c r="L2478" s="504"/>
      <c r="M2478" s="504"/>
      <c r="N2478" s="504"/>
      <c r="O2478" s="110"/>
      <c r="P2478" s="109"/>
      <c r="Q2478" s="504"/>
      <c r="R2478" s="107"/>
      <c r="S2478" s="503"/>
      <c r="V2478" s="528"/>
    </row>
    <row r="2479" spans="1:22" ht="9.75" customHeight="1">
      <c r="A2479" s="503"/>
      <c r="B2479" s="503"/>
      <c r="C2479" s="13"/>
      <c r="D2479" s="13" t="s">
        <v>120</v>
      </c>
      <c r="E2479" s="13"/>
      <c r="F2479" s="109"/>
      <c r="G2479" s="504"/>
      <c r="H2479" s="504"/>
      <c r="I2479" s="504"/>
      <c r="J2479" s="504"/>
      <c r="K2479" s="504"/>
      <c r="L2479" s="504"/>
      <c r="M2479" s="504"/>
      <c r="N2479" s="504"/>
      <c r="O2479" s="110"/>
      <c r="P2479" s="109"/>
      <c r="Q2479" s="504"/>
      <c r="R2479" s="107"/>
      <c r="S2479" s="503"/>
      <c r="V2479" s="528"/>
    </row>
    <row r="2480" spans="1:22" ht="9.75" customHeight="1">
      <c r="A2480" s="503"/>
      <c r="B2480" s="503"/>
      <c r="C2480" s="13"/>
      <c r="D2480" s="13" t="s">
        <v>120</v>
      </c>
      <c r="E2480" s="13"/>
      <c r="F2480" s="109"/>
      <c r="G2480" s="504"/>
      <c r="H2480" s="504"/>
      <c r="I2480" s="504"/>
      <c r="J2480" s="504"/>
      <c r="K2480" s="504"/>
      <c r="L2480" s="504"/>
      <c r="M2480" s="504"/>
      <c r="N2480" s="504"/>
      <c r="O2480" s="110"/>
      <c r="P2480" s="109"/>
      <c r="Q2480" s="504"/>
      <c r="R2480" s="107"/>
      <c r="S2480" s="503"/>
      <c r="V2480" s="528"/>
    </row>
    <row r="2481" spans="1:22" ht="9.75" customHeight="1">
      <c r="A2481" s="503"/>
      <c r="B2481" s="503"/>
      <c r="C2481" s="13"/>
      <c r="D2481" s="13" t="s">
        <v>120</v>
      </c>
      <c r="E2481" s="13"/>
      <c r="F2481" s="109"/>
      <c r="G2481" s="504"/>
      <c r="H2481" s="504"/>
      <c r="I2481" s="504"/>
      <c r="J2481" s="504"/>
      <c r="K2481" s="504"/>
      <c r="L2481" s="504"/>
      <c r="M2481" s="504"/>
      <c r="N2481" s="504"/>
      <c r="O2481" s="110"/>
      <c r="P2481" s="109"/>
      <c r="Q2481" s="504"/>
      <c r="R2481" s="107"/>
      <c r="S2481" s="503"/>
      <c r="V2481" s="528"/>
    </row>
    <row r="2482" spans="1:22" ht="9.75" customHeight="1">
      <c r="A2482" s="503"/>
      <c r="B2482" s="503"/>
      <c r="C2482" s="13"/>
      <c r="D2482" s="13" t="s">
        <v>34</v>
      </c>
      <c r="E2482" s="13"/>
      <c r="F2482" s="109"/>
      <c r="G2482" s="504"/>
      <c r="H2482" s="504"/>
      <c r="I2482" s="504"/>
      <c r="J2482" s="504"/>
      <c r="K2482" s="504"/>
      <c r="L2482" s="504"/>
      <c r="M2482" s="504"/>
      <c r="N2482" s="504"/>
      <c r="O2482" s="110"/>
      <c r="P2482" s="109"/>
      <c r="Q2482" s="504"/>
      <c r="R2482" s="107"/>
      <c r="S2482" s="503"/>
      <c r="V2482" s="528"/>
    </row>
    <row r="2483" spans="1:22" ht="9.75" customHeight="1">
      <c r="A2483" s="503"/>
      <c r="B2483" s="503"/>
      <c r="C2483" s="13"/>
      <c r="D2483" s="13" t="s">
        <v>35</v>
      </c>
      <c r="E2483" s="13"/>
      <c r="F2483" s="109"/>
      <c r="G2483" s="504"/>
      <c r="H2483" s="504"/>
      <c r="I2483" s="504"/>
      <c r="J2483" s="504"/>
      <c r="K2483" s="504"/>
      <c r="L2483" s="504"/>
      <c r="M2483" s="504"/>
      <c r="N2483" s="504"/>
      <c r="O2483" s="110"/>
      <c r="P2483" s="109"/>
      <c r="Q2483" s="504"/>
      <c r="R2483" s="107"/>
      <c r="S2483" s="503"/>
      <c r="V2483" s="528"/>
    </row>
    <row r="2484" spans="1:22" ht="9.75" customHeight="1">
      <c r="A2484" s="503"/>
      <c r="B2484" s="503"/>
      <c r="C2484" s="13"/>
      <c r="D2484" s="13" t="s">
        <v>36</v>
      </c>
      <c r="E2484" s="13"/>
      <c r="F2484" s="109"/>
      <c r="G2484" s="504"/>
      <c r="H2484" s="504"/>
      <c r="I2484" s="504"/>
      <c r="J2484" s="504"/>
      <c r="K2484" s="504"/>
      <c r="L2484" s="504"/>
      <c r="M2484" s="504"/>
      <c r="N2484" s="504"/>
      <c r="O2484" s="110"/>
      <c r="P2484" s="109"/>
      <c r="Q2484" s="504"/>
      <c r="R2484" s="107"/>
      <c r="S2484" s="503"/>
      <c r="V2484" s="528"/>
    </row>
    <row r="2485" spans="1:22" ht="9.75" customHeight="1">
      <c r="A2485" s="503"/>
      <c r="B2485" s="503"/>
      <c r="C2485" s="13"/>
      <c r="D2485" s="13" t="s">
        <v>37</v>
      </c>
      <c r="E2485" s="13"/>
      <c r="F2485" s="109"/>
      <c r="G2485" s="504"/>
      <c r="H2485" s="504"/>
      <c r="I2485" s="504"/>
      <c r="J2485" s="504"/>
      <c r="K2485" s="504"/>
      <c r="L2485" s="504"/>
      <c r="M2485" s="504"/>
      <c r="N2485" s="504"/>
      <c r="O2485" s="110"/>
      <c r="P2485" s="109"/>
      <c r="Q2485" s="504"/>
      <c r="R2485" s="107"/>
      <c r="S2485" s="503"/>
      <c r="V2485" s="528"/>
    </row>
    <row r="2486" spans="1:22" ht="9.75" customHeight="1">
      <c r="A2486" s="503"/>
      <c r="B2486" s="503" t="s">
        <v>127</v>
      </c>
      <c r="C2486" s="2"/>
      <c r="D2486" s="21" t="s">
        <v>38</v>
      </c>
      <c r="E2486" s="21">
        <f t="shared" ref="E2486:O2486" si="479">SUM(E2470:E2485)</f>
        <v>154</v>
      </c>
      <c r="F2486" s="21">
        <f>SUM(F2470:F2485)</f>
        <v>141</v>
      </c>
      <c r="G2486" s="71">
        <f>SUM(G2470:G2485)</f>
        <v>131</v>
      </c>
      <c r="H2486" s="71">
        <f>SUM(H2470:H2485)</f>
        <v>122</v>
      </c>
      <c r="I2486" s="71">
        <f>SUM(I2470:I2485)</f>
        <v>118</v>
      </c>
      <c r="J2486" s="71">
        <f>SUM(J2470:J2485)</f>
        <v>113</v>
      </c>
      <c r="K2486" s="71">
        <f t="shared" si="479"/>
        <v>108</v>
      </c>
      <c r="L2486" s="71">
        <f t="shared" si="479"/>
        <v>110</v>
      </c>
      <c r="M2486" s="71">
        <f t="shared" si="479"/>
        <v>105</v>
      </c>
      <c r="N2486" s="71">
        <f t="shared" si="479"/>
        <v>112</v>
      </c>
      <c r="O2486" s="26">
        <f t="shared" si="479"/>
        <v>119</v>
      </c>
      <c r="P2486" s="71">
        <f>MIN(F2486:O2486)</f>
        <v>105</v>
      </c>
      <c r="Q2486" s="71">
        <f>E2486-P2486</f>
        <v>49</v>
      </c>
      <c r="R2486" s="7">
        <f>Q2486/E2486</f>
        <v>0.31818181818181818</v>
      </c>
      <c r="S2486" s="503"/>
      <c r="V2486" s="528"/>
    </row>
    <row r="2487" spans="1:22" ht="9.75" customHeight="1">
      <c r="A2487" s="503"/>
      <c r="B2487" s="503"/>
      <c r="C2487" s="43" t="s">
        <v>376</v>
      </c>
      <c r="D2487" s="43" t="s">
        <v>23</v>
      </c>
      <c r="E2487" s="13"/>
      <c r="F2487" s="109"/>
      <c r="G2487" s="504"/>
      <c r="H2487" s="504"/>
      <c r="I2487" s="504"/>
      <c r="J2487" s="504"/>
      <c r="K2487" s="504"/>
      <c r="L2487" s="504"/>
      <c r="M2487" s="504"/>
      <c r="N2487" s="504"/>
      <c r="O2487" s="110"/>
      <c r="P2487" s="116"/>
      <c r="Q2487" s="128"/>
      <c r="R2487" s="141"/>
      <c r="S2487" s="503"/>
      <c r="V2487" s="528"/>
    </row>
    <row r="2488" spans="1:22" ht="9.75" customHeight="1">
      <c r="A2488" s="503"/>
      <c r="B2488" s="503"/>
      <c r="C2488" s="13"/>
      <c r="D2488" s="13" t="s">
        <v>25</v>
      </c>
      <c r="E2488" s="13">
        <v>99</v>
      </c>
      <c r="F2488" s="109">
        <v>99</v>
      </c>
      <c r="G2488" s="504">
        <v>99</v>
      </c>
      <c r="H2488" s="504">
        <v>99</v>
      </c>
      <c r="I2488" s="504">
        <v>99</v>
      </c>
      <c r="J2488" s="504">
        <v>99</v>
      </c>
      <c r="K2488" s="504">
        <v>99</v>
      </c>
      <c r="L2488" s="504">
        <v>98</v>
      </c>
      <c r="M2488" s="504">
        <v>99</v>
      </c>
      <c r="N2488" s="504">
        <v>97</v>
      </c>
      <c r="O2488" s="110">
        <v>97</v>
      </c>
      <c r="P2488" s="109">
        <f>MIN(F2488:O2488)</f>
        <v>97</v>
      </c>
      <c r="Q2488" s="504">
        <f>E2488-P2488</f>
        <v>2</v>
      </c>
      <c r="R2488" s="107">
        <f>Q2488/E2488</f>
        <v>2.0202020202020204E-2</v>
      </c>
      <c r="S2488" s="503"/>
      <c r="V2488" s="528"/>
    </row>
    <row r="2489" spans="1:22" ht="9.75" customHeight="1">
      <c r="A2489" s="503"/>
      <c r="B2489" s="503"/>
      <c r="C2489" s="13"/>
      <c r="D2489" s="13" t="s">
        <v>27</v>
      </c>
      <c r="E2489" s="13"/>
      <c r="F2489" s="109"/>
      <c r="G2489" s="504"/>
      <c r="H2489" s="504"/>
      <c r="I2489" s="504"/>
      <c r="J2489" s="504"/>
      <c r="K2489" s="504"/>
      <c r="L2489" s="504"/>
      <c r="M2489" s="504"/>
      <c r="N2489" s="504"/>
      <c r="O2489" s="110"/>
      <c r="P2489" s="109"/>
      <c r="Q2489" s="504"/>
      <c r="R2489" s="107"/>
      <c r="S2489" s="503"/>
      <c r="V2489" s="528"/>
    </row>
    <row r="2490" spans="1:22" ht="9.75" customHeight="1">
      <c r="A2490" s="503"/>
      <c r="B2490" s="503"/>
      <c r="C2490" s="13"/>
      <c r="D2490" s="13" t="s">
        <v>115</v>
      </c>
      <c r="E2490" s="13"/>
      <c r="F2490" s="109"/>
      <c r="G2490" s="504"/>
      <c r="H2490" s="504"/>
      <c r="I2490" s="504"/>
      <c r="J2490" s="504"/>
      <c r="K2490" s="504"/>
      <c r="L2490" s="504"/>
      <c r="M2490" s="504"/>
      <c r="N2490" s="504"/>
      <c r="O2490" s="110"/>
      <c r="P2490" s="109"/>
      <c r="Q2490" s="504"/>
      <c r="R2490" s="107"/>
      <c r="S2490" s="503"/>
      <c r="V2490" s="528"/>
    </row>
    <row r="2491" spans="1:22" ht="9.75" customHeight="1">
      <c r="A2491" s="503"/>
      <c r="B2491" s="503"/>
      <c r="C2491" s="13"/>
      <c r="D2491" s="13" t="s">
        <v>115</v>
      </c>
      <c r="E2491" s="13"/>
      <c r="F2491" s="109"/>
      <c r="G2491" s="504"/>
      <c r="H2491" s="504"/>
      <c r="I2491" s="504"/>
      <c r="J2491" s="504"/>
      <c r="K2491" s="504"/>
      <c r="L2491" s="504"/>
      <c r="M2491" s="504"/>
      <c r="N2491" s="504"/>
      <c r="O2491" s="110"/>
      <c r="P2491" s="109"/>
      <c r="Q2491" s="504"/>
      <c r="R2491" s="107"/>
      <c r="S2491" s="503"/>
      <c r="V2491" s="528"/>
    </row>
    <row r="2492" spans="1:22" ht="9.75" customHeight="1">
      <c r="A2492" s="503"/>
      <c r="B2492" s="503"/>
      <c r="C2492" s="13"/>
      <c r="D2492" s="13" t="s">
        <v>32</v>
      </c>
      <c r="E2492" s="13"/>
      <c r="F2492" s="109"/>
      <c r="G2492" s="504"/>
      <c r="H2492" s="504"/>
      <c r="I2492" s="504"/>
      <c r="J2492" s="504"/>
      <c r="K2492" s="504"/>
      <c r="L2492" s="504"/>
      <c r="M2492" s="504"/>
      <c r="N2492" s="504"/>
      <c r="O2492" s="110"/>
      <c r="P2492" s="109"/>
      <c r="Q2492" s="504"/>
      <c r="R2492" s="107"/>
      <c r="S2492" s="503"/>
      <c r="V2492" s="528"/>
    </row>
    <row r="2493" spans="1:22" ht="9.75" customHeight="1">
      <c r="A2493" s="503"/>
      <c r="B2493" s="503"/>
      <c r="C2493" s="13"/>
      <c r="D2493" s="13" t="s">
        <v>120</v>
      </c>
      <c r="E2493" s="13"/>
      <c r="F2493" s="109"/>
      <c r="G2493" s="504"/>
      <c r="H2493" s="504"/>
      <c r="I2493" s="504"/>
      <c r="J2493" s="504"/>
      <c r="K2493" s="504"/>
      <c r="L2493" s="504"/>
      <c r="M2493" s="504"/>
      <c r="N2493" s="504"/>
      <c r="O2493" s="110"/>
      <c r="P2493" s="109"/>
      <c r="Q2493" s="504"/>
      <c r="R2493" s="107"/>
      <c r="S2493" s="503"/>
      <c r="V2493" s="528"/>
    </row>
    <row r="2494" spans="1:22" ht="9.75" customHeight="1">
      <c r="A2494" s="503"/>
      <c r="B2494" s="503"/>
      <c r="C2494" s="13"/>
      <c r="D2494" s="13" t="s">
        <v>120</v>
      </c>
      <c r="E2494" s="13"/>
      <c r="F2494" s="109"/>
      <c r="G2494" s="504"/>
      <c r="H2494" s="504"/>
      <c r="I2494" s="504"/>
      <c r="J2494" s="504"/>
      <c r="K2494" s="504"/>
      <c r="L2494" s="504"/>
      <c r="M2494" s="504"/>
      <c r="N2494" s="504"/>
      <c r="O2494" s="110"/>
      <c r="P2494" s="109"/>
      <c r="Q2494" s="504"/>
      <c r="R2494" s="107"/>
      <c r="S2494" s="503"/>
      <c r="V2494" s="528"/>
    </row>
    <row r="2495" spans="1:22" ht="9.75" customHeight="1">
      <c r="A2495" s="503"/>
      <c r="B2495" s="503"/>
      <c r="C2495" s="13"/>
      <c r="D2495" s="13" t="s">
        <v>120</v>
      </c>
      <c r="E2495" s="13"/>
      <c r="F2495" s="109"/>
      <c r="G2495" s="504"/>
      <c r="H2495" s="504"/>
      <c r="I2495" s="504"/>
      <c r="J2495" s="504"/>
      <c r="K2495" s="504"/>
      <c r="L2495" s="504"/>
      <c r="M2495" s="504"/>
      <c r="N2495" s="504"/>
      <c r="O2495" s="110"/>
      <c r="P2495" s="109"/>
      <c r="Q2495" s="504"/>
      <c r="R2495" s="107"/>
      <c r="S2495" s="503"/>
      <c r="V2495" s="528"/>
    </row>
    <row r="2496" spans="1:22" ht="9.75" customHeight="1">
      <c r="A2496" s="503"/>
      <c r="B2496" s="503"/>
      <c r="C2496" s="13"/>
      <c r="D2496" s="13" t="s">
        <v>120</v>
      </c>
      <c r="E2496" s="13"/>
      <c r="F2496" s="109"/>
      <c r="G2496" s="504"/>
      <c r="H2496" s="504"/>
      <c r="I2496" s="504"/>
      <c r="J2496" s="504"/>
      <c r="K2496" s="504"/>
      <c r="L2496" s="504"/>
      <c r="M2496" s="504"/>
      <c r="N2496" s="504"/>
      <c r="O2496" s="110"/>
      <c r="P2496" s="109"/>
      <c r="Q2496" s="504"/>
      <c r="R2496" s="107"/>
      <c r="S2496" s="503"/>
      <c r="V2496" s="528"/>
    </row>
    <row r="2497" spans="1:22" ht="9.75" customHeight="1">
      <c r="A2497" s="503"/>
      <c r="B2497" s="503"/>
      <c r="C2497" s="13"/>
      <c r="D2497" s="13" t="s">
        <v>120</v>
      </c>
      <c r="E2497" s="13"/>
      <c r="F2497" s="109"/>
      <c r="G2497" s="504"/>
      <c r="H2497" s="504"/>
      <c r="I2497" s="504"/>
      <c r="J2497" s="504"/>
      <c r="K2497" s="504"/>
      <c r="L2497" s="504"/>
      <c r="M2497" s="504"/>
      <c r="N2497" s="504"/>
      <c r="O2497" s="110"/>
      <c r="P2497" s="109"/>
      <c r="Q2497" s="504"/>
      <c r="R2497" s="107"/>
      <c r="S2497" s="503"/>
      <c r="V2497" s="528"/>
    </row>
    <row r="2498" spans="1:22" ht="9.75" customHeight="1">
      <c r="A2498" s="503"/>
      <c r="B2498" s="503"/>
      <c r="C2498" s="13"/>
      <c r="D2498" s="13" t="s">
        <v>120</v>
      </c>
      <c r="E2498" s="13"/>
      <c r="F2498" s="109"/>
      <c r="G2498" s="504"/>
      <c r="H2498" s="504"/>
      <c r="I2498" s="504"/>
      <c r="J2498" s="504"/>
      <c r="K2498" s="504"/>
      <c r="L2498" s="504"/>
      <c r="M2498" s="504"/>
      <c r="N2498" s="504"/>
      <c r="O2498" s="110"/>
      <c r="P2498" s="109"/>
      <c r="Q2498" s="504"/>
      <c r="R2498" s="107"/>
      <c r="S2498" s="503"/>
      <c r="V2498" s="528"/>
    </row>
    <row r="2499" spans="1:22" ht="9.75" customHeight="1">
      <c r="A2499" s="503"/>
      <c r="B2499" s="503"/>
      <c r="C2499" s="13"/>
      <c r="D2499" s="13" t="s">
        <v>34</v>
      </c>
      <c r="E2499" s="13"/>
      <c r="F2499" s="109"/>
      <c r="G2499" s="504"/>
      <c r="H2499" s="504"/>
      <c r="I2499" s="504"/>
      <c r="J2499" s="504"/>
      <c r="K2499" s="504"/>
      <c r="L2499" s="504"/>
      <c r="M2499" s="504"/>
      <c r="N2499" s="504"/>
      <c r="O2499" s="110"/>
      <c r="P2499" s="109"/>
      <c r="Q2499" s="504"/>
      <c r="R2499" s="107"/>
      <c r="S2499" s="503"/>
      <c r="V2499" s="528"/>
    </row>
    <row r="2500" spans="1:22" ht="9.75" customHeight="1">
      <c r="A2500" s="503"/>
      <c r="B2500" s="503"/>
      <c r="C2500" s="13"/>
      <c r="D2500" s="13" t="s">
        <v>35</v>
      </c>
      <c r="E2500" s="13"/>
      <c r="F2500" s="109"/>
      <c r="G2500" s="504"/>
      <c r="H2500" s="504"/>
      <c r="I2500" s="504"/>
      <c r="J2500" s="504"/>
      <c r="K2500" s="504"/>
      <c r="L2500" s="504"/>
      <c r="M2500" s="504"/>
      <c r="N2500" s="504"/>
      <c r="O2500" s="110"/>
      <c r="P2500" s="109"/>
      <c r="Q2500" s="504"/>
      <c r="R2500" s="107"/>
      <c r="S2500" s="503"/>
      <c r="V2500" s="528"/>
    </row>
    <row r="2501" spans="1:22" ht="9.75" customHeight="1">
      <c r="A2501" s="503"/>
      <c r="B2501" s="503"/>
      <c r="C2501" s="13"/>
      <c r="D2501" s="13" t="s">
        <v>36</v>
      </c>
      <c r="E2501" s="13"/>
      <c r="F2501" s="109"/>
      <c r="G2501" s="504"/>
      <c r="H2501" s="504"/>
      <c r="I2501" s="504"/>
      <c r="J2501" s="504"/>
      <c r="K2501" s="504"/>
      <c r="L2501" s="504"/>
      <c r="M2501" s="504"/>
      <c r="N2501" s="504"/>
      <c r="O2501" s="110"/>
      <c r="P2501" s="109"/>
      <c r="Q2501" s="504"/>
      <c r="R2501" s="107"/>
      <c r="S2501" s="503"/>
      <c r="V2501" s="528"/>
    </row>
    <row r="2502" spans="1:22" ht="9.75" customHeight="1">
      <c r="A2502" s="503"/>
      <c r="B2502" s="503"/>
      <c r="C2502" s="13"/>
      <c r="D2502" s="13" t="s">
        <v>37</v>
      </c>
      <c r="E2502" s="13"/>
      <c r="F2502" s="109"/>
      <c r="G2502" s="504"/>
      <c r="H2502" s="504"/>
      <c r="I2502" s="504"/>
      <c r="J2502" s="504"/>
      <c r="K2502" s="504"/>
      <c r="L2502" s="504"/>
      <c r="M2502" s="504"/>
      <c r="N2502" s="504"/>
      <c r="O2502" s="110"/>
      <c r="P2502" s="109"/>
      <c r="Q2502" s="504"/>
      <c r="R2502" s="107"/>
      <c r="S2502" s="503"/>
      <c r="V2502" s="528"/>
    </row>
    <row r="2503" spans="1:22" ht="9.75" customHeight="1">
      <c r="A2503" s="503"/>
      <c r="B2503" s="503" t="s">
        <v>127</v>
      </c>
      <c r="C2503" s="2"/>
      <c r="D2503" s="21" t="s">
        <v>38</v>
      </c>
      <c r="E2503" s="21">
        <f t="shared" ref="E2503:O2503" si="480">SUM(E2487:E2502)</f>
        <v>99</v>
      </c>
      <c r="F2503" s="21">
        <f>SUM(F2487:F2502)</f>
        <v>99</v>
      </c>
      <c r="G2503" s="71">
        <f>SUM(G2487:G2502)</f>
        <v>99</v>
      </c>
      <c r="H2503" s="71">
        <f>SUM(H2487:H2502)</f>
        <v>99</v>
      </c>
      <c r="I2503" s="71">
        <f>SUM(I2487:I2502)</f>
        <v>99</v>
      </c>
      <c r="J2503" s="71">
        <f>SUM(J2487:J2502)</f>
        <v>99</v>
      </c>
      <c r="K2503" s="71">
        <f t="shared" si="480"/>
        <v>99</v>
      </c>
      <c r="L2503" s="71">
        <f t="shared" si="480"/>
        <v>98</v>
      </c>
      <c r="M2503" s="71">
        <f t="shared" si="480"/>
        <v>99</v>
      </c>
      <c r="N2503" s="71">
        <f t="shared" si="480"/>
        <v>97</v>
      </c>
      <c r="O2503" s="26">
        <f t="shared" si="480"/>
        <v>97</v>
      </c>
      <c r="P2503" s="71">
        <f>MIN(F2503:O2503)</f>
        <v>97</v>
      </c>
      <c r="Q2503" s="71">
        <f>E2503-P2503</f>
        <v>2</v>
      </c>
      <c r="R2503" s="7">
        <f>Q2503/E2503</f>
        <v>2.0202020202020204E-2</v>
      </c>
      <c r="S2503" s="503"/>
      <c r="V2503" s="528"/>
    </row>
    <row r="2504" spans="1:22" ht="9.75" customHeight="1">
      <c r="A2504" s="503"/>
      <c r="B2504" s="503"/>
      <c r="C2504" s="43" t="s">
        <v>377</v>
      </c>
      <c r="D2504" s="43" t="s">
        <v>23</v>
      </c>
      <c r="E2504" s="13"/>
      <c r="F2504" s="109"/>
      <c r="G2504" s="504"/>
      <c r="H2504" s="504"/>
      <c r="I2504" s="504"/>
      <c r="J2504" s="504"/>
      <c r="K2504" s="504"/>
      <c r="L2504" s="504"/>
      <c r="M2504" s="504"/>
      <c r="N2504" s="504"/>
      <c r="O2504" s="110"/>
      <c r="P2504" s="116"/>
      <c r="Q2504" s="128"/>
      <c r="R2504" s="141"/>
      <c r="S2504" s="503"/>
      <c r="V2504" s="528"/>
    </row>
    <row r="2505" spans="1:22" ht="9.75" customHeight="1">
      <c r="A2505" s="503"/>
      <c r="B2505" s="503"/>
      <c r="C2505" s="13"/>
      <c r="D2505" s="13" t="s">
        <v>25</v>
      </c>
      <c r="E2505" s="13"/>
      <c r="F2505" s="109"/>
      <c r="G2505" s="504"/>
      <c r="H2505" s="504"/>
      <c r="I2505" s="504"/>
      <c r="J2505" s="504"/>
      <c r="K2505" s="504"/>
      <c r="L2505" s="504"/>
      <c r="M2505" s="504"/>
      <c r="N2505" s="504"/>
      <c r="O2505" s="110"/>
      <c r="P2505" s="109"/>
      <c r="Q2505" s="504"/>
      <c r="R2505" s="107"/>
      <c r="S2505" s="503"/>
      <c r="V2505" s="528"/>
    </row>
    <row r="2506" spans="1:22" ht="9.75" customHeight="1">
      <c r="A2506" s="503"/>
      <c r="B2506" s="503"/>
      <c r="C2506" s="13"/>
      <c r="D2506" s="13" t="s">
        <v>27</v>
      </c>
      <c r="E2506" s="13"/>
      <c r="F2506" s="109"/>
      <c r="G2506" s="504"/>
      <c r="H2506" s="504"/>
      <c r="I2506" s="504"/>
      <c r="J2506" s="504"/>
      <c r="K2506" s="504"/>
      <c r="L2506" s="504"/>
      <c r="M2506" s="504"/>
      <c r="N2506" s="504"/>
      <c r="O2506" s="110"/>
      <c r="P2506" s="109"/>
      <c r="Q2506" s="504"/>
      <c r="R2506" s="107"/>
      <c r="S2506" s="503"/>
      <c r="V2506" s="528"/>
    </row>
    <row r="2507" spans="1:22" ht="9.75" customHeight="1">
      <c r="A2507" s="503"/>
      <c r="B2507" s="503"/>
      <c r="C2507" s="13"/>
      <c r="D2507" s="13" t="s">
        <v>173</v>
      </c>
      <c r="E2507" s="13"/>
      <c r="F2507" s="109"/>
      <c r="G2507" s="504"/>
      <c r="H2507" s="504"/>
      <c r="I2507" s="504"/>
      <c r="J2507" s="504"/>
      <c r="K2507" s="504"/>
      <c r="L2507" s="504"/>
      <c r="M2507" s="504"/>
      <c r="N2507" s="504"/>
      <c r="O2507" s="110"/>
      <c r="P2507" s="109"/>
      <c r="Q2507" s="504"/>
      <c r="R2507" s="107"/>
      <c r="S2507" s="503"/>
      <c r="V2507" s="528"/>
    </row>
    <row r="2508" spans="1:22" ht="9.75" customHeight="1">
      <c r="A2508" s="503"/>
      <c r="B2508" s="503"/>
      <c r="C2508" s="13"/>
      <c r="D2508" s="13" t="s">
        <v>115</v>
      </c>
      <c r="E2508" s="13"/>
      <c r="F2508" s="109"/>
      <c r="G2508" s="504"/>
      <c r="H2508" s="504"/>
      <c r="I2508" s="504"/>
      <c r="J2508" s="504"/>
      <c r="K2508" s="504"/>
      <c r="L2508" s="504"/>
      <c r="M2508" s="504"/>
      <c r="N2508" s="504"/>
      <c r="O2508" s="110"/>
      <c r="P2508" s="109"/>
      <c r="Q2508" s="504"/>
      <c r="R2508" s="107"/>
      <c r="S2508" s="503"/>
      <c r="V2508" s="528"/>
    </row>
    <row r="2509" spans="1:22" ht="9.75" customHeight="1">
      <c r="A2509" s="503"/>
      <c r="B2509" s="503"/>
      <c r="C2509" s="13"/>
      <c r="D2509" s="13" t="s">
        <v>32</v>
      </c>
      <c r="E2509" s="13">
        <v>1</v>
      </c>
      <c r="F2509" s="109">
        <v>1</v>
      </c>
      <c r="G2509" s="504">
        <v>1</v>
      </c>
      <c r="H2509" s="504">
        <v>1</v>
      </c>
      <c r="I2509" s="504">
        <v>1</v>
      </c>
      <c r="J2509" s="504">
        <v>1</v>
      </c>
      <c r="K2509" s="504">
        <v>1</v>
      </c>
      <c r="L2509" s="504">
        <v>1</v>
      </c>
      <c r="M2509" s="504">
        <v>1</v>
      </c>
      <c r="N2509" s="504">
        <v>1</v>
      </c>
      <c r="O2509" s="110">
        <v>1</v>
      </c>
      <c r="P2509" s="109">
        <f>MIN(F2509:O2509)</f>
        <v>1</v>
      </c>
      <c r="Q2509" s="504">
        <f>E2509-P2509</f>
        <v>0</v>
      </c>
      <c r="R2509" s="107">
        <f>Q2509/E2509</f>
        <v>0</v>
      </c>
      <c r="S2509" s="503"/>
      <c r="V2509" s="528"/>
    </row>
    <row r="2510" spans="1:22" ht="9.75" customHeight="1">
      <c r="A2510" s="503"/>
      <c r="B2510" s="503"/>
      <c r="C2510" s="13"/>
      <c r="D2510" s="46" t="s">
        <v>378</v>
      </c>
      <c r="E2510" s="46">
        <v>102</v>
      </c>
      <c r="F2510" s="154"/>
      <c r="G2510" s="47"/>
      <c r="H2510" s="47"/>
      <c r="I2510" s="47"/>
      <c r="J2510" s="47" t="s">
        <v>379</v>
      </c>
      <c r="K2510" s="47"/>
      <c r="L2510" s="47"/>
      <c r="M2510" s="47"/>
      <c r="N2510" s="47"/>
      <c r="O2510" s="155"/>
      <c r="P2510" s="154"/>
      <c r="Q2510" s="47"/>
      <c r="R2510" s="156"/>
      <c r="S2510" s="503"/>
      <c r="V2510" s="528"/>
    </row>
    <row r="2511" spans="1:22" ht="9.75" customHeight="1">
      <c r="A2511" s="503"/>
      <c r="B2511" s="503"/>
      <c r="C2511" s="13"/>
      <c r="D2511" s="13" t="s">
        <v>380</v>
      </c>
      <c r="E2511" s="13">
        <v>3</v>
      </c>
      <c r="F2511" s="109">
        <v>0</v>
      </c>
      <c r="G2511" s="504">
        <v>0</v>
      </c>
      <c r="H2511" s="504">
        <v>0</v>
      </c>
      <c r="I2511" s="504">
        <v>0</v>
      </c>
      <c r="J2511" s="504">
        <v>0</v>
      </c>
      <c r="K2511" s="504">
        <v>1</v>
      </c>
      <c r="L2511" s="504">
        <v>0</v>
      </c>
      <c r="M2511" s="504">
        <v>0</v>
      </c>
      <c r="N2511" s="504">
        <v>1</v>
      </c>
      <c r="O2511" s="110">
        <v>2</v>
      </c>
      <c r="P2511" s="109">
        <f t="shared" ref="P2511:P2512" si="481">MIN(F2511:O2511)</f>
        <v>0</v>
      </c>
      <c r="Q2511" s="504">
        <f t="shared" ref="Q2511:Q2512" si="482">E2511-P2511</f>
        <v>3</v>
      </c>
      <c r="R2511" s="107">
        <f t="shared" ref="R2511:R2512" si="483">Q2511/E2511</f>
        <v>1</v>
      </c>
      <c r="S2511" s="503"/>
      <c r="V2511" s="528"/>
    </row>
    <row r="2512" spans="1:22" ht="9.75" customHeight="1">
      <c r="A2512" s="503"/>
      <c r="B2512" s="503"/>
      <c r="C2512" s="13"/>
      <c r="D2512" s="13" t="s">
        <v>118</v>
      </c>
      <c r="E2512" s="13">
        <v>2</v>
      </c>
      <c r="F2512" s="109">
        <v>2</v>
      </c>
      <c r="G2512" s="504">
        <v>1</v>
      </c>
      <c r="H2512" s="504">
        <v>1</v>
      </c>
      <c r="I2512" s="504">
        <v>0</v>
      </c>
      <c r="J2512" s="504">
        <v>1</v>
      </c>
      <c r="K2512" s="504">
        <v>2</v>
      </c>
      <c r="L2512" s="504">
        <v>2</v>
      </c>
      <c r="M2512" s="504">
        <v>1</v>
      </c>
      <c r="N2512" s="504">
        <v>1</v>
      </c>
      <c r="O2512" s="110">
        <v>1</v>
      </c>
      <c r="P2512" s="109">
        <f t="shared" si="481"/>
        <v>0</v>
      </c>
      <c r="Q2512" s="504">
        <f t="shared" si="482"/>
        <v>2</v>
      </c>
      <c r="R2512" s="107">
        <f t="shared" si="483"/>
        <v>1</v>
      </c>
      <c r="S2512" s="503"/>
      <c r="V2512" s="528"/>
    </row>
    <row r="2513" spans="1:22" ht="9.75" customHeight="1">
      <c r="A2513" s="503"/>
      <c r="B2513" s="503"/>
      <c r="C2513" s="13"/>
      <c r="D2513" s="13" t="s">
        <v>120</v>
      </c>
      <c r="E2513" s="13"/>
      <c r="F2513" s="109"/>
      <c r="G2513" s="504"/>
      <c r="H2513" s="504"/>
      <c r="I2513" s="504"/>
      <c r="J2513" s="504"/>
      <c r="K2513" s="504"/>
      <c r="L2513" s="504"/>
      <c r="M2513" s="504"/>
      <c r="N2513" s="504"/>
      <c r="O2513" s="110"/>
      <c r="P2513" s="109"/>
      <c r="Q2513" s="504"/>
      <c r="R2513" s="107"/>
      <c r="S2513" s="503"/>
      <c r="V2513" s="528"/>
    </row>
    <row r="2514" spans="1:22" ht="9.75" customHeight="1">
      <c r="A2514" s="503"/>
      <c r="B2514" s="503"/>
      <c r="C2514" s="13"/>
      <c r="D2514" s="13" t="s">
        <v>120</v>
      </c>
      <c r="E2514" s="13"/>
      <c r="F2514" s="109"/>
      <c r="G2514" s="504"/>
      <c r="H2514" s="504"/>
      <c r="I2514" s="504"/>
      <c r="J2514" s="504"/>
      <c r="K2514" s="504"/>
      <c r="L2514" s="504"/>
      <c r="M2514" s="504"/>
      <c r="N2514" s="504"/>
      <c r="O2514" s="110"/>
      <c r="P2514" s="109"/>
      <c r="Q2514" s="504"/>
      <c r="R2514" s="107"/>
      <c r="S2514" s="503"/>
      <c r="V2514" s="528"/>
    </row>
    <row r="2515" spans="1:22" ht="9.75" customHeight="1">
      <c r="A2515" s="503"/>
      <c r="B2515" s="503"/>
      <c r="C2515" s="13"/>
      <c r="D2515" s="13" t="s">
        <v>120</v>
      </c>
      <c r="E2515" s="13"/>
      <c r="F2515" s="109"/>
      <c r="G2515" s="504"/>
      <c r="H2515" s="504"/>
      <c r="I2515" s="504"/>
      <c r="J2515" s="504"/>
      <c r="K2515" s="504"/>
      <c r="L2515" s="504"/>
      <c r="M2515" s="504"/>
      <c r="N2515" s="504"/>
      <c r="O2515" s="110"/>
      <c r="P2515" s="109"/>
      <c r="Q2515" s="504"/>
      <c r="R2515" s="107"/>
      <c r="S2515" s="503"/>
      <c r="V2515" s="528"/>
    </row>
    <row r="2516" spans="1:22" ht="9.75" customHeight="1">
      <c r="A2516" s="503"/>
      <c r="B2516" s="503"/>
      <c r="C2516" s="13"/>
      <c r="D2516" s="13" t="s">
        <v>34</v>
      </c>
      <c r="E2516" s="13">
        <v>13</v>
      </c>
      <c r="F2516" s="109">
        <v>0</v>
      </c>
      <c r="G2516" s="504">
        <v>1</v>
      </c>
      <c r="H2516" s="504">
        <v>0</v>
      </c>
      <c r="I2516" s="504">
        <v>0</v>
      </c>
      <c r="J2516" s="504">
        <v>2</v>
      </c>
      <c r="K2516" s="504">
        <v>0</v>
      </c>
      <c r="L2516" s="504">
        <v>0</v>
      </c>
      <c r="M2516" s="504">
        <v>2</v>
      </c>
      <c r="N2516" s="504">
        <v>4</v>
      </c>
      <c r="O2516" s="110">
        <v>8</v>
      </c>
      <c r="P2516" s="109">
        <f>MIN(F2516:O2516)</f>
        <v>0</v>
      </c>
      <c r="Q2516" s="504">
        <f>E2516-P2516</f>
        <v>13</v>
      </c>
      <c r="R2516" s="107">
        <f>Q2516/E2516</f>
        <v>1</v>
      </c>
      <c r="S2516" s="503"/>
      <c r="V2516" s="528"/>
    </row>
    <row r="2517" spans="1:22" ht="9.75" customHeight="1">
      <c r="A2517" s="503"/>
      <c r="B2517" s="503"/>
      <c r="C2517" s="13"/>
      <c r="D2517" s="13" t="s">
        <v>35</v>
      </c>
      <c r="E2517" s="13"/>
      <c r="F2517" s="109"/>
      <c r="G2517" s="504"/>
      <c r="H2517" s="504"/>
      <c r="I2517" s="504"/>
      <c r="J2517" s="504"/>
      <c r="K2517" s="504"/>
      <c r="L2517" s="504"/>
      <c r="M2517" s="504"/>
      <c r="N2517" s="504"/>
      <c r="O2517" s="110"/>
      <c r="P2517" s="109"/>
      <c r="Q2517" s="504"/>
      <c r="R2517" s="107"/>
      <c r="S2517" s="503"/>
      <c r="V2517" s="528"/>
    </row>
    <row r="2518" spans="1:22" ht="9.75" customHeight="1">
      <c r="A2518" s="503"/>
      <c r="B2518" s="503"/>
      <c r="C2518" s="13"/>
      <c r="D2518" s="13" t="s">
        <v>36</v>
      </c>
      <c r="E2518" s="13"/>
      <c r="F2518" s="109"/>
      <c r="G2518" s="504"/>
      <c r="H2518" s="504"/>
      <c r="I2518" s="504"/>
      <c r="J2518" s="504"/>
      <c r="K2518" s="504"/>
      <c r="L2518" s="504"/>
      <c r="M2518" s="504"/>
      <c r="N2518" s="504"/>
      <c r="O2518" s="110"/>
      <c r="P2518" s="109"/>
      <c r="Q2518" s="504"/>
      <c r="R2518" s="107"/>
      <c r="S2518" s="503"/>
      <c r="V2518" s="528"/>
    </row>
    <row r="2519" spans="1:22" ht="9.75" customHeight="1">
      <c r="A2519" s="503"/>
      <c r="B2519" s="503"/>
      <c r="C2519" s="13"/>
      <c r="D2519" s="13" t="s">
        <v>37</v>
      </c>
      <c r="E2519" s="13"/>
      <c r="F2519" s="109"/>
      <c r="G2519" s="504"/>
      <c r="H2519" s="504"/>
      <c r="I2519" s="504"/>
      <c r="J2519" s="504"/>
      <c r="K2519" s="504"/>
      <c r="L2519" s="504"/>
      <c r="M2519" s="504"/>
      <c r="N2519" s="504"/>
      <c r="O2519" s="110"/>
      <c r="P2519" s="109"/>
      <c r="Q2519" s="504"/>
      <c r="R2519" s="107"/>
      <c r="S2519" s="503"/>
      <c r="V2519" s="528"/>
    </row>
    <row r="2520" spans="1:22" ht="9.75" customHeight="1">
      <c r="A2520" s="503"/>
      <c r="B2520" s="503" t="s">
        <v>127</v>
      </c>
      <c r="C2520" s="2"/>
      <c r="D2520" s="21" t="s">
        <v>38</v>
      </c>
      <c r="E2520" s="21">
        <f t="shared" ref="E2520" si="484">SUM(E2504:E2519)</f>
        <v>121</v>
      </c>
      <c r="F2520" s="21">
        <f t="shared" ref="F2520:O2520" si="485">SUM(F2504:F2519)</f>
        <v>3</v>
      </c>
      <c r="G2520" s="71">
        <f t="shared" si="485"/>
        <v>3</v>
      </c>
      <c r="H2520" s="71">
        <f t="shared" si="485"/>
        <v>2</v>
      </c>
      <c r="I2520" s="71">
        <f t="shared" si="485"/>
        <v>1</v>
      </c>
      <c r="J2520" s="71">
        <f t="shared" si="485"/>
        <v>4</v>
      </c>
      <c r="K2520" s="71">
        <f t="shared" si="485"/>
        <v>4</v>
      </c>
      <c r="L2520" s="71">
        <f t="shared" si="485"/>
        <v>3</v>
      </c>
      <c r="M2520" s="71">
        <f t="shared" si="485"/>
        <v>4</v>
      </c>
      <c r="N2520" s="71">
        <f t="shared" si="485"/>
        <v>7</v>
      </c>
      <c r="O2520" s="26">
        <f t="shared" si="485"/>
        <v>12</v>
      </c>
      <c r="P2520" s="71">
        <f>MIN(F2520:O2520)</f>
        <v>1</v>
      </c>
      <c r="Q2520" s="71">
        <f>E2520-P2520</f>
        <v>120</v>
      </c>
      <c r="R2520" s="7">
        <f>Q2520/E2520</f>
        <v>0.99173553719008267</v>
      </c>
      <c r="S2520" s="503"/>
      <c r="V2520" s="528"/>
    </row>
    <row r="2521" spans="1:22" ht="9.75" customHeight="1">
      <c r="A2521" s="503"/>
      <c r="B2521" s="503"/>
      <c r="C2521" s="43" t="s">
        <v>381</v>
      </c>
      <c r="D2521" s="43" t="s">
        <v>23</v>
      </c>
      <c r="E2521" s="13"/>
      <c r="F2521" s="109"/>
      <c r="G2521" s="504"/>
      <c r="H2521" s="504"/>
      <c r="I2521" s="504"/>
      <c r="J2521" s="504"/>
      <c r="K2521" s="504"/>
      <c r="L2521" s="504"/>
      <c r="M2521" s="504"/>
      <c r="N2521" s="504"/>
      <c r="O2521" s="110"/>
      <c r="P2521" s="109"/>
      <c r="Q2521" s="504"/>
      <c r="R2521" s="107"/>
      <c r="S2521" s="503"/>
      <c r="V2521" s="528"/>
    </row>
    <row r="2522" spans="1:22" ht="9.75" customHeight="1">
      <c r="A2522" s="503"/>
      <c r="B2522" s="503"/>
      <c r="C2522" s="13"/>
      <c r="D2522" s="13" t="s">
        <v>25</v>
      </c>
      <c r="E2522" s="13"/>
      <c r="F2522" s="109"/>
      <c r="G2522" s="504"/>
      <c r="H2522" s="504"/>
      <c r="I2522" s="504"/>
      <c r="J2522" s="504"/>
      <c r="K2522" s="504"/>
      <c r="L2522" s="504"/>
      <c r="M2522" s="504"/>
      <c r="N2522" s="504"/>
      <c r="O2522" s="110"/>
      <c r="P2522" s="109"/>
      <c r="Q2522" s="504"/>
      <c r="R2522" s="107"/>
      <c r="S2522" s="503"/>
      <c r="V2522" s="528"/>
    </row>
    <row r="2523" spans="1:22" ht="9.75" customHeight="1">
      <c r="A2523" s="503"/>
      <c r="B2523" s="503"/>
      <c r="C2523" s="13"/>
      <c r="D2523" s="13" t="s">
        <v>27</v>
      </c>
      <c r="E2523" s="13"/>
      <c r="F2523" s="109"/>
      <c r="G2523" s="504"/>
      <c r="H2523" s="504"/>
      <c r="I2523" s="504"/>
      <c r="J2523" s="504"/>
      <c r="K2523" s="504"/>
      <c r="L2523" s="504"/>
      <c r="M2523" s="504"/>
      <c r="N2523" s="504"/>
      <c r="O2523" s="110"/>
      <c r="P2523" s="109"/>
      <c r="Q2523" s="504"/>
      <c r="R2523" s="107"/>
      <c r="S2523" s="503"/>
      <c r="V2523" s="528"/>
    </row>
    <row r="2524" spans="1:22" ht="9.75" customHeight="1">
      <c r="A2524" s="503"/>
      <c r="B2524" s="503"/>
      <c r="C2524" s="13"/>
      <c r="D2524" s="13" t="s">
        <v>115</v>
      </c>
      <c r="E2524" s="13"/>
      <c r="F2524" s="109"/>
      <c r="G2524" s="504"/>
      <c r="H2524" s="504"/>
      <c r="I2524" s="504"/>
      <c r="J2524" s="504"/>
      <c r="K2524" s="504"/>
      <c r="L2524" s="504"/>
      <c r="M2524" s="504"/>
      <c r="N2524" s="504"/>
      <c r="O2524" s="110"/>
      <c r="P2524" s="109"/>
      <c r="Q2524" s="504"/>
      <c r="R2524" s="107"/>
      <c r="S2524" s="503"/>
      <c r="V2524" s="528"/>
    </row>
    <row r="2525" spans="1:22" ht="9.75" customHeight="1">
      <c r="A2525" s="503"/>
      <c r="B2525" s="503"/>
      <c r="C2525" s="13"/>
      <c r="D2525" s="13" t="s">
        <v>115</v>
      </c>
      <c r="E2525" s="13"/>
      <c r="F2525" s="109"/>
      <c r="G2525" s="504"/>
      <c r="H2525" s="504"/>
      <c r="I2525" s="504"/>
      <c r="J2525" s="504"/>
      <c r="K2525" s="504"/>
      <c r="L2525" s="504"/>
      <c r="M2525" s="504"/>
      <c r="N2525" s="504"/>
      <c r="O2525" s="110"/>
      <c r="P2525" s="109"/>
      <c r="Q2525" s="504"/>
      <c r="R2525" s="107"/>
      <c r="S2525" s="503"/>
      <c r="V2525" s="528"/>
    </row>
    <row r="2526" spans="1:22" ht="9.75" customHeight="1">
      <c r="A2526" s="503"/>
      <c r="B2526" s="503"/>
      <c r="C2526" s="13"/>
      <c r="D2526" s="13" t="s">
        <v>32</v>
      </c>
      <c r="E2526" s="13">
        <v>1</v>
      </c>
      <c r="F2526" s="109">
        <v>1</v>
      </c>
      <c r="G2526" s="504">
        <v>0</v>
      </c>
      <c r="H2526" s="504">
        <v>0</v>
      </c>
      <c r="I2526" s="504">
        <v>0</v>
      </c>
      <c r="J2526" s="504">
        <v>0</v>
      </c>
      <c r="K2526" s="504">
        <v>0</v>
      </c>
      <c r="L2526" s="504">
        <v>0</v>
      </c>
      <c r="M2526" s="504">
        <v>0</v>
      </c>
      <c r="N2526" s="504">
        <v>1</v>
      </c>
      <c r="O2526" s="110">
        <v>0</v>
      </c>
      <c r="P2526" s="109">
        <f t="shared" ref="P2526:P2527" si="486">MIN(F2526:O2526)</f>
        <v>0</v>
      </c>
      <c r="Q2526" s="504">
        <f t="shared" ref="Q2526:Q2527" si="487">E2526-P2526</f>
        <v>1</v>
      </c>
      <c r="R2526" s="107">
        <f t="shared" ref="R2526:R2527" si="488">Q2526/E2526</f>
        <v>1</v>
      </c>
      <c r="S2526" s="503"/>
      <c r="V2526" s="528"/>
    </row>
    <row r="2527" spans="1:22" ht="9.75" customHeight="1">
      <c r="A2527" s="503"/>
      <c r="B2527" s="503"/>
      <c r="C2527" s="13"/>
      <c r="D2527" s="13" t="s">
        <v>382</v>
      </c>
      <c r="E2527" s="13">
        <v>4</v>
      </c>
      <c r="F2527" s="109">
        <v>2</v>
      </c>
      <c r="G2527" s="504">
        <v>2</v>
      </c>
      <c r="H2527" s="504">
        <v>2</v>
      </c>
      <c r="I2527" s="504">
        <v>2</v>
      </c>
      <c r="J2527" s="504">
        <v>3</v>
      </c>
      <c r="K2527" s="504">
        <v>3</v>
      </c>
      <c r="L2527" s="504">
        <v>2</v>
      </c>
      <c r="M2527" s="504">
        <v>3</v>
      </c>
      <c r="N2527" s="504">
        <v>3</v>
      </c>
      <c r="O2527" s="110">
        <v>4</v>
      </c>
      <c r="P2527" s="109">
        <f t="shared" si="486"/>
        <v>2</v>
      </c>
      <c r="Q2527" s="504">
        <f t="shared" si="487"/>
        <v>2</v>
      </c>
      <c r="R2527" s="107">
        <f t="shared" si="488"/>
        <v>0.5</v>
      </c>
      <c r="S2527" s="503"/>
      <c r="V2527" s="528"/>
    </row>
    <row r="2528" spans="1:22" ht="9.75" customHeight="1">
      <c r="A2528" s="503"/>
      <c r="B2528" s="503"/>
      <c r="C2528" s="13"/>
      <c r="D2528" s="46" t="s">
        <v>378</v>
      </c>
      <c r="E2528" s="46">
        <v>24</v>
      </c>
      <c r="F2528" s="154"/>
      <c r="G2528" s="47"/>
      <c r="H2528" s="47"/>
      <c r="I2528" s="47" t="s">
        <v>379</v>
      </c>
      <c r="J2528" s="47"/>
      <c r="K2528" s="47"/>
      <c r="L2528" s="47"/>
      <c r="M2528" s="47"/>
      <c r="N2528" s="47"/>
      <c r="O2528" s="155"/>
      <c r="P2528" s="154"/>
      <c r="Q2528" s="47"/>
      <c r="R2528" s="156"/>
      <c r="S2528" s="503"/>
      <c r="V2528" s="528"/>
    </row>
    <row r="2529" spans="1:22" ht="9.75" customHeight="1">
      <c r="A2529" s="503"/>
      <c r="B2529" s="503"/>
      <c r="C2529" s="13"/>
      <c r="D2529" s="13" t="s">
        <v>120</v>
      </c>
      <c r="E2529" s="13"/>
      <c r="F2529" s="109"/>
      <c r="G2529" s="504"/>
      <c r="H2529" s="504"/>
      <c r="I2529" s="504"/>
      <c r="J2529" s="504"/>
      <c r="K2529" s="504"/>
      <c r="L2529" s="504"/>
      <c r="M2529" s="504"/>
      <c r="N2529" s="504"/>
      <c r="O2529" s="110"/>
      <c r="P2529" s="109"/>
      <c r="Q2529" s="504"/>
      <c r="R2529" s="107"/>
      <c r="S2529" s="503"/>
      <c r="V2529" s="528"/>
    </row>
    <row r="2530" spans="1:22" ht="9.75" customHeight="1">
      <c r="A2530" s="503"/>
      <c r="B2530" s="503"/>
      <c r="C2530" s="13"/>
      <c r="D2530" s="13" t="s">
        <v>120</v>
      </c>
      <c r="E2530" s="13"/>
      <c r="F2530" s="109"/>
      <c r="G2530" s="504"/>
      <c r="H2530" s="504"/>
      <c r="I2530" s="504"/>
      <c r="J2530" s="504"/>
      <c r="K2530" s="504"/>
      <c r="L2530" s="504"/>
      <c r="M2530" s="504"/>
      <c r="N2530" s="504"/>
      <c r="O2530" s="110"/>
      <c r="P2530" s="109"/>
      <c r="Q2530" s="504"/>
      <c r="R2530" s="107"/>
      <c r="S2530" s="503"/>
      <c r="V2530" s="528"/>
    </row>
    <row r="2531" spans="1:22" ht="9.75" customHeight="1">
      <c r="A2531" s="503"/>
      <c r="B2531" s="503"/>
      <c r="C2531" s="13"/>
      <c r="D2531" s="13" t="s">
        <v>120</v>
      </c>
      <c r="E2531" s="13"/>
      <c r="F2531" s="109"/>
      <c r="G2531" s="504"/>
      <c r="H2531" s="504"/>
      <c r="I2531" s="504"/>
      <c r="J2531" s="504"/>
      <c r="K2531" s="504"/>
      <c r="L2531" s="504"/>
      <c r="M2531" s="504"/>
      <c r="N2531" s="504"/>
      <c r="O2531" s="110"/>
      <c r="P2531" s="109"/>
      <c r="Q2531" s="504"/>
      <c r="R2531" s="107"/>
      <c r="S2531" s="503"/>
      <c r="V2531" s="528"/>
    </row>
    <row r="2532" spans="1:22" ht="9.75" customHeight="1">
      <c r="A2532" s="503"/>
      <c r="B2532" s="503"/>
      <c r="C2532" s="13"/>
      <c r="D2532" s="13" t="s">
        <v>120</v>
      </c>
      <c r="E2532" s="13"/>
      <c r="F2532" s="109"/>
      <c r="G2532" s="504"/>
      <c r="H2532" s="504"/>
      <c r="I2532" s="504"/>
      <c r="J2532" s="504"/>
      <c r="K2532" s="504"/>
      <c r="L2532" s="504"/>
      <c r="M2532" s="504"/>
      <c r="N2532" s="504"/>
      <c r="O2532" s="110"/>
      <c r="P2532" s="109"/>
      <c r="Q2532" s="504"/>
      <c r="R2532" s="107"/>
      <c r="S2532" s="503"/>
      <c r="V2532" s="528"/>
    </row>
    <row r="2533" spans="1:22" ht="9.75" customHeight="1">
      <c r="A2533" s="503"/>
      <c r="B2533" s="503"/>
      <c r="C2533" s="13"/>
      <c r="D2533" s="13" t="s">
        <v>34</v>
      </c>
      <c r="E2533" s="13">
        <v>2</v>
      </c>
      <c r="F2533" s="109">
        <v>0</v>
      </c>
      <c r="G2533" s="504">
        <v>0</v>
      </c>
      <c r="H2533" s="504">
        <v>1</v>
      </c>
      <c r="I2533" s="504">
        <v>0</v>
      </c>
      <c r="J2533" s="504">
        <v>0</v>
      </c>
      <c r="K2533" s="504">
        <v>1</v>
      </c>
      <c r="L2533" s="504">
        <v>0</v>
      </c>
      <c r="M2533" s="504">
        <v>1</v>
      </c>
      <c r="N2533" s="504">
        <v>1</v>
      </c>
      <c r="O2533" s="110">
        <v>1</v>
      </c>
      <c r="P2533" s="109">
        <f>MIN(F2533:O2533)</f>
        <v>0</v>
      </c>
      <c r="Q2533" s="504">
        <f>E2533-P2533</f>
        <v>2</v>
      </c>
      <c r="R2533" s="107">
        <f>Q2533/E2533</f>
        <v>1</v>
      </c>
      <c r="S2533" s="503"/>
      <c r="V2533" s="528"/>
    </row>
    <row r="2534" spans="1:22" ht="9.75" customHeight="1">
      <c r="A2534" s="503"/>
      <c r="B2534" s="503"/>
      <c r="C2534" s="13"/>
      <c r="D2534" s="13" t="s">
        <v>35</v>
      </c>
      <c r="E2534" s="13"/>
      <c r="F2534" s="109"/>
      <c r="G2534" s="504"/>
      <c r="H2534" s="504"/>
      <c r="I2534" s="504"/>
      <c r="J2534" s="504"/>
      <c r="K2534" s="504"/>
      <c r="L2534" s="504"/>
      <c r="M2534" s="504"/>
      <c r="N2534" s="504"/>
      <c r="O2534" s="110"/>
      <c r="P2534" s="109"/>
      <c r="Q2534" s="504"/>
      <c r="R2534" s="107"/>
      <c r="S2534" s="503"/>
      <c r="V2534" s="528"/>
    </row>
    <row r="2535" spans="1:22" ht="9.75" customHeight="1">
      <c r="A2535" s="503"/>
      <c r="B2535" s="503"/>
      <c r="C2535" s="13"/>
      <c r="D2535" s="13" t="s">
        <v>36</v>
      </c>
      <c r="E2535" s="13"/>
      <c r="F2535" s="109"/>
      <c r="G2535" s="504"/>
      <c r="H2535" s="504"/>
      <c r="I2535" s="504"/>
      <c r="J2535" s="504"/>
      <c r="K2535" s="504"/>
      <c r="L2535" s="504"/>
      <c r="M2535" s="504"/>
      <c r="N2535" s="504"/>
      <c r="O2535" s="110"/>
      <c r="P2535" s="109"/>
      <c r="Q2535" s="504"/>
      <c r="R2535" s="107"/>
      <c r="S2535" s="503"/>
      <c r="V2535" s="528"/>
    </row>
    <row r="2536" spans="1:22" ht="9.75" customHeight="1">
      <c r="A2536" s="503"/>
      <c r="B2536" s="503"/>
      <c r="C2536" s="13"/>
      <c r="D2536" s="13" t="s">
        <v>37</v>
      </c>
      <c r="E2536" s="13"/>
      <c r="F2536" s="109"/>
      <c r="G2536" s="504"/>
      <c r="H2536" s="504"/>
      <c r="I2536" s="504"/>
      <c r="J2536" s="504"/>
      <c r="K2536" s="504"/>
      <c r="L2536" s="504"/>
      <c r="M2536" s="504"/>
      <c r="N2536" s="504"/>
      <c r="O2536" s="110"/>
      <c r="P2536" s="109"/>
      <c r="Q2536" s="504"/>
      <c r="R2536" s="107"/>
      <c r="S2536" s="503"/>
      <c r="V2536" s="528"/>
    </row>
    <row r="2537" spans="1:22" ht="9.75" customHeight="1">
      <c r="A2537" s="503"/>
      <c r="B2537" s="503" t="s">
        <v>127</v>
      </c>
      <c r="C2537" s="2"/>
      <c r="D2537" s="21" t="s">
        <v>38</v>
      </c>
      <c r="E2537" s="21">
        <f t="shared" ref="E2537:O2537" si="489">SUM(E2521:E2536)</f>
        <v>31</v>
      </c>
      <c r="F2537" s="21">
        <f t="shared" si="489"/>
        <v>3</v>
      </c>
      <c r="G2537" s="71">
        <f t="shared" si="489"/>
        <v>2</v>
      </c>
      <c r="H2537" s="71">
        <f t="shared" si="489"/>
        <v>3</v>
      </c>
      <c r="I2537" s="71">
        <f t="shared" si="489"/>
        <v>2</v>
      </c>
      <c r="J2537" s="71">
        <f t="shared" si="489"/>
        <v>3</v>
      </c>
      <c r="K2537" s="71">
        <f t="shared" si="489"/>
        <v>4</v>
      </c>
      <c r="L2537" s="71">
        <f t="shared" si="489"/>
        <v>2</v>
      </c>
      <c r="M2537" s="71">
        <f t="shared" si="489"/>
        <v>4</v>
      </c>
      <c r="N2537" s="71">
        <f t="shared" si="489"/>
        <v>5</v>
      </c>
      <c r="O2537" s="26">
        <f t="shared" si="489"/>
        <v>5</v>
      </c>
      <c r="P2537" s="71">
        <f>MIN(F2537:O2537)</f>
        <v>2</v>
      </c>
      <c r="Q2537" s="71">
        <f>E2537-P2537</f>
        <v>29</v>
      </c>
      <c r="R2537" s="7">
        <f>Q2537/E2537</f>
        <v>0.93548387096774188</v>
      </c>
      <c r="S2537" s="503"/>
      <c r="V2537" s="528"/>
    </row>
    <row r="2538" spans="1:22" ht="9.75" customHeight="1">
      <c r="A2538" s="503"/>
      <c r="B2538" s="503"/>
      <c r="C2538" s="43" t="s">
        <v>383</v>
      </c>
      <c r="D2538" s="43" t="s">
        <v>23</v>
      </c>
      <c r="E2538" s="13"/>
      <c r="F2538" s="109"/>
      <c r="G2538" s="504"/>
      <c r="H2538" s="504"/>
      <c r="I2538" s="504"/>
      <c r="J2538" s="504"/>
      <c r="K2538" s="504"/>
      <c r="L2538" s="504"/>
      <c r="M2538" s="504"/>
      <c r="N2538" s="504"/>
      <c r="O2538" s="110"/>
      <c r="P2538" s="109"/>
      <c r="Q2538" s="504"/>
      <c r="R2538" s="107"/>
      <c r="S2538" s="503"/>
      <c r="V2538" s="528"/>
    </row>
    <row r="2539" spans="1:22" ht="9.75" customHeight="1">
      <c r="A2539" s="503"/>
      <c r="B2539" s="503"/>
      <c r="C2539" s="13"/>
      <c r="D2539" s="13" t="s">
        <v>25</v>
      </c>
      <c r="E2539" s="13"/>
      <c r="F2539" s="109"/>
      <c r="G2539" s="504"/>
      <c r="H2539" s="504"/>
      <c r="I2539" s="504"/>
      <c r="J2539" s="504"/>
      <c r="K2539" s="504"/>
      <c r="L2539" s="504"/>
      <c r="M2539" s="504"/>
      <c r="N2539" s="504"/>
      <c r="O2539" s="110"/>
      <c r="P2539" s="109"/>
      <c r="Q2539" s="504"/>
      <c r="R2539" s="107"/>
      <c r="S2539" s="503"/>
      <c r="V2539" s="528"/>
    </row>
    <row r="2540" spans="1:22" ht="9.75" customHeight="1">
      <c r="A2540" s="503"/>
      <c r="B2540" s="503"/>
      <c r="C2540" s="13"/>
      <c r="D2540" s="13" t="s">
        <v>27</v>
      </c>
      <c r="E2540" s="13"/>
      <c r="F2540" s="109"/>
      <c r="G2540" s="504"/>
      <c r="H2540" s="504"/>
      <c r="I2540" s="504"/>
      <c r="J2540" s="504"/>
      <c r="K2540" s="504"/>
      <c r="L2540" s="504"/>
      <c r="M2540" s="504"/>
      <c r="N2540" s="504"/>
      <c r="O2540" s="110"/>
      <c r="P2540" s="109"/>
      <c r="Q2540" s="504"/>
      <c r="R2540" s="107"/>
      <c r="S2540" s="503"/>
      <c r="V2540" s="528"/>
    </row>
    <row r="2541" spans="1:22" ht="9.75" customHeight="1">
      <c r="A2541" s="503"/>
      <c r="B2541" s="503"/>
      <c r="C2541" s="13"/>
      <c r="D2541" s="13" t="s">
        <v>115</v>
      </c>
      <c r="E2541" s="13"/>
      <c r="F2541" s="109"/>
      <c r="G2541" s="504"/>
      <c r="H2541" s="504"/>
      <c r="I2541" s="504"/>
      <c r="J2541" s="504"/>
      <c r="K2541" s="504"/>
      <c r="L2541" s="504"/>
      <c r="M2541" s="504"/>
      <c r="N2541" s="504"/>
      <c r="O2541" s="110"/>
      <c r="P2541" s="109"/>
      <c r="Q2541" s="504"/>
      <c r="R2541" s="107"/>
      <c r="S2541" s="503"/>
      <c r="V2541" s="528"/>
    </row>
    <row r="2542" spans="1:22" ht="9.75" customHeight="1">
      <c r="A2542" s="503"/>
      <c r="B2542" s="503"/>
      <c r="C2542" s="13"/>
      <c r="D2542" s="13" t="s">
        <v>115</v>
      </c>
      <c r="E2542" s="13"/>
      <c r="F2542" s="109"/>
      <c r="G2542" s="504"/>
      <c r="H2542" s="504"/>
      <c r="I2542" s="504"/>
      <c r="J2542" s="504"/>
      <c r="K2542" s="504"/>
      <c r="L2542" s="504"/>
      <c r="M2542" s="504"/>
      <c r="N2542" s="504"/>
      <c r="O2542" s="110"/>
      <c r="P2542" s="109"/>
      <c r="Q2542" s="504"/>
      <c r="R2542" s="107"/>
      <c r="S2542" s="503"/>
      <c r="V2542" s="528"/>
    </row>
    <row r="2543" spans="1:22" ht="9.75" customHeight="1">
      <c r="A2543" s="503"/>
      <c r="B2543" s="503"/>
      <c r="C2543" s="13"/>
      <c r="D2543" s="13" t="s">
        <v>32</v>
      </c>
      <c r="E2543" s="109">
        <v>32</v>
      </c>
      <c r="F2543" s="121">
        <v>16</v>
      </c>
      <c r="G2543" s="11">
        <v>16</v>
      </c>
      <c r="H2543" s="11">
        <v>15</v>
      </c>
      <c r="I2543" s="11">
        <v>13</v>
      </c>
      <c r="J2543" s="11">
        <v>12</v>
      </c>
      <c r="K2543" s="11">
        <v>14</v>
      </c>
      <c r="L2543" s="11">
        <v>16</v>
      </c>
      <c r="M2543" s="11">
        <v>17</v>
      </c>
      <c r="N2543" s="11">
        <v>21</v>
      </c>
      <c r="O2543" s="136">
        <f>E2543-8</f>
        <v>24</v>
      </c>
      <c r="P2543" s="91">
        <f>MIN(F2543:O2543)</f>
        <v>12</v>
      </c>
      <c r="Q2543" s="91">
        <f>E2543-P2543</f>
        <v>20</v>
      </c>
      <c r="R2543" s="107">
        <f>Q2543/E2543</f>
        <v>0.625</v>
      </c>
      <c r="S2543" s="503"/>
      <c r="V2543" s="528"/>
    </row>
    <row r="2544" spans="1:22" ht="9.75" customHeight="1">
      <c r="A2544" s="503"/>
      <c r="B2544" s="503"/>
      <c r="C2544" s="13"/>
      <c r="D2544" s="13" t="s">
        <v>191</v>
      </c>
      <c r="E2544" s="13"/>
      <c r="F2544" s="109"/>
      <c r="G2544" s="504"/>
      <c r="H2544" s="504"/>
      <c r="I2544" s="504"/>
      <c r="J2544" s="504"/>
      <c r="K2544" s="504"/>
      <c r="L2544" s="504"/>
      <c r="M2544" s="504"/>
      <c r="N2544" s="504"/>
      <c r="O2544" s="110"/>
      <c r="P2544" s="109"/>
      <c r="Q2544" s="504"/>
      <c r="R2544" s="107"/>
      <c r="S2544" s="503"/>
      <c r="V2544" s="528"/>
    </row>
    <row r="2545" spans="1:22" ht="9.75" customHeight="1">
      <c r="A2545" s="503"/>
      <c r="B2545" s="503"/>
      <c r="C2545" s="13"/>
      <c r="D2545" s="13" t="s">
        <v>120</v>
      </c>
      <c r="E2545" s="13"/>
      <c r="F2545" s="109"/>
      <c r="G2545" s="504"/>
      <c r="H2545" s="504"/>
      <c r="I2545" s="504"/>
      <c r="J2545" s="504"/>
      <c r="K2545" s="504"/>
      <c r="L2545" s="504"/>
      <c r="M2545" s="504"/>
      <c r="N2545" s="504"/>
      <c r="O2545" s="110"/>
      <c r="P2545" s="109"/>
      <c r="Q2545" s="504"/>
      <c r="R2545" s="107"/>
      <c r="S2545" s="503"/>
      <c r="V2545" s="528"/>
    </row>
    <row r="2546" spans="1:22" ht="9.75" customHeight="1">
      <c r="A2546" s="503"/>
      <c r="B2546" s="503"/>
      <c r="C2546" s="13"/>
      <c r="D2546" s="13" t="s">
        <v>191</v>
      </c>
      <c r="E2546" s="13"/>
      <c r="F2546" s="109"/>
      <c r="G2546" s="504"/>
      <c r="H2546" s="504"/>
      <c r="I2546" s="504"/>
      <c r="J2546" s="504"/>
      <c r="K2546" s="504"/>
      <c r="L2546" s="504"/>
      <c r="M2546" s="504"/>
      <c r="N2546" s="504"/>
      <c r="O2546" s="110"/>
      <c r="P2546" s="109"/>
      <c r="Q2546" s="504"/>
      <c r="R2546" s="107"/>
      <c r="S2546" s="503"/>
      <c r="V2546" s="528"/>
    </row>
    <row r="2547" spans="1:22" ht="9.75" customHeight="1">
      <c r="A2547" s="503"/>
      <c r="B2547" s="503"/>
      <c r="C2547" s="13"/>
      <c r="D2547" s="13" t="s">
        <v>120</v>
      </c>
      <c r="E2547" s="13"/>
      <c r="F2547" s="109"/>
      <c r="G2547" s="504"/>
      <c r="H2547" s="504"/>
      <c r="I2547" s="504"/>
      <c r="J2547" s="504"/>
      <c r="K2547" s="504"/>
      <c r="L2547" s="504"/>
      <c r="M2547" s="504"/>
      <c r="N2547" s="504"/>
      <c r="O2547" s="110"/>
      <c r="P2547" s="109"/>
      <c r="Q2547" s="504"/>
      <c r="R2547" s="107"/>
      <c r="S2547" s="503"/>
      <c r="V2547" s="528"/>
    </row>
    <row r="2548" spans="1:22" ht="9.75" customHeight="1">
      <c r="A2548" s="503"/>
      <c r="B2548" s="503"/>
      <c r="C2548" s="13"/>
      <c r="D2548" s="13" t="s">
        <v>120</v>
      </c>
      <c r="E2548" s="13"/>
      <c r="F2548" s="109"/>
      <c r="G2548" s="504"/>
      <c r="H2548" s="504"/>
      <c r="I2548" s="504"/>
      <c r="J2548" s="504"/>
      <c r="K2548" s="504"/>
      <c r="L2548" s="504"/>
      <c r="M2548" s="504"/>
      <c r="N2548" s="504"/>
      <c r="O2548" s="110"/>
      <c r="P2548" s="109"/>
      <c r="Q2548" s="504"/>
      <c r="R2548" s="107"/>
      <c r="S2548" s="503"/>
      <c r="V2548" s="528"/>
    </row>
    <row r="2549" spans="1:22" ht="9.75" customHeight="1">
      <c r="A2549" s="503"/>
      <c r="B2549" s="503"/>
      <c r="C2549" s="13"/>
      <c r="D2549" s="13" t="s">
        <v>120</v>
      </c>
      <c r="E2549" s="13"/>
      <c r="F2549" s="109"/>
      <c r="G2549" s="504"/>
      <c r="H2549" s="504"/>
      <c r="I2549" s="504"/>
      <c r="J2549" s="504"/>
      <c r="K2549" s="504"/>
      <c r="L2549" s="504"/>
      <c r="M2549" s="504"/>
      <c r="N2549" s="504"/>
      <c r="O2549" s="110"/>
      <c r="P2549" s="109"/>
      <c r="Q2549" s="504"/>
      <c r="R2549" s="107"/>
      <c r="S2549" s="503"/>
      <c r="V2549" s="528"/>
    </row>
    <row r="2550" spans="1:22" ht="9.75" customHeight="1">
      <c r="A2550" s="503"/>
      <c r="B2550" s="503"/>
      <c r="C2550" s="13"/>
      <c r="D2550" s="13" t="s">
        <v>34</v>
      </c>
      <c r="E2550" s="13">
        <v>2</v>
      </c>
      <c r="F2550" s="109">
        <v>0</v>
      </c>
      <c r="G2550" s="504">
        <v>0</v>
      </c>
      <c r="H2550" s="504">
        <v>0</v>
      </c>
      <c r="I2550" s="504">
        <v>0</v>
      </c>
      <c r="J2550" s="504">
        <v>0</v>
      </c>
      <c r="K2550" s="504">
        <v>0</v>
      </c>
      <c r="L2550" s="504">
        <v>0</v>
      </c>
      <c r="M2550" s="504">
        <v>0</v>
      </c>
      <c r="N2550" s="504">
        <v>0</v>
      </c>
      <c r="O2550" s="110">
        <v>0</v>
      </c>
      <c r="P2550" s="109">
        <f>MIN(F2550:O2550)</f>
        <v>0</v>
      </c>
      <c r="Q2550" s="504">
        <f>E2550-P2550</f>
        <v>2</v>
      </c>
      <c r="R2550" s="107">
        <f>Q2550/E2550</f>
        <v>1</v>
      </c>
      <c r="S2550" s="503"/>
      <c r="V2550" s="528"/>
    </row>
    <row r="2551" spans="1:22" ht="9.75" customHeight="1">
      <c r="A2551" s="503"/>
      <c r="B2551" s="503"/>
      <c r="C2551" s="13"/>
      <c r="D2551" s="13" t="s">
        <v>35</v>
      </c>
      <c r="E2551" s="13"/>
      <c r="F2551" s="109"/>
      <c r="G2551" s="504"/>
      <c r="H2551" s="504"/>
      <c r="I2551" s="504"/>
      <c r="J2551" s="504"/>
      <c r="K2551" s="504"/>
      <c r="L2551" s="504"/>
      <c r="M2551" s="504"/>
      <c r="N2551" s="504"/>
      <c r="O2551" s="110"/>
      <c r="P2551" s="109"/>
      <c r="Q2551" s="504"/>
      <c r="R2551" s="107"/>
      <c r="S2551" s="503"/>
      <c r="V2551" s="528"/>
    </row>
    <row r="2552" spans="1:22" ht="9.75" customHeight="1">
      <c r="A2552" s="503"/>
      <c r="B2552" s="503"/>
      <c r="C2552" s="13"/>
      <c r="D2552" s="13" t="s">
        <v>36</v>
      </c>
      <c r="E2552" s="13"/>
      <c r="F2552" s="109"/>
      <c r="G2552" s="504"/>
      <c r="H2552" s="504"/>
      <c r="I2552" s="504"/>
      <c r="J2552" s="504"/>
      <c r="K2552" s="504"/>
      <c r="L2552" s="504"/>
      <c r="M2552" s="504"/>
      <c r="N2552" s="504"/>
      <c r="O2552" s="110"/>
      <c r="P2552" s="109"/>
      <c r="Q2552" s="504"/>
      <c r="R2552" s="107"/>
      <c r="S2552" s="503"/>
      <c r="V2552" s="528"/>
    </row>
    <row r="2553" spans="1:22" ht="9.75" customHeight="1">
      <c r="A2553" s="503"/>
      <c r="B2553" s="503"/>
      <c r="C2553" s="13"/>
      <c r="D2553" s="13" t="s">
        <v>37</v>
      </c>
      <c r="E2553" s="13"/>
      <c r="F2553" s="109"/>
      <c r="G2553" s="504"/>
      <c r="H2553" s="504"/>
      <c r="I2553" s="504"/>
      <c r="J2553" s="504"/>
      <c r="K2553" s="504"/>
      <c r="L2553" s="504"/>
      <c r="M2553" s="504"/>
      <c r="N2553" s="504"/>
      <c r="O2553" s="110"/>
      <c r="P2553" s="109"/>
      <c r="Q2553" s="504"/>
      <c r="R2553" s="107"/>
      <c r="S2553" s="503"/>
      <c r="V2553" s="528"/>
    </row>
    <row r="2554" spans="1:22" ht="9.75" customHeight="1">
      <c r="A2554" s="503"/>
      <c r="B2554" s="503" t="s">
        <v>127</v>
      </c>
      <c r="C2554" s="2"/>
      <c r="D2554" s="21" t="s">
        <v>38</v>
      </c>
      <c r="E2554" s="21">
        <f t="shared" ref="E2554" si="490">SUM(E2538:E2553)</f>
        <v>34</v>
      </c>
      <c r="F2554" s="21">
        <f t="shared" ref="F2554:O2554" si="491">SUM(F2538:F2553)</f>
        <v>16</v>
      </c>
      <c r="G2554" s="71">
        <f t="shared" si="491"/>
        <v>16</v>
      </c>
      <c r="H2554" s="71">
        <f t="shared" si="491"/>
        <v>15</v>
      </c>
      <c r="I2554" s="71">
        <f t="shared" si="491"/>
        <v>13</v>
      </c>
      <c r="J2554" s="71">
        <f t="shared" si="491"/>
        <v>12</v>
      </c>
      <c r="K2554" s="71">
        <f t="shared" si="491"/>
        <v>14</v>
      </c>
      <c r="L2554" s="71">
        <f t="shared" si="491"/>
        <v>16</v>
      </c>
      <c r="M2554" s="71">
        <f t="shared" si="491"/>
        <v>17</v>
      </c>
      <c r="N2554" s="71">
        <f t="shared" si="491"/>
        <v>21</v>
      </c>
      <c r="O2554" s="26">
        <f t="shared" si="491"/>
        <v>24</v>
      </c>
      <c r="P2554" s="71">
        <f>MIN(F2554:O2554)</f>
        <v>12</v>
      </c>
      <c r="Q2554" s="71">
        <f>E2554-P2554</f>
        <v>22</v>
      </c>
      <c r="R2554" s="7">
        <f>Q2554/E2554</f>
        <v>0.6470588235294118</v>
      </c>
      <c r="S2554" s="503"/>
      <c r="V2554" s="528"/>
    </row>
    <row r="2555" spans="1:22" ht="9.75" customHeight="1">
      <c r="A2555" s="503"/>
      <c r="B2555" s="503"/>
      <c r="C2555" s="43" t="s">
        <v>384</v>
      </c>
      <c r="D2555" s="43" t="s">
        <v>23</v>
      </c>
      <c r="E2555" s="13"/>
      <c r="F2555" s="109"/>
      <c r="G2555" s="504"/>
      <c r="H2555" s="504"/>
      <c r="I2555" s="504"/>
      <c r="J2555" s="504"/>
      <c r="K2555" s="504"/>
      <c r="L2555" s="504"/>
      <c r="M2555" s="504"/>
      <c r="N2555" s="504"/>
      <c r="O2555" s="110"/>
      <c r="P2555" s="109"/>
      <c r="Q2555" s="504"/>
      <c r="R2555" s="107"/>
      <c r="S2555" s="503"/>
      <c r="V2555" s="528"/>
    </row>
    <row r="2556" spans="1:22" ht="9.75" customHeight="1">
      <c r="A2556" s="503"/>
      <c r="B2556" s="503"/>
      <c r="C2556" s="13"/>
      <c r="D2556" s="13" t="s">
        <v>25</v>
      </c>
      <c r="E2556" s="13"/>
      <c r="F2556" s="109"/>
      <c r="G2556" s="504"/>
      <c r="H2556" s="504"/>
      <c r="I2556" s="504"/>
      <c r="J2556" s="504"/>
      <c r="K2556" s="504"/>
      <c r="L2556" s="504"/>
      <c r="M2556" s="504"/>
      <c r="N2556" s="504"/>
      <c r="O2556" s="110"/>
      <c r="P2556" s="109"/>
      <c r="Q2556" s="504"/>
      <c r="R2556" s="107"/>
      <c r="S2556" s="503"/>
      <c r="V2556" s="528"/>
    </row>
    <row r="2557" spans="1:22" ht="9.75" customHeight="1">
      <c r="A2557" s="503"/>
      <c r="B2557" s="503"/>
      <c r="C2557" s="13"/>
      <c r="D2557" s="13" t="s">
        <v>27</v>
      </c>
      <c r="E2557" s="13"/>
      <c r="F2557" s="109"/>
      <c r="G2557" s="504"/>
      <c r="H2557" s="504"/>
      <c r="I2557" s="504"/>
      <c r="J2557" s="504"/>
      <c r="K2557" s="504"/>
      <c r="L2557" s="504"/>
      <c r="M2557" s="504"/>
      <c r="N2557" s="504"/>
      <c r="O2557" s="110"/>
      <c r="P2557" s="109"/>
      <c r="Q2557" s="504"/>
      <c r="R2557" s="107"/>
      <c r="S2557" s="503"/>
      <c r="V2557" s="528"/>
    </row>
    <row r="2558" spans="1:22" ht="9.75" customHeight="1">
      <c r="A2558" s="503"/>
      <c r="B2558" s="503"/>
      <c r="C2558" s="13"/>
      <c r="D2558" s="13" t="s">
        <v>115</v>
      </c>
      <c r="E2558" s="13"/>
      <c r="F2558" s="109"/>
      <c r="G2558" s="504"/>
      <c r="H2558" s="504"/>
      <c r="I2558" s="504"/>
      <c r="J2558" s="504"/>
      <c r="K2558" s="504"/>
      <c r="L2558" s="504"/>
      <c r="M2558" s="504"/>
      <c r="N2558" s="504"/>
      <c r="O2558" s="110"/>
      <c r="P2558" s="109"/>
      <c r="Q2558" s="504"/>
      <c r="R2558" s="107"/>
      <c r="S2558" s="503"/>
      <c r="V2558" s="528"/>
    </row>
    <row r="2559" spans="1:22" ht="9.75" customHeight="1">
      <c r="A2559" s="503"/>
      <c r="B2559" s="503"/>
      <c r="C2559" s="13"/>
      <c r="D2559" s="13" t="s">
        <v>115</v>
      </c>
      <c r="E2559" s="13"/>
      <c r="F2559" s="109"/>
      <c r="G2559" s="504"/>
      <c r="H2559" s="504"/>
      <c r="I2559" s="504"/>
      <c r="J2559" s="504"/>
      <c r="K2559" s="504"/>
      <c r="L2559" s="504"/>
      <c r="M2559" s="504"/>
      <c r="N2559" s="504"/>
      <c r="O2559" s="110"/>
      <c r="P2559" s="109"/>
      <c r="Q2559" s="504"/>
      <c r="R2559" s="107"/>
      <c r="S2559" s="503"/>
      <c r="V2559" s="528"/>
    </row>
    <row r="2560" spans="1:22" ht="9.75" customHeight="1">
      <c r="A2560" s="503"/>
      <c r="B2560" s="503"/>
      <c r="C2560" s="13"/>
      <c r="D2560" s="13" t="s">
        <v>32</v>
      </c>
      <c r="E2560" s="13">
        <v>7</v>
      </c>
      <c r="F2560" s="109">
        <v>6</v>
      </c>
      <c r="G2560" s="504">
        <v>4</v>
      </c>
      <c r="H2560" s="504">
        <v>5</v>
      </c>
      <c r="I2560" s="504">
        <v>4</v>
      </c>
      <c r="J2560" s="504">
        <v>3</v>
      </c>
      <c r="K2560" s="504">
        <v>4</v>
      </c>
      <c r="L2560" s="504">
        <v>4</v>
      </c>
      <c r="M2560" s="504">
        <v>6</v>
      </c>
      <c r="N2560" s="504">
        <v>5</v>
      </c>
      <c r="O2560" s="110">
        <v>6</v>
      </c>
      <c r="P2560" s="109">
        <f>MIN(F2560:O2560)</f>
        <v>3</v>
      </c>
      <c r="Q2560" s="504">
        <f>E2560-P2560</f>
        <v>4</v>
      </c>
      <c r="R2560" s="107">
        <f>Q2560/E2560</f>
        <v>0.5714285714285714</v>
      </c>
      <c r="S2560" s="503"/>
      <c r="V2560" s="528"/>
    </row>
    <row r="2561" spans="1:22" ht="9.75" customHeight="1">
      <c r="A2561" s="503"/>
      <c r="B2561" s="503"/>
      <c r="C2561" s="13"/>
      <c r="D2561" s="13" t="s">
        <v>120</v>
      </c>
      <c r="E2561" s="13"/>
      <c r="F2561" s="109"/>
      <c r="G2561" s="504"/>
      <c r="H2561" s="504"/>
      <c r="I2561" s="504"/>
      <c r="J2561" s="504"/>
      <c r="K2561" s="504"/>
      <c r="L2561" s="504"/>
      <c r="M2561" s="504"/>
      <c r="N2561" s="504"/>
      <c r="O2561" s="110"/>
      <c r="P2561" s="109"/>
      <c r="Q2561" s="504"/>
      <c r="R2561" s="107"/>
      <c r="S2561" s="503"/>
      <c r="V2561" s="528"/>
    </row>
    <row r="2562" spans="1:22" ht="9.75" customHeight="1">
      <c r="A2562" s="503"/>
      <c r="B2562" s="503"/>
      <c r="C2562" s="13"/>
      <c r="D2562" s="13" t="s">
        <v>120</v>
      </c>
      <c r="E2562" s="13"/>
      <c r="F2562" s="109"/>
      <c r="G2562" s="504"/>
      <c r="H2562" s="504"/>
      <c r="I2562" s="504"/>
      <c r="J2562" s="504"/>
      <c r="K2562" s="504"/>
      <c r="L2562" s="504"/>
      <c r="M2562" s="504"/>
      <c r="N2562" s="504"/>
      <c r="O2562" s="110"/>
      <c r="P2562" s="109"/>
      <c r="Q2562" s="504"/>
      <c r="R2562" s="107"/>
      <c r="S2562" s="503"/>
      <c r="V2562" s="528"/>
    </row>
    <row r="2563" spans="1:22" ht="9.75" customHeight="1">
      <c r="A2563" s="503"/>
      <c r="B2563" s="503"/>
      <c r="C2563" s="13"/>
      <c r="D2563" s="13" t="s">
        <v>120</v>
      </c>
      <c r="E2563" s="13"/>
      <c r="F2563" s="109"/>
      <c r="G2563" s="504"/>
      <c r="H2563" s="504"/>
      <c r="I2563" s="504"/>
      <c r="J2563" s="504"/>
      <c r="K2563" s="504"/>
      <c r="L2563" s="504"/>
      <c r="M2563" s="504"/>
      <c r="N2563" s="504"/>
      <c r="O2563" s="110"/>
      <c r="P2563" s="109"/>
      <c r="Q2563" s="504"/>
      <c r="R2563" s="107"/>
      <c r="S2563" s="503"/>
      <c r="V2563" s="528"/>
    </row>
    <row r="2564" spans="1:22" ht="9.75" customHeight="1">
      <c r="A2564" s="503"/>
      <c r="B2564" s="503"/>
      <c r="C2564" s="13"/>
      <c r="D2564" s="13" t="s">
        <v>120</v>
      </c>
      <c r="E2564" s="13"/>
      <c r="F2564" s="109"/>
      <c r="G2564" s="504"/>
      <c r="H2564" s="504"/>
      <c r="I2564" s="504"/>
      <c r="J2564" s="504"/>
      <c r="K2564" s="504"/>
      <c r="L2564" s="504"/>
      <c r="M2564" s="504"/>
      <c r="N2564" s="504"/>
      <c r="O2564" s="110"/>
      <c r="P2564" s="109"/>
      <c r="Q2564" s="504"/>
      <c r="R2564" s="107"/>
      <c r="S2564" s="503"/>
      <c r="V2564" s="528"/>
    </row>
    <row r="2565" spans="1:22" ht="9.75" customHeight="1">
      <c r="A2565" s="503"/>
      <c r="B2565" s="503"/>
      <c r="C2565" s="13"/>
      <c r="D2565" s="13" t="s">
        <v>120</v>
      </c>
      <c r="E2565" s="13"/>
      <c r="F2565" s="109"/>
      <c r="G2565" s="504"/>
      <c r="H2565" s="504"/>
      <c r="I2565" s="504"/>
      <c r="J2565" s="504"/>
      <c r="K2565" s="504"/>
      <c r="L2565" s="504"/>
      <c r="M2565" s="504"/>
      <c r="N2565" s="504"/>
      <c r="O2565" s="110"/>
      <c r="P2565" s="109"/>
      <c r="Q2565" s="504"/>
      <c r="R2565" s="107"/>
      <c r="S2565" s="503"/>
      <c r="V2565" s="528"/>
    </row>
    <row r="2566" spans="1:22" ht="9.75" customHeight="1">
      <c r="A2566" s="503"/>
      <c r="B2566" s="503"/>
      <c r="C2566" s="13"/>
      <c r="D2566" s="13" t="s">
        <v>120</v>
      </c>
      <c r="E2566" s="13"/>
      <c r="F2566" s="109"/>
      <c r="G2566" s="504"/>
      <c r="H2566" s="504"/>
      <c r="I2566" s="504"/>
      <c r="J2566" s="504"/>
      <c r="K2566" s="504"/>
      <c r="L2566" s="504"/>
      <c r="M2566" s="504"/>
      <c r="N2566" s="504"/>
      <c r="O2566" s="110"/>
      <c r="P2566" s="109"/>
      <c r="Q2566" s="504"/>
      <c r="R2566" s="107"/>
      <c r="S2566" s="503"/>
      <c r="V2566" s="528"/>
    </row>
    <row r="2567" spans="1:22" ht="9.75" customHeight="1">
      <c r="A2567" s="503"/>
      <c r="B2567" s="503"/>
      <c r="C2567" s="13"/>
      <c r="D2567" s="13" t="s">
        <v>34</v>
      </c>
      <c r="E2567" s="13"/>
      <c r="F2567" s="109"/>
      <c r="G2567" s="504"/>
      <c r="H2567" s="504"/>
      <c r="I2567" s="504"/>
      <c r="J2567" s="504"/>
      <c r="K2567" s="504"/>
      <c r="L2567" s="504"/>
      <c r="M2567" s="504"/>
      <c r="N2567" s="504"/>
      <c r="O2567" s="110"/>
      <c r="P2567" s="109"/>
      <c r="Q2567" s="504"/>
      <c r="R2567" s="107"/>
      <c r="S2567" s="503"/>
      <c r="V2567" s="528"/>
    </row>
    <row r="2568" spans="1:22" ht="9.75" customHeight="1">
      <c r="A2568" s="503"/>
      <c r="B2568" s="503"/>
      <c r="C2568" s="13"/>
      <c r="D2568" s="13" t="s">
        <v>35</v>
      </c>
      <c r="E2568" s="13">
        <v>2</v>
      </c>
      <c r="F2568" s="109">
        <v>0</v>
      </c>
      <c r="G2568" s="504">
        <v>0</v>
      </c>
      <c r="H2568" s="504">
        <v>0</v>
      </c>
      <c r="I2568" s="504">
        <v>0</v>
      </c>
      <c r="J2568" s="504">
        <v>0</v>
      </c>
      <c r="K2568" s="504">
        <v>0</v>
      </c>
      <c r="L2568" s="504">
        <v>0</v>
      </c>
      <c r="M2568" s="504">
        <v>0</v>
      </c>
      <c r="N2568" s="504">
        <v>0</v>
      </c>
      <c r="O2568" s="110">
        <v>0</v>
      </c>
      <c r="P2568" s="109">
        <f>MIN(F2568:O2568)</f>
        <v>0</v>
      </c>
      <c r="Q2568" s="504">
        <f>E2568-P2568</f>
        <v>2</v>
      </c>
      <c r="R2568" s="107">
        <f>Q2568/E2568</f>
        <v>1</v>
      </c>
      <c r="S2568" s="503"/>
      <c r="V2568" s="528"/>
    </row>
    <row r="2569" spans="1:22" ht="9.75" customHeight="1">
      <c r="A2569" s="503"/>
      <c r="B2569" s="503"/>
      <c r="C2569" s="13"/>
      <c r="D2569" s="13" t="s">
        <v>36</v>
      </c>
      <c r="E2569" s="13"/>
      <c r="F2569" s="109"/>
      <c r="G2569" s="504"/>
      <c r="H2569" s="504"/>
      <c r="I2569" s="504"/>
      <c r="J2569" s="504"/>
      <c r="K2569" s="504"/>
      <c r="L2569" s="504"/>
      <c r="M2569" s="504"/>
      <c r="N2569" s="504"/>
      <c r="O2569" s="110"/>
      <c r="P2569" s="109"/>
      <c r="Q2569" s="504"/>
      <c r="R2569" s="107"/>
      <c r="S2569" s="503"/>
      <c r="V2569" s="528"/>
    </row>
    <row r="2570" spans="1:22" ht="9.75" customHeight="1">
      <c r="A2570" s="503"/>
      <c r="B2570" s="503"/>
      <c r="C2570" s="13"/>
      <c r="D2570" s="13" t="s">
        <v>37</v>
      </c>
      <c r="E2570" s="13">
        <v>4</v>
      </c>
      <c r="F2570" s="109">
        <v>4</v>
      </c>
      <c r="G2570" s="504">
        <v>2</v>
      </c>
      <c r="H2570" s="504">
        <v>1</v>
      </c>
      <c r="I2570" s="504">
        <v>0</v>
      </c>
      <c r="J2570" s="504">
        <v>1</v>
      </c>
      <c r="K2570" s="504">
        <v>2</v>
      </c>
      <c r="L2570" s="504">
        <v>3</v>
      </c>
      <c r="M2570" s="504">
        <v>2</v>
      </c>
      <c r="N2570" s="504">
        <v>1</v>
      </c>
      <c r="O2570" s="110">
        <v>4</v>
      </c>
      <c r="P2570" s="109">
        <f t="shared" ref="P2570:P2571" si="492">MIN(F2570:O2570)</f>
        <v>0</v>
      </c>
      <c r="Q2570" s="504">
        <f t="shared" ref="Q2570:Q2571" si="493">E2570-P2570</f>
        <v>4</v>
      </c>
      <c r="R2570" s="107">
        <f t="shared" ref="R2570:R2571" si="494">Q2570/E2570</f>
        <v>1</v>
      </c>
      <c r="S2570" s="503"/>
      <c r="V2570" s="528"/>
    </row>
    <row r="2571" spans="1:22" ht="9.75" customHeight="1">
      <c r="A2571" s="503"/>
      <c r="B2571" s="503" t="s">
        <v>127</v>
      </c>
      <c r="C2571" s="2"/>
      <c r="D2571" s="21" t="s">
        <v>38</v>
      </c>
      <c r="E2571" s="21">
        <f t="shared" ref="E2571" si="495">SUM(E2555:E2570)</f>
        <v>13</v>
      </c>
      <c r="F2571" s="21">
        <f t="shared" ref="F2571:O2571" si="496">SUM(F2555:F2570)</f>
        <v>10</v>
      </c>
      <c r="G2571" s="71">
        <f t="shared" si="496"/>
        <v>6</v>
      </c>
      <c r="H2571" s="71">
        <f t="shared" si="496"/>
        <v>6</v>
      </c>
      <c r="I2571" s="71">
        <f t="shared" si="496"/>
        <v>4</v>
      </c>
      <c r="J2571" s="71">
        <f t="shared" si="496"/>
        <v>4</v>
      </c>
      <c r="K2571" s="71">
        <f t="shared" si="496"/>
        <v>6</v>
      </c>
      <c r="L2571" s="71">
        <f t="shared" si="496"/>
        <v>7</v>
      </c>
      <c r="M2571" s="71">
        <f t="shared" si="496"/>
        <v>8</v>
      </c>
      <c r="N2571" s="71">
        <f t="shared" si="496"/>
        <v>6</v>
      </c>
      <c r="O2571" s="26">
        <f t="shared" si="496"/>
        <v>10</v>
      </c>
      <c r="P2571" s="71">
        <f t="shared" si="492"/>
        <v>4</v>
      </c>
      <c r="Q2571" s="71">
        <f t="shared" si="493"/>
        <v>9</v>
      </c>
      <c r="R2571" s="7">
        <f t="shared" si="494"/>
        <v>0.69230769230769229</v>
      </c>
      <c r="S2571" s="503"/>
      <c r="V2571" s="528"/>
    </row>
    <row r="2572" spans="1:22" ht="9.75" customHeight="1">
      <c r="A2572" s="503"/>
      <c r="B2572" s="503"/>
      <c r="C2572" s="43" t="s">
        <v>385</v>
      </c>
      <c r="D2572" s="43" t="s">
        <v>23</v>
      </c>
      <c r="E2572" s="13"/>
      <c r="F2572" s="109"/>
      <c r="G2572" s="504"/>
      <c r="H2572" s="504"/>
      <c r="I2572" s="504"/>
      <c r="J2572" s="504"/>
      <c r="K2572" s="504"/>
      <c r="L2572" s="504"/>
      <c r="M2572" s="504"/>
      <c r="N2572" s="504"/>
      <c r="O2572" s="110"/>
      <c r="P2572" s="109"/>
      <c r="Q2572" s="504"/>
      <c r="R2572" s="107"/>
      <c r="S2572" s="503"/>
      <c r="V2572" s="528"/>
    </row>
    <row r="2573" spans="1:22" ht="9.75" customHeight="1">
      <c r="A2573" s="503"/>
      <c r="B2573" s="503"/>
      <c r="C2573" s="13"/>
      <c r="D2573" s="13" t="s">
        <v>25</v>
      </c>
      <c r="E2573" s="13"/>
      <c r="F2573" s="109"/>
      <c r="G2573" s="504"/>
      <c r="H2573" s="504"/>
      <c r="I2573" s="504"/>
      <c r="J2573" s="504"/>
      <c r="K2573" s="504"/>
      <c r="L2573" s="504"/>
      <c r="M2573" s="504"/>
      <c r="N2573" s="504"/>
      <c r="O2573" s="110"/>
      <c r="P2573" s="109"/>
      <c r="Q2573" s="504"/>
      <c r="R2573" s="107"/>
      <c r="S2573" s="503"/>
      <c r="V2573" s="528"/>
    </row>
    <row r="2574" spans="1:22" ht="9.75" customHeight="1">
      <c r="A2574" s="503"/>
      <c r="B2574" s="503"/>
      <c r="C2574" s="13"/>
      <c r="D2574" s="13" t="s">
        <v>27</v>
      </c>
      <c r="E2574" s="13"/>
      <c r="F2574" s="109"/>
      <c r="G2574" s="504"/>
      <c r="H2574" s="504"/>
      <c r="I2574" s="504"/>
      <c r="J2574" s="504"/>
      <c r="K2574" s="504"/>
      <c r="L2574" s="504"/>
      <c r="M2574" s="504"/>
      <c r="N2574" s="504"/>
      <c r="O2574" s="110"/>
      <c r="P2574" s="109"/>
      <c r="Q2574" s="504"/>
      <c r="R2574" s="107"/>
      <c r="S2574" s="503"/>
      <c r="V2574" s="528"/>
    </row>
    <row r="2575" spans="1:22" ht="9.75" customHeight="1">
      <c r="A2575" s="503"/>
      <c r="B2575" s="503"/>
      <c r="C2575" s="13"/>
      <c r="D2575" s="13" t="s">
        <v>115</v>
      </c>
      <c r="E2575" s="13"/>
      <c r="F2575" s="109"/>
      <c r="G2575" s="504"/>
      <c r="H2575" s="504"/>
      <c r="I2575" s="504"/>
      <c r="J2575" s="504"/>
      <c r="K2575" s="504"/>
      <c r="L2575" s="504"/>
      <c r="M2575" s="504"/>
      <c r="N2575" s="504"/>
      <c r="O2575" s="110"/>
      <c r="P2575" s="109"/>
      <c r="Q2575" s="504"/>
      <c r="R2575" s="107"/>
      <c r="S2575" s="503"/>
      <c r="V2575" s="528"/>
    </row>
    <row r="2576" spans="1:22" ht="9.75" customHeight="1">
      <c r="A2576" s="503"/>
      <c r="B2576" s="503"/>
      <c r="C2576" s="13"/>
      <c r="D2576" s="13" t="s">
        <v>115</v>
      </c>
      <c r="E2576" s="13"/>
      <c r="F2576" s="109"/>
      <c r="G2576" s="504"/>
      <c r="H2576" s="504"/>
      <c r="I2576" s="504"/>
      <c r="J2576" s="504"/>
      <c r="K2576" s="504"/>
      <c r="L2576" s="504"/>
      <c r="M2576" s="504"/>
      <c r="N2576" s="504"/>
      <c r="O2576" s="110"/>
      <c r="P2576" s="109"/>
      <c r="Q2576" s="504"/>
      <c r="R2576" s="107"/>
      <c r="S2576" s="503"/>
      <c r="V2576" s="528"/>
    </row>
    <row r="2577" spans="1:22" ht="9.75" customHeight="1">
      <c r="A2577" s="503"/>
      <c r="B2577" s="503"/>
      <c r="C2577" s="13"/>
      <c r="D2577" s="13" t="s">
        <v>32</v>
      </c>
      <c r="E2577" s="13">
        <v>5</v>
      </c>
      <c r="F2577" s="121">
        <v>2</v>
      </c>
      <c r="G2577" s="11">
        <v>2</v>
      </c>
      <c r="H2577" s="11">
        <v>1</v>
      </c>
      <c r="I2577" s="11">
        <v>2</v>
      </c>
      <c r="J2577" s="11">
        <v>3</v>
      </c>
      <c r="K2577" s="11">
        <v>4</v>
      </c>
      <c r="L2577" s="11">
        <v>4</v>
      </c>
      <c r="M2577" s="11">
        <v>4</v>
      </c>
      <c r="N2577" s="11">
        <v>3</v>
      </c>
      <c r="O2577" s="136">
        <v>4</v>
      </c>
      <c r="P2577" s="103">
        <f>MIN(F2577:O2577)</f>
        <v>1</v>
      </c>
      <c r="Q2577" s="91">
        <f>E2577-P2577</f>
        <v>4</v>
      </c>
      <c r="R2577" s="107">
        <f>Q2577/E2577</f>
        <v>0.8</v>
      </c>
      <c r="S2577" s="503"/>
      <c r="V2577" s="528"/>
    </row>
    <row r="2578" spans="1:22" ht="9.75" customHeight="1">
      <c r="A2578" s="503"/>
      <c r="B2578" s="503"/>
      <c r="C2578" s="13"/>
      <c r="D2578" s="13" t="s">
        <v>245</v>
      </c>
      <c r="E2578" s="13"/>
      <c r="F2578" s="109"/>
      <c r="G2578" s="504"/>
      <c r="H2578" s="504"/>
      <c r="I2578" s="504"/>
      <c r="J2578" s="504"/>
      <c r="K2578" s="504"/>
      <c r="L2578" s="504"/>
      <c r="M2578" s="504"/>
      <c r="N2578" s="504"/>
      <c r="O2578" s="110"/>
      <c r="P2578" s="109"/>
      <c r="Q2578" s="504"/>
      <c r="R2578" s="107"/>
      <c r="S2578" s="503"/>
      <c r="V2578" s="528"/>
    </row>
    <row r="2579" spans="1:22" ht="9.75" customHeight="1">
      <c r="A2579" s="503"/>
      <c r="B2579" s="503"/>
      <c r="C2579" s="13"/>
      <c r="D2579" s="13" t="s">
        <v>120</v>
      </c>
      <c r="E2579" s="13"/>
      <c r="F2579" s="109"/>
      <c r="G2579" s="504"/>
      <c r="H2579" s="504"/>
      <c r="I2579" s="504"/>
      <c r="J2579" s="504"/>
      <c r="K2579" s="504"/>
      <c r="L2579" s="504"/>
      <c r="M2579" s="504"/>
      <c r="N2579" s="504"/>
      <c r="O2579" s="110"/>
      <c r="P2579" s="109"/>
      <c r="Q2579" s="504"/>
      <c r="R2579" s="107"/>
      <c r="S2579" s="503"/>
      <c r="V2579" s="528"/>
    </row>
    <row r="2580" spans="1:22" ht="9.75" customHeight="1">
      <c r="A2580" s="503"/>
      <c r="B2580" s="503"/>
      <c r="C2580" s="13"/>
      <c r="D2580" s="13" t="s">
        <v>120</v>
      </c>
      <c r="E2580" s="13"/>
      <c r="F2580" s="109"/>
      <c r="G2580" s="504"/>
      <c r="H2580" s="504"/>
      <c r="I2580" s="504"/>
      <c r="J2580" s="504"/>
      <c r="K2580" s="504"/>
      <c r="L2580" s="504"/>
      <c r="M2580" s="504"/>
      <c r="N2580" s="504"/>
      <c r="O2580" s="110"/>
      <c r="P2580" s="109"/>
      <c r="Q2580" s="504"/>
      <c r="R2580" s="107"/>
      <c r="S2580" s="503"/>
      <c r="V2580" s="528"/>
    </row>
    <row r="2581" spans="1:22" ht="9.75" customHeight="1">
      <c r="A2581" s="503"/>
      <c r="B2581" s="503"/>
      <c r="C2581" s="13"/>
      <c r="D2581" s="13" t="s">
        <v>120</v>
      </c>
      <c r="E2581" s="13"/>
      <c r="F2581" s="109"/>
      <c r="G2581" s="504"/>
      <c r="H2581" s="504"/>
      <c r="I2581" s="504"/>
      <c r="J2581" s="504"/>
      <c r="K2581" s="504"/>
      <c r="L2581" s="504"/>
      <c r="M2581" s="504"/>
      <c r="N2581" s="504"/>
      <c r="O2581" s="110"/>
      <c r="P2581" s="109"/>
      <c r="Q2581" s="504"/>
      <c r="R2581" s="107"/>
      <c r="S2581" s="503"/>
      <c r="V2581" s="528"/>
    </row>
    <row r="2582" spans="1:22" ht="9.75" customHeight="1">
      <c r="A2582" s="503"/>
      <c r="B2582" s="503"/>
      <c r="C2582" s="13"/>
      <c r="D2582" s="13" t="s">
        <v>120</v>
      </c>
      <c r="E2582" s="13"/>
      <c r="F2582" s="109"/>
      <c r="G2582" s="504"/>
      <c r="H2582" s="504"/>
      <c r="I2582" s="504"/>
      <c r="J2582" s="504"/>
      <c r="K2582" s="504"/>
      <c r="L2582" s="504"/>
      <c r="M2582" s="504"/>
      <c r="N2582" s="504"/>
      <c r="O2582" s="110"/>
      <c r="P2582" s="109"/>
      <c r="Q2582" s="504"/>
      <c r="R2582" s="107"/>
      <c r="S2582" s="503"/>
      <c r="V2582" s="528"/>
    </row>
    <row r="2583" spans="1:22" ht="9.75" customHeight="1">
      <c r="A2583" s="503"/>
      <c r="B2583" s="503"/>
      <c r="C2583" s="13"/>
      <c r="D2583" s="13" t="s">
        <v>120</v>
      </c>
      <c r="E2583" s="13"/>
      <c r="F2583" s="109"/>
      <c r="G2583" s="504"/>
      <c r="H2583" s="504"/>
      <c r="I2583" s="504"/>
      <c r="J2583" s="504"/>
      <c r="K2583" s="504"/>
      <c r="L2583" s="504"/>
      <c r="M2583" s="504"/>
      <c r="N2583" s="504"/>
      <c r="O2583" s="110"/>
      <c r="P2583" s="109"/>
      <c r="Q2583" s="504"/>
      <c r="R2583" s="107"/>
      <c r="S2583" s="503"/>
      <c r="V2583" s="528"/>
    </row>
    <row r="2584" spans="1:22" ht="9.75" customHeight="1">
      <c r="A2584" s="503"/>
      <c r="B2584" s="503"/>
      <c r="C2584" s="13"/>
      <c r="D2584" s="13" t="s">
        <v>34</v>
      </c>
      <c r="E2584" s="13">
        <v>2</v>
      </c>
      <c r="F2584" s="109">
        <v>0</v>
      </c>
      <c r="G2584" s="504">
        <v>0</v>
      </c>
      <c r="H2584" s="504">
        <v>0</v>
      </c>
      <c r="I2584" s="504">
        <v>0</v>
      </c>
      <c r="J2584" s="504">
        <v>0</v>
      </c>
      <c r="K2584" s="504">
        <v>0</v>
      </c>
      <c r="L2584" s="504">
        <v>0</v>
      </c>
      <c r="M2584" s="504">
        <v>0</v>
      </c>
      <c r="N2584" s="504">
        <v>1</v>
      </c>
      <c r="O2584" s="110">
        <v>1</v>
      </c>
      <c r="P2584" s="109">
        <f>MIN(F2584:O2584)</f>
        <v>0</v>
      </c>
      <c r="Q2584" s="504">
        <f>E2584-P2584</f>
        <v>2</v>
      </c>
      <c r="R2584" s="107">
        <f>Q2584/E2584</f>
        <v>1</v>
      </c>
      <c r="S2584" s="503"/>
      <c r="V2584" s="528"/>
    </row>
    <row r="2585" spans="1:22" ht="9.75" customHeight="1">
      <c r="A2585" s="503"/>
      <c r="B2585" s="503"/>
      <c r="C2585" s="13"/>
      <c r="D2585" s="13" t="s">
        <v>35</v>
      </c>
      <c r="E2585" s="13"/>
      <c r="F2585" s="109"/>
      <c r="G2585" s="504"/>
      <c r="H2585" s="504"/>
      <c r="I2585" s="504"/>
      <c r="J2585" s="504"/>
      <c r="K2585" s="504"/>
      <c r="L2585" s="504"/>
      <c r="M2585" s="504"/>
      <c r="N2585" s="504"/>
      <c r="O2585" s="110"/>
      <c r="P2585" s="109"/>
      <c r="Q2585" s="504"/>
      <c r="R2585" s="107"/>
      <c r="S2585" s="503"/>
      <c r="V2585" s="528"/>
    </row>
    <row r="2586" spans="1:22" ht="9.75" customHeight="1">
      <c r="A2586" s="503"/>
      <c r="B2586" s="503"/>
      <c r="C2586" s="13"/>
      <c r="D2586" s="13" t="s">
        <v>36</v>
      </c>
      <c r="E2586" s="13"/>
      <c r="F2586" s="109"/>
      <c r="G2586" s="504"/>
      <c r="H2586" s="504"/>
      <c r="I2586" s="504"/>
      <c r="J2586" s="504"/>
      <c r="K2586" s="504"/>
      <c r="L2586" s="504"/>
      <c r="M2586" s="504"/>
      <c r="N2586" s="504"/>
      <c r="O2586" s="110"/>
      <c r="P2586" s="109"/>
      <c r="Q2586" s="504"/>
      <c r="R2586" s="107"/>
      <c r="S2586" s="503"/>
      <c r="V2586" s="528"/>
    </row>
    <row r="2587" spans="1:22" ht="9.75" customHeight="1">
      <c r="A2587" s="503"/>
      <c r="B2587" s="503"/>
      <c r="C2587" s="13"/>
      <c r="D2587" s="13" t="s">
        <v>37</v>
      </c>
      <c r="E2587" s="13"/>
      <c r="F2587" s="109"/>
      <c r="G2587" s="504"/>
      <c r="H2587" s="504"/>
      <c r="I2587" s="504"/>
      <c r="J2587" s="504"/>
      <c r="K2587" s="504"/>
      <c r="L2587" s="504"/>
      <c r="M2587" s="504"/>
      <c r="N2587" s="504"/>
      <c r="O2587" s="110"/>
      <c r="P2587" s="109"/>
      <c r="Q2587" s="504"/>
      <c r="R2587" s="107"/>
      <c r="S2587" s="503"/>
      <c r="V2587" s="528"/>
    </row>
    <row r="2588" spans="1:22" ht="9.75" customHeight="1">
      <c r="A2588" s="503"/>
      <c r="B2588" s="503" t="s">
        <v>127</v>
      </c>
      <c r="C2588" s="2"/>
      <c r="D2588" s="21" t="s">
        <v>38</v>
      </c>
      <c r="E2588" s="21">
        <f t="shared" ref="E2588" si="497">SUM(E2572:E2587)</f>
        <v>7</v>
      </c>
      <c r="F2588" s="21">
        <f t="shared" ref="F2588:O2588" si="498">SUM(F2572:F2587)</f>
        <v>2</v>
      </c>
      <c r="G2588" s="71">
        <f t="shared" si="498"/>
        <v>2</v>
      </c>
      <c r="H2588" s="71">
        <f t="shared" si="498"/>
        <v>1</v>
      </c>
      <c r="I2588" s="71">
        <f t="shared" si="498"/>
        <v>2</v>
      </c>
      <c r="J2588" s="71">
        <f t="shared" si="498"/>
        <v>3</v>
      </c>
      <c r="K2588" s="71">
        <f t="shared" si="498"/>
        <v>4</v>
      </c>
      <c r="L2588" s="71">
        <f t="shared" si="498"/>
        <v>4</v>
      </c>
      <c r="M2588" s="71">
        <f t="shared" si="498"/>
        <v>4</v>
      </c>
      <c r="N2588" s="71">
        <f t="shared" si="498"/>
        <v>4</v>
      </c>
      <c r="O2588" s="26">
        <f t="shared" si="498"/>
        <v>5</v>
      </c>
      <c r="P2588" s="71">
        <f t="shared" ref="P2588:P2589" si="499">MIN(F2588:O2588)</f>
        <v>1</v>
      </c>
      <c r="Q2588" s="71">
        <f t="shared" ref="Q2588:Q2589" si="500">E2588-P2588</f>
        <v>6</v>
      </c>
      <c r="R2588" s="7">
        <f t="shared" ref="R2588:R2589" si="501">Q2588/E2588</f>
        <v>0.8571428571428571</v>
      </c>
      <c r="S2588" s="503"/>
      <c r="V2588" s="528"/>
    </row>
    <row r="2589" spans="1:22" ht="9.75" customHeight="1">
      <c r="A2589" s="503"/>
      <c r="B2589" s="503"/>
      <c r="C2589" s="43" t="s">
        <v>386</v>
      </c>
      <c r="D2589" s="43" t="s">
        <v>387</v>
      </c>
      <c r="E2589" s="13">
        <v>86</v>
      </c>
      <c r="F2589" s="109">
        <v>25</v>
      </c>
      <c r="G2589" s="504">
        <v>0</v>
      </c>
      <c r="H2589" s="504">
        <v>0</v>
      </c>
      <c r="I2589" s="504">
        <v>3</v>
      </c>
      <c r="J2589" s="504">
        <v>2</v>
      </c>
      <c r="K2589" s="504">
        <v>8</v>
      </c>
      <c r="L2589" s="504">
        <v>5</v>
      </c>
      <c r="M2589" s="504">
        <v>3</v>
      </c>
      <c r="N2589" s="504">
        <v>15</v>
      </c>
      <c r="O2589" s="110">
        <v>36</v>
      </c>
      <c r="P2589" s="109">
        <f t="shared" si="499"/>
        <v>0</v>
      </c>
      <c r="Q2589" s="504">
        <f t="shared" si="500"/>
        <v>86</v>
      </c>
      <c r="R2589" s="107">
        <f t="shared" si="501"/>
        <v>1</v>
      </c>
      <c r="S2589" s="503"/>
      <c r="V2589" s="528"/>
    </row>
    <row r="2590" spans="1:22" ht="9.75" customHeight="1">
      <c r="A2590" s="503"/>
      <c r="B2590" s="503"/>
      <c r="C2590" s="13"/>
      <c r="D2590" s="13" t="s">
        <v>25</v>
      </c>
      <c r="E2590" s="13"/>
      <c r="F2590" s="109"/>
      <c r="G2590" s="504"/>
      <c r="H2590" s="504"/>
      <c r="I2590" s="504"/>
      <c r="J2590" s="504"/>
      <c r="K2590" s="504"/>
      <c r="L2590" s="504"/>
      <c r="M2590" s="504"/>
      <c r="N2590" s="504"/>
      <c r="O2590" s="110"/>
      <c r="P2590" s="109"/>
      <c r="Q2590" s="504"/>
      <c r="R2590" s="107"/>
      <c r="S2590" s="503"/>
      <c r="V2590" s="528"/>
    </row>
    <row r="2591" spans="1:22" ht="9.75" customHeight="1">
      <c r="A2591" s="503"/>
      <c r="B2591" s="503"/>
      <c r="C2591" s="13"/>
      <c r="D2591" s="13" t="s">
        <v>27</v>
      </c>
      <c r="E2591" s="13"/>
      <c r="F2591" s="109"/>
      <c r="G2591" s="504"/>
      <c r="H2591" s="504"/>
      <c r="I2591" s="504"/>
      <c r="J2591" s="504"/>
      <c r="K2591" s="504"/>
      <c r="L2591" s="504"/>
      <c r="M2591" s="504"/>
      <c r="N2591" s="504"/>
      <c r="O2591" s="110"/>
      <c r="P2591" s="109"/>
      <c r="Q2591" s="504"/>
      <c r="R2591" s="107"/>
      <c r="S2591" s="503"/>
      <c r="V2591" s="528"/>
    </row>
    <row r="2592" spans="1:22" ht="9.75" customHeight="1">
      <c r="A2592" s="503"/>
      <c r="B2592" s="503"/>
      <c r="C2592" s="13"/>
      <c r="D2592" s="13" t="s">
        <v>115</v>
      </c>
      <c r="E2592" s="13"/>
      <c r="F2592" s="109"/>
      <c r="G2592" s="504"/>
      <c r="H2592" s="504"/>
      <c r="I2592" s="504"/>
      <c r="J2592" s="504"/>
      <c r="K2592" s="504"/>
      <c r="L2592" s="504"/>
      <c r="M2592" s="504"/>
      <c r="N2592" s="504"/>
      <c r="O2592" s="110"/>
      <c r="P2592" s="109"/>
      <c r="Q2592" s="504"/>
      <c r="R2592" s="107"/>
      <c r="S2592" s="503"/>
      <c r="V2592" s="528"/>
    </row>
    <row r="2593" spans="1:22" ht="9.75" customHeight="1">
      <c r="A2593" s="503"/>
      <c r="B2593" s="503"/>
      <c r="C2593" s="13"/>
      <c r="D2593" s="13" t="s">
        <v>115</v>
      </c>
      <c r="E2593" s="13"/>
      <c r="F2593" s="109"/>
      <c r="G2593" s="504"/>
      <c r="H2593" s="504"/>
      <c r="I2593" s="504"/>
      <c r="J2593" s="504"/>
      <c r="K2593" s="504"/>
      <c r="L2593" s="504"/>
      <c r="M2593" s="504"/>
      <c r="N2593" s="504"/>
      <c r="O2593" s="110"/>
      <c r="P2593" s="109"/>
      <c r="Q2593" s="504"/>
      <c r="R2593" s="107"/>
      <c r="S2593" s="503"/>
      <c r="V2593" s="528"/>
    </row>
    <row r="2594" spans="1:22" ht="9.75" customHeight="1">
      <c r="A2594" s="503"/>
      <c r="B2594" s="503"/>
      <c r="C2594" s="13"/>
      <c r="D2594" s="13" t="s">
        <v>32</v>
      </c>
      <c r="E2594" s="13"/>
      <c r="F2594" s="109"/>
      <c r="G2594" s="504"/>
      <c r="H2594" s="504"/>
      <c r="I2594" s="504"/>
      <c r="J2594" s="504"/>
      <c r="K2594" s="504"/>
      <c r="L2594" s="504"/>
      <c r="M2594" s="504"/>
      <c r="N2594" s="504"/>
      <c r="O2594" s="110"/>
      <c r="P2594" s="109"/>
      <c r="Q2594" s="504"/>
      <c r="R2594" s="107"/>
      <c r="S2594" s="503"/>
      <c r="V2594" s="528"/>
    </row>
    <row r="2595" spans="1:22" ht="9.75" customHeight="1">
      <c r="A2595" s="503"/>
      <c r="B2595" s="503"/>
      <c r="C2595" s="13"/>
      <c r="D2595" s="13" t="s">
        <v>388</v>
      </c>
      <c r="E2595" s="13">
        <v>10</v>
      </c>
      <c r="F2595" s="109">
        <v>8</v>
      </c>
      <c r="G2595" s="504">
        <v>8</v>
      </c>
      <c r="H2595" s="504">
        <v>6</v>
      </c>
      <c r="I2595" s="504">
        <v>6</v>
      </c>
      <c r="J2595" s="504">
        <v>6</v>
      </c>
      <c r="K2595" s="504">
        <v>8</v>
      </c>
      <c r="L2595" s="504">
        <v>7</v>
      </c>
      <c r="M2595" s="504">
        <v>7</v>
      </c>
      <c r="N2595" s="504">
        <v>8</v>
      </c>
      <c r="O2595" s="110">
        <v>7</v>
      </c>
      <c r="P2595" s="109">
        <f t="shared" ref="P2595:P2597" si="502">MIN(F2595:O2595)</f>
        <v>6</v>
      </c>
      <c r="Q2595" s="504">
        <f t="shared" ref="Q2595:Q2597" si="503">E2595-P2595</f>
        <v>4</v>
      </c>
      <c r="R2595" s="107">
        <f t="shared" ref="R2595:R2597" si="504">Q2595/E2595</f>
        <v>0.4</v>
      </c>
      <c r="S2595" s="503"/>
      <c r="V2595" s="528"/>
    </row>
    <row r="2596" spans="1:22" ht="9.75" customHeight="1">
      <c r="A2596" s="503"/>
      <c r="B2596" s="503"/>
      <c r="C2596" s="13"/>
      <c r="D2596" s="13" t="s">
        <v>389</v>
      </c>
      <c r="E2596" s="13">
        <v>2</v>
      </c>
      <c r="F2596" s="109">
        <v>1</v>
      </c>
      <c r="G2596" s="504">
        <v>1</v>
      </c>
      <c r="H2596" s="504">
        <v>1</v>
      </c>
      <c r="I2596" s="504">
        <v>1</v>
      </c>
      <c r="J2596" s="504">
        <v>1</v>
      </c>
      <c r="K2596" s="504">
        <v>1</v>
      </c>
      <c r="L2596" s="504">
        <v>1</v>
      </c>
      <c r="M2596" s="504">
        <v>1</v>
      </c>
      <c r="N2596" s="504">
        <v>1</v>
      </c>
      <c r="O2596" s="110">
        <v>2</v>
      </c>
      <c r="P2596" s="109">
        <f t="shared" si="502"/>
        <v>1</v>
      </c>
      <c r="Q2596" s="504">
        <f t="shared" si="503"/>
        <v>1</v>
      </c>
      <c r="R2596" s="107">
        <f t="shared" si="504"/>
        <v>0.5</v>
      </c>
      <c r="S2596" s="503"/>
      <c r="V2596" s="528"/>
    </row>
    <row r="2597" spans="1:22" ht="9.75" customHeight="1">
      <c r="A2597" s="503"/>
      <c r="B2597" s="503"/>
      <c r="C2597" s="13"/>
      <c r="D2597" s="46" t="s">
        <v>378</v>
      </c>
      <c r="E2597" s="46">
        <v>4</v>
      </c>
      <c r="F2597" s="154"/>
      <c r="G2597" s="47"/>
      <c r="H2597" s="47"/>
      <c r="I2597" s="47" t="s">
        <v>390</v>
      </c>
      <c r="J2597" s="47"/>
      <c r="K2597" s="47"/>
      <c r="L2597" s="47"/>
      <c r="M2597" s="47"/>
      <c r="N2597" s="47"/>
      <c r="O2597" s="155"/>
      <c r="P2597" s="154">
        <f t="shared" si="502"/>
        <v>0</v>
      </c>
      <c r="Q2597" s="47">
        <f t="shared" si="503"/>
        <v>4</v>
      </c>
      <c r="R2597" s="156">
        <f t="shared" si="504"/>
        <v>1</v>
      </c>
      <c r="S2597" s="503"/>
      <c r="V2597" s="528"/>
    </row>
    <row r="2598" spans="1:22" ht="9.75" customHeight="1">
      <c r="A2598" s="503"/>
      <c r="B2598" s="503"/>
      <c r="C2598" s="13"/>
      <c r="D2598" s="13" t="s">
        <v>120</v>
      </c>
      <c r="E2598" s="13"/>
      <c r="F2598" s="109"/>
      <c r="G2598" s="504"/>
      <c r="H2598" s="504"/>
      <c r="I2598" s="504"/>
      <c r="J2598" s="504"/>
      <c r="K2598" s="504"/>
      <c r="L2598" s="504"/>
      <c r="M2598" s="504"/>
      <c r="N2598" s="504"/>
      <c r="O2598" s="110"/>
      <c r="P2598" s="109"/>
      <c r="Q2598" s="504"/>
      <c r="R2598" s="107"/>
      <c r="S2598" s="503"/>
      <c r="V2598" s="528"/>
    </row>
    <row r="2599" spans="1:22" ht="9.75" customHeight="1">
      <c r="A2599" s="503"/>
      <c r="B2599" s="503"/>
      <c r="C2599" s="13"/>
      <c r="D2599" s="13" t="s">
        <v>120</v>
      </c>
      <c r="E2599" s="13"/>
      <c r="F2599" s="109"/>
      <c r="G2599" s="504"/>
      <c r="H2599" s="504"/>
      <c r="I2599" s="504"/>
      <c r="J2599" s="504"/>
      <c r="K2599" s="504"/>
      <c r="L2599" s="504"/>
      <c r="M2599" s="504"/>
      <c r="N2599" s="504"/>
      <c r="O2599" s="110"/>
      <c r="P2599" s="109"/>
      <c r="Q2599" s="504"/>
      <c r="R2599" s="107"/>
      <c r="S2599" s="503"/>
      <c r="U2599" s="560"/>
      <c r="V2599" s="528"/>
    </row>
    <row r="2600" spans="1:22" ht="9.75" customHeight="1">
      <c r="A2600" s="503"/>
      <c r="B2600" s="503"/>
      <c r="C2600" s="13"/>
      <c r="D2600" s="13" t="s">
        <v>120</v>
      </c>
      <c r="E2600" s="13"/>
      <c r="F2600" s="109"/>
      <c r="G2600" s="504"/>
      <c r="H2600" s="504"/>
      <c r="I2600" s="504"/>
      <c r="J2600" s="504"/>
      <c r="K2600" s="504"/>
      <c r="L2600" s="504"/>
      <c r="M2600" s="504"/>
      <c r="N2600" s="504"/>
      <c r="O2600" s="110"/>
      <c r="P2600" s="109"/>
      <c r="Q2600" s="504"/>
      <c r="R2600" s="107"/>
      <c r="S2600" s="503"/>
      <c r="U2600" s="560"/>
      <c r="V2600" s="528"/>
    </row>
    <row r="2601" spans="1:22" ht="9.75" customHeight="1">
      <c r="A2601" s="503"/>
      <c r="B2601" s="503"/>
      <c r="C2601" s="13"/>
      <c r="D2601" s="13" t="s">
        <v>34</v>
      </c>
      <c r="E2601" s="13">
        <v>9</v>
      </c>
      <c r="F2601" s="109">
        <v>0</v>
      </c>
      <c r="G2601" s="504">
        <v>0</v>
      </c>
      <c r="H2601" s="504">
        <v>0</v>
      </c>
      <c r="I2601" s="504">
        <v>0</v>
      </c>
      <c r="J2601" s="504">
        <v>0</v>
      </c>
      <c r="K2601" s="504">
        <v>0</v>
      </c>
      <c r="L2601" s="504">
        <v>0</v>
      </c>
      <c r="M2601" s="504">
        <v>3</v>
      </c>
      <c r="N2601" s="504">
        <v>6</v>
      </c>
      <c r="O2601" s="110">
        <v>7</v>
      </c>
      <c r="P2601" s="109">
        <f>MIN(F2601:O2601)</f>
        <v>0</v>
      </c>
      <c r="Q2601" s="504">
        <f>E2601-P2601</f>
        <v>9</v>
      </c>
      <c r="R2601" s="107">
        <f>Q2601/E2601</f>
        <v>1</v>
      </c>
      <c r="S2601" s="503"/>
      <c r="U2601" s="560"/>
      <c r="V2601" s="528"/>
    </row>
    <row r="2602" spans="1:22" ht="9.75" customHeight="1">
      <c r="A2602" s="503"/>
      <c r="B2602" s="503"/>
      <c r="C2602" s="13"/>
      <c r="D2602" s="13" t="s">
        <v>35</v>
      </c>
      <c r="E2602" s="13"/>
      <c r="F2602" s="109"/>
      <c r="G2602" s="504"/>
      <c r="H2602" s="504"/>
      <c r="I2602" s="504"/>
      <c r="J2602" s="504"/>
      <c r="K2602" s="504"/>
      <c r="L2602" s="504"/>
      <c r="M2602" s="504"/>
      <c r="N2602" s="504"/>
      <c r="O2602" s="110"/>
      <c r="P2602" s="109"/>
      <c r="Q2602" s="504"/>
      <c r="R2602" s="107"/>
      <c r="S2602" s="503"/>
      <c r="U2602" s="560"/>
      <c r="V2602" s="528"/>
    </row>
    <row r="2603" spans="1:22" ht="9.75" customHeight="1">
      <c r="A2603" s="503"/>
      <c r="B2603" s="503"/>
      <c r="C2603" s="13"/>
      <c r="D2603" s="13" t="s">
        <v>36</v>
      </c>
      <c r="E2603" s="13"/>
      <c r="F2603" s="109"/>
      <c r="G2603" s="504"/>
      <c r="H2603" s="504"/>
      <c r="I2603" s="504"/>
      <c r="J2603" s="504"/>
      <c r="K2603" s="504"/>
      <c r="L2603" s="504"/>
      <c r="M2603" s="504"/>
      <c r="N2603" s="504"/>
      <c r="O2603" s="110"/>
      <c r="P2603" s="109"/>
      <c r="Q2603" s="504"/>
      <c r="R2603" s="107"/>
      <c r="S2603" s="503"/>
      <c r="U2603" s="560"/>
      <c r="V2603" s="528"/>
    </row>
    <row r="2604" spans="1:22" ht="9.75" customHeight="1">
      <c r="A2604" s="503"/>
      <c r="B2604" s="503"/>
      <c r="C2604" s="13"/>
      <c r="D2604" s="13" t="s">
        <v>37</v>
      </c>
      <c r="E2604" s="13">
        <v>2</v>
      </c>
      <c r="F2604" s="109">
        <v>1</v>
      </c>
      <c r="G2604" s="504">
        <v>1</v>
      </c>
      <c r="H2604" s="504">
        <v>0</v>
      </c>
      <c r="I2604" s="504">
        <v>0</v>
      </c>
      <c r="J2604" s="504">
        <v>0</v>
      </c>
      <c r="K2604" s="504">
        <v>0</v>
      </c>
      <c r="L2604" s="504">
        <v>0</v>
      </c>
      <c r="M2604" s="504">
        <v>0</v>
      </c>
      <c r="N2604" s="504">
        <v>1</v>
      </c>
      <c r="O2604" s="110">
        <v>2</v>
      </c>
      <c r="P2604" s="109"/>
      <c r="Q2604" s="504"/>
      <c r="R2604" s="107"/>
      <c r="S2604" s="503"/>
      <c r="U2604" s="560"/>
      <c r="V2604" s="528"/>
    </row>
    <row r="2605" spans="1:22" ht="9.75" customHeight="1">
      <c r="A2605" s="503"/>
      <c r="B2605" s="503" t="s">
        <v>127</v>
      </c>
      <c r="C2605" s="2"/>
      <c r="D2605" s="21" t="s">
        <v>38</v>
      </c>
      <c r="E2605" s="21">
        <f t="shared" ref="E2605:O2605" si="505">SUM(E2589:E2604)</f>
        <v>113</v>
      </c>
      <c r="F2605" s="21">
        <f t="shared" si="505"/>
        <v>35</v>
      </c>
      <c r="G2605" s="71">
        <f t="shared" si="505"/>
        <v>10</v>
      </c>
      <c r="H2605" s="71">
        <f t="shared" si="505"/>
        <v>7</v>
      </c>
      <c r="I2605" s="71">
        <f t="shared" si="505"/>
        <v>10</v>
      </c>
      <c r="J2605" s="71">
        <f t="shared" si="505"/>
        <v>9</v>
      </c>
      <c r="K2605" s="71">
        <f t="shared" si="505"/>
        <v>17</v>
      </c>
      <c r="L2605" s="71">
        <f t="shared" si="505"/>
        <v>13</v>
      </c>
      <c r="M2605" s="71">
        <f t="shared" si="505"/>
        <v>14</v>
      </c>
      <c r="N2605" s="71">
        <f t="shared" si="505"/>
        <v>31</v>
      </c>
      <c r="O2605" s="26">
        <f t="shared" si="505"/>
        <v>54</v>
      </c>
      <c r="P2605" s="71">
        <f t="shared" ref="P2605" si="506">MIN(F2605:O2605)</f>
        <v>7</v>
      </c>
      <c r="Q2605" s="71">
        <f t="shared" ref="Q2605:Q2607" si="507">E2605-P2605</f>
        <v>106</v>
      </c>
      <c r="R2605" s="7">
        <f t="shared" ref="R2605:R2607" si="508">Q2605/E2605</f>
        <v>0.93805309734513276</v>
      </c>
      <c r="S2605" s="503"/>
      <c r="U2605" s="560"/>
      <c r="V2605" s="528"/>
    </row>
    <row r="2606" spans="1:22" ht="9.75" customHeight="1">
      <c r="A2606" s="503"/>
      <c r="B2606" s="503"/>
      <c r="C2606" s="43" t="s">
        <v>391</v>
      </c>
      <c r="D2606" s="43" t="s">
        <v>23</v>
      </c>
      <c r="E2606" s="13">
        <v>74</v>
      </c>
      <c r="F2606" s="109">
        <v>49</v>
      </c>
      <c r="G2606" s="504">
        <f>52-15+4</f>
        <v>41</v>
      </c>
      <c r="H2606" s="504">
        <f>52-18+4</f>
        <v>38</v>
      </c>
      <c r="I2606" s="504">
        <f>52-20+3</f>
        <v>35</v>
      </c>
      <c r="J2606" s="504">
        <f>52-26+2</f>
        <v>28</v>
      </c>
      <c r="K2606" s="504">
        <f>52-24+4</f>
        <v>32</v>
      </c>
      <c r="L2606" s="504">
        <f>52-21+4</f>
        <v>35</v>
      </c>
      <c r="M2606" s="504">
        <f>52-23+4</f>
        <v>33</v>
      </c>
      <c r="N2606" s="504">
        <f>52-15+10</f>
        <v>47</v>
      </c>
      <c r="O2606" s="504">
        <f>E2606-8-8</f>
        <v>58</v>
      </c>
      <c r="P2606" s="109">
        <f>MIN(F2606:O2606)</f>
        <v>28</v>
      </c>
      <c r="Q2606" s="504">
        <f t="shared" si="507"/>
        <v>46</v>
      </c>
      <c r="R2606" s="107">
        <f t="shared" si="508"/>
        <v>0.6216216216216216</v>
      </c>
      <c r="S2606" s="503"/>
      <c r="U2606" s="560"/>
      <c r="V2606" s="528"/>
    </row>
    <row r="2607" spans="1:22" ht="9.75" customHeight="1">
      <c r="A2607" s="503"/>
      <c r="B2607" s="503"/>
      <c r="C2607" s="13"/>
      <c r="D2607" s="13" t="s">
        <v>25</v>
      </c>
      <c r="E2607" s="13">
        <v>111</v>
      </c>
      <c r="F2607" s="109">
        <v>1</v>
      </c>
      <c r="G2607" s="504">
        <v>1</v>
      </c>
      <c r="H2607" s="504">
        <v>2</v>
      </c>
      <c r="I2607" s="504">
        <v>0</v>
      </c>
      <c r="J2607" s="504">
        <v>0</v>
      </c>
      <c r="K2607" s="504">
        <v>0</v>
      </c>
      <c r="L2607" s="504">
        <v>2</v>
      </c>
      <c r="M2607" s="504">
        <v>3</v>
      </c>
      <c r="N2607" s="504">
        <v>11</v>
      </c>
      <c r="O2607" s="110">
        <v>20</v>
      </c>
      <c r="P2607" s="109">
        <f>MIN(F2607:O2607)</f>
        <v>0</v>
      </c>
      <c r="Q2607" s="504">
        <f t="shared" si="507"/>
        <v>111</v>
      </c>
      <c r="R2607" s="107">
        <f t="shared" si="508"/>
        <v>1</v>
      </c>
      <c r="S2607" s="503"/>
      <c r="U2607" s="560"/>
      <c r="V2607" s="528"/>
    </row>
    <row r="2608" spans="1:22" ht="9.75" customHeight="1">
      <c r="A2608" s="503"/>
      <c r="B2608" s="503"/>
      <c r="C2608" s="13"/>
      <c r="D2608" s="13" t="s">
        <v>27</v>
      </c>
      <c r="E2608" s="13"/>
      <c r="F2608" s="109"/>
      <c r="G2608" s="504"/>
      <c r="H2608" s="504"/>
      <c r="I2608" s="504"/>
      <c r="J2608" s="504"/>
      <c r="K2608" s="504"/>
      <c r="L2608" s="504"/>
      <c r="M2608" s="504"/>
      <c r="N2608" s="504"/>
      <c r="O2608" s="110"/>
      <c r="P2608" s="109"/>
      <c r="Q2608" s="504"/>
      <c r="R2608" s="107"/>
      <c r="S2608" s="503"/>
      <c r="U2608" s="560"/>
      <c r="V2608" s="528"/>
    </row>
    <row r="2609" spans="1:22" ht="9.75" customHeight="1">
      <c r="A2609" s="503"/>
      <c r="B2609" s="503"/>
      <c r="C2609" s="13"/>
      <c r="D2609" s="13" t="s">
        <v>173</v>
      </c>
      <c r="E2609" s="13">
        <v>50</v>
      </c>
      <c r="F2609" s="109">
        <f>E2609-33</f>
        <v>17</v>
      </c>
      <c r="G2609" s="504">
        <v>8</v>
      </c>
      <c r="H2609" s="504">
        <v>5</v>
      </c>
      <c r="I2609" s="504">
        <v>8</v>
      </c>
      <c r="J2609" s="504">
        <v>13</v>
      </c>
      <c r="K2609" s="504">
        <v>2</v>
      </c>
      <c r="L2609" s="504">
        <v>1</v>
      </c>
      <c r="M2609" s="504">
        <v>4</v>
      </c>
      <c r="N2609" s="504">
        <v>20</v>
      </c>
      <c r="O2609" s="110">
        <f>E2609-13</f>
        <v>37</v>
      </c>
      <c r="P2609" s="109">
        <f>MIN(F2609:O2609)</f>
        <v>1</v>
      </c>
      <c r="Q2609" s="504">
        <f>E2609-P2609</f>
        <v>49</v>
      </c>
      <c r="R2609" s="107">
        <f>Q2609/E2609</f>
        <v>0.98</v>
      </c>
      <c r="S2609" s="503"/>
      <c r="U2609" s="560"/>
      <c r="V2609" s="528"/>
    </row>
    <row r="2610" spans="1:22" ht="9.75" customHeight="1">
      <c r="A2610" s="503"/>
      <c r="B2610" s="503"/>
      <c r="C2610" s="13"/>
      <c r="D2610" s="13" t="s">
        <v>115</v>
      </c>
      <c r="E2610" s="13"/>
      <c r="F2610" s="109"/>
      <c r="G2610" s="504"/>
      <c r="H2610" s="504"/>
      <c r="I2610" s="504"/>
      <c r="J2610" s="504"/>
      <c r="K2610" s="504"/>
      <c r="L2610" s="504"/>
      <c r="M2610" s="504"/>
      <c r="N2610" s="504"/>
      <c r="O2610" s="110"/>
      <c r="P2610" s="109"/>
      <c r="Q2610" s="504"/>
      <c r="R2610" s="107"/>
      <c r="S2610" s="503"/>
      <c r="U2610" s="560"/>
      <c r="V2610" s="528"/>
    </row>
    <row r="2611" spans="1:22" ht="9.75" customHeight="1">
      <c r="A2611" s="503"/>
      <c r="B2611" s="503"/>
      <c r="C2611" s="13"/>
      <c r="D2611" s="13" t="s">
        <v>32</v>
      </c>
      <c r="E2611" s="13">
        <v>1</v>
      </c>
      <c r="F2611" s="109">
        <v>1</v>
      </c>
      <c r="G2611" s="504">
        <v>1</v>
      </c>
      <c r="H2611" s="504">
        <v>0</v>
      </c>
      <c r="I2611" s="504">
        <v>1</v>
      </c>
      <c r="J2611" s="504">
        <v>1</v>
      </c>
      <c r="K2611" s="504">
        <v>1</v>
      </c>
      <c r="L2611" s="504">
        <v>1</v>
      </c>
      <c r="M2611" s="504">
        <v>1</v>
      </c>
      <c r="N2611" s="504">
        <v>0</v>
      </c>
      <c r="O2611" s="110">
        <v>0</v>
      </c>
      <c r="P2611" s="109">
        <f>MIN(F2611:O2611)</f>
        <v>0</v>
      </c>
      <c r="Q2611" s="504">
        <f>E2611-P2611</f>
        <v>1</v>
      </c>
      <c r="R2611" s="107">
        <f>Q2611/E2611</f>
        <v>1</v>
      </c>
      <c r="S2611" s="503"/>
      <c r="U2611" s="560"/>
      <c r="V2611" s="528"/>
    </row>
    <row r="2612" spans="1:22" ht="9.75" customHeight="1">
      <c r="A2612" s="503"/>
      <c r="B2612" s="503"/>
      <c r="C2612" s="13"/>
      <c r="D2612" s="13" t="s">
        <v>120</v>
      </c>
      <c r="E2612" s="13"/>
      <c r="F2612" s="109"/>
      <c r="G2612" s="504"/>
      <c r="H2612" s="504"/>
      <c r="I2612" s="504"/>
      <c r="J2612" s="504"/>
      <c r="K2612" s="504"/>
      <c r="L2612" s="504"/>
      <c r="M2612" s="504"/>
      <c r="N2612" s="504"/>
      <c r="O2612" s="110"/>
      <c r="P2612" s="109"/>
      <c r="Q2612" s="504"/>
      <c r="R2612" s="107"/>
      <c r="S2612" s="503"/>
      <c r="U2612" s="560"/>
      <c r="V2612" s="528"/>
    </row>
    <row r="2613" spans="1:22" ht="9.75" customHeight="1">
      <c r="A2613" s="503"/>
      <c r="B2613" s="503"/>
      <c r="C2613" s="13"/>
      <c r="D2613" s="13" t="s">
        <v>120</v>
      </c>
      <c r="E2613" s="13"/>
      <c r="F2613" s="109"/>
      <c r="G2613" s="504"/>
      <c r="H2613" s="504"/>
      <c r="I2613" s="504"/>
      <c r="J2613" s="504"/>
      <c r="K2613" s="504"/>
      <c r="L2613" s="504"/>
      <c r="M2613" s="504"/>
      <c r="N2613" s="504"/>
      <c r="O2613" s="110"/>
      <c r="P2613" s="109"/>
      <c r="Q2613" s="504"/>
      <c r="R2613" s="107"/>
      <c r="S2613" s="503"/>
      <c r="U2613" s="560"/>
      <c r="V2613" s="528"/>
    </row>
    <row r="2614" spans="1:22" ht="9.75" customHeight="1">
      <c r="A2614" s="503"/>
      <c r="B2614" s="503"/>
      <c r="C2614" s="13"/>
      <c r="D2614" s="13" t="s">
        <v>120</v>
      </c>
      <c r="E2614" s="13"/>
      <c r="F2614" s="109"/>
      <c r="G2614" s="504"/>
      <c r="H2614" s="504"/>
      <c r="I2614" s="504"/>
      <c r="J2614" s="504"/>
      <c r="K2614" s="504"/>
      <c r="L2614" s="504"/>
      <c r="M2614" s="504"/>
      <c r="N2614" s="504"/>
      <c r="O2614" s="110"/>
      <c r="P2614" s="109"/>
      <c r="Q2614" s="504"/>
      <c r="R2614" s="107"/>
      <c r="S2614" s="503"/>
      <c r="U2614" s="560"/>
      <c r="V2614" s="528"/>
    </row>
    <row r="2615" spans="1:22" ht="9.75" customHeight="1">
      <c r="A2615" s="503"/>
      <c r="B2615" s="503"/>
      <c r="C2615" s="13"/>
      <c r="D2615" s="13" t="s">
        <v>120</v>
      </c>
      <c r="E2615" s="13"/>
      <c r="F2615" s="109"/>
      <c r="G2615" s="504"/>
      <c r="H2615" s="504"/>
      <c r="I2615" s="504"/>
      <c r="J2615" s="504"/>
      <c r="K2615" s="504"/>
      <c r="L2615" s="504"/>
      <c r="M2615" s="504"/>
      <c r="N2615" s="504"/>
      <c r="O2615" s="110"/>
      <c r="P2615" s="109"/>
      <c r="Q2615" s="504"/>
      <c r="R2615" s="107"/>
      <c r="S2615" s="503"/>
      <c r="U2615" s="560"/>
      <c r="V2615" s="528"/>
    </row>
    <row r="2616" spans="1:22" ht="9.75" customHeight="1">
      <c r="A2616" s="503"/>
      <c r="B2616" s="503"/>
      <c r="C2616" s="13"/>
      <c r="D2616" s="13" t="s">
        <v>120</v>
      </c>
      <c r="E2616" s="13"/>
      <c r="F2616" s="109"/>
      <c r="G2616" s="504"/>
      <c r="H2616" s="504"/>
      <c r="I2616" s="504"/>
      <c r="J2616" s="504"/>
      <c r="K2616" s="504"/>
      <c r="L2616" s="504"/>
      <c r="M2616" s="504"/>
      <c r="N2616" s="504"/>
      <c r="O2616" s="110"/>
      <c r="P2616" s="109"/>
      <c r="Q2616" s="504"/>
      <c r="R2616" s="107"/>
      <c r="S2616" s="503"/>
      <c r="U2616" s="560"/>
      <c r="V2616" s="528"/>
    </row>
    <row r="2617" spans="1:22" ht="9.75" customHeight="1">
      <c r="A2617" s="503"/>
      <c r="B2617" s="503"/>
      <c r="C2617" s="13"/>
      <c r="D2617" s="13" t="s">
        <v>120</v>
      </c>
      <c r="E2617" s="13"/>
      <c r="F2617" s="109"/>
      <c r="G2617" s="504"/>
      <c r="H2617" s="504"/>
      <c r="I2617" s="504"/>
      <c r="J2617" s="504"/>
      <c r="K2617" s="504"/>
      <c r="L2617" s="504"/>
      <c r="M2617" s="504"/>
      <c r="N2617" s="504"/>
      <c r="O2617" s="110"/>
      <c r="P2617" s="109"/>
      <c r="Q2617" s="504"/>
      <c r="R2617" s="107"/>
      <c r="S2617" s="503"/>
      <c r="U2617" s="560"/>
      <c r="V2617" s="528"/>
    </row>
    <row r="2618" spans="1:22" ht="9.75" customHeight="1">
      <c r="A2618" s="503"/>
      <c r="B2618" s="503"/>
      <c r="C2618" s="13"/>
      <c r="D2618" s="13" t="s">
        <v>34</v>
      </c>
      <c r="E2618" s="13">
        <v>11</v>
      </c>
      <c r="F2618" s="109">
        <v>2</v>
      </c>
      <c r="G2618" s="504">
        <v>0</v>
      </c>
      <c r="H2618" s="504">
        <v>0</v>
      </c>
      <c r="I2618" s="504">
        <v>0</v>
      </c>
      <c r="J2618" s="504">
        <v>0</v>
      </c>
      <c r="K2618" s="504">
        <v>0</v>
      </c>
      <c r="L2618" s="504">
        <v>2</v>
      </c>
      <c r="M2618" s="504">
        <v>0</v>
      </c>
      <c r="N2618" s="504">
        <v>5</v>
      </c>
      <c r="O2618" s="110">
        <v>9</v>
      </c>
      <c r="P2618" s="109">
        <f t="shared" ref="P2618:P2619" si="509">MIN(F2618:O2618)</f>
        <v>0</v>
      </c>
      <c r="Q2618" s="504">
        <f t="shared" ref="Q2618:Q2619" si="510">E2618-P2618</f>
        <v>11</v>
      </c>
      <c r="R2618" s="107">
        <f t="shared" ref="R2618:R2619" si="511">Q2618/E2618</f>
        <v>1</v>
      </c>
      <c r="S2618" s="503"/>
      <c r="U2618" s="560"/>
      <c r="V2618" s="528"/>
    </row>
    <row r="2619" spans="1:22" ht="9.75" customHeight="1">
      <c r="A2619" s="503"/>
      <c r="B2619" s="503"/>
      <c r="C2619" s="13"/>
      <c r="D2619" s="13" t="s">
        <v>35</v>
      </c>
      <c r="E2619" s="13">
        <v>1</v>
      </c>
      <c r="F2619" s="109">
        <v>1</v>
      </c>
      <c r="G2619" s="504">
        <v>1</v>
      </c>
      <c r="H2619" s="504">
        <v>1</v>
      </c>
      <c r="I2619" s="504">
        <v>0</v>
      </c>
      <c r="J2619" s="504">
        <v>1</v>
      </c>
      <c r="K2619" s="504">
        <v>1</v>
      </c>
      <c r="L2619" s="504">
        <v>1</v>
      </c>
      <c r="M2619" s="504">
        <v>1</v>
      </c>
      <c r="N2619" s="504">
        <v>1</v>
      </c>
      <c r="O2619" s="110">
        <v>1</v>
      </c>
      <c r="P2619" s="109">
        <f t="shared" si="509"/>
        <v>0</v>
      </c>
      <c r="Q2619" s="504">
        <f t="shared" si="510"/>
        <v>1</v>
      </c>
      <c r="R2619" s="107">
        <f t="shared" si="511"/>
        <v>1</v>
      </c>
      <c r="S2619" s="503"/>
      <c r="U2619" s="560"/>
      <c r="V2619" s="528"/>
    </row>
    <row r="2620" spans="1:22" ht="9.75" customHeight="1">
      <c r="A2620" s="503"/>
      <c r="B2620" s="503"/>
      <c r="C2620" s="13"/>
      <c r="D2620" s="13" t="s">
        <v>36</v>
      </c>
      <c r="E2620" s="13"/>
      <c r="F2620" s="109"/>
      <c r="G2620" s="504"/>
      <c r="H2620" s="504"/>
      <c r="I2620" s="504"/>
      <c r="J2620" s="504"/>
      <c r="K2620" s="504"/>
      <c r="L2620" s="504"/>
      <c r="M2620" s="504"/>
      <c r="N2620" s="504"/>
      <c r="O2620" s="110"/>
      <c r="P2620" s="109"/>
      <c r="Q2620" s="504"/>
      <c r="R2620" s="107"/>
      <c r="S2620" s="503"/>
      <c r="U2620" s="560"/>
      <c r="V2620" s="528"/>
    </row>
    <row r="2621" spans="1:22" ht="9.75" customHeight="1">
      <c r="A2621" s="503"/>
      <c r="B2621" s="503"/>
      <c r="C2621" s="13"/>
      <c r="D2621" s="13" t="s">
        <v>37</v>
      </c>
      <c r="E2621" s="13">
        <v>4</v>
      </c>
      <c r="F2621" s="109">
        <v>2</v>
      </c>
      <c r="G2621" s="504">
        <v>3</v>
      </c>
      <c r="H2621" s="504">
        <v>2</v>
      </c>
      <c r="I2621" s="504">
        <v>1</v>
      </c>
      <c r="J2621" s="504">
        <v>2</v>
      </c>
      <c r="K2621" s="504">
        <v>3</v>
      </c>
      <c r="L2621" s="504">
        <v>1</v>
      </c>
      <c r="M2621" s="504">
        <v>2</v>
      </c>
      <c r="N2621" s="504">
        <v>2</v>
      </c>
      <c r="O2621" s="110">
        <v>3</v>
      </c>
      <c r="P2621" s="109">
        <f t="shared" ref="P2621:P2622" si="512">MIN(F2621:O2621)</f>
        <v>1</v>
      </c>
      <c r="Q2621" s="504">
        <f t="shared" ref="Q2621:Q2622" si="513">E2621-P2621</f>
        <v>3</v>
      </c>
      <c r="R2621" s="107">
        <f t="shared" ref="R2621:R2622" si="514">Q2621/E2621</f>
        <v>0.75</v>
      </c>
      <c r="S2621" s="503"/>
      <c r="U2621" s="560"/>
      <c r="V2621" s="528"/>
    </row>
    <row r="2622" spans="1:22" ht="9.75" customHeight="1">
      <c r="A2622" s="503"/>
      <c r="B2622" s="503" t="s">
        <v>127</v>
      </c>
      <c r="C2622" s="2"/>
      <c r="D2622" s="21" t="s">
        <v>38</v>
      </c>
      <c r="E2622" s="21">
        <f t="shared" ref="E2622:O2622" si="515">SUM(E2606:E2621)</f>
        <v>252</v>
      </c>
      <c r="F2622" s="21">
        <f t="shared" si="515"/>
        <v>73</v>
      </c>
      <c r="G2622" s="71">
        <f t="shared" si="515"/>
        <v>55</v>
      </c>
      <c r="H2622" s="71">
        <f t="shared" si="515"/>
        <v>48</v>
      </c>
      <c r="I2622" s="71">
        <f t="shared" si="515"/>
        <v>45</v>
      </c>
      <c r="J2622" s="71">
        <f t="shared" si="515"/>
        <v>45</v>
      </c>
      <c r="K2622" s="71">
        <f t="shared" si="515"/>
        <v>39</v>
      </c>
      <c r="L2622" s="71">
        <f t="shared" si="515"/>
        <v>43</v>
      </c>
      <c r="M2622" s="71">
        <f t="shared" si="515"/>
        <v>44</v>
      </c>
      <c r="N2622" s="71">
        <f t="shared" si="515"/>
        <v>86</v>
      </c>
      <c r="O2622" s="26">
        <f t="shared" si="515"/>
        <v>128</v>
      </c>
      <c r="P2622" s="71">
        <f t="shared" si="512"/>
        <v>39</v>
      </c>
      <c r="Q2622" s="71">
        <f t="shared" si="513"/>
        <v>213</v>
      </c>
      <c r="R2622" s="7">
        <f t="shared" si="514"/>
        <v>0.84523809523809523</v>
      </c>
      <c r="S2622" s="503"/>
      <c r="U2622" s="560"/>
      <c r="V2622" s="528"/>
    </row>
    <row r="2623" spans="1:22" ht="9.75" customHeight="1">
      <c r="A2623" s="503"/>
      <c r="B2623" s="503"/>
      <c r="C2623" s="43" t="s">
        <v>392</v>
      </c>
      <c r="D2623" s="43" t="s">
        <v>23</v>
      </c>
      <c r="E2623" s="13"/>
      <c r="F2623" s="109"/>
      <c r="G2623" s="504"/>
      <c r="H2623" s="504"/>
      <c r="I2623" s="504"/>
      <c r="J2623" s="504"/>
      <c r="K2623" s="504"/>
      <c r="L2623" s="504"/>
      <c r="M2623" s="504"/>
      <c r="N2623" s="504"/>
      <c r="O2623" s="110"/>
      <c r="P2623" s="109"/>
      <c r="Q2623" s="504"/>
      <c r="R2623" s="107"/>
      <c r="S2623" s="503"/>
      <c r="U2623" s="560"/>
      <c r="V2623" s="528"/>
    </row>
    <row r="2624" spans="1:22" ht="9.75" customHeight="1">
      <c r="A2624" s="503"/>
      <c r="B2624" s="503"/>
      <c r="C2624" s="13"/>
      <c r="D2624" s="13" t="s">
        <v>25</v>
      </c>
      <c r="E2624" s="13"/>
      <c r="F2624" s="109"/>
      <c r="G2624" s="504"/>
      <c r="H2624" s="504"/>
      <c r="I2624" s="504"/>
      <c r="J2624" s="504"/>
      <c r="K2624" s="504"/>
      <c r="L2624" s="504"/>
      <c r="M2624" s="504"/>
      <c r="N2624" s="504"/>
      <c r="O2624" s="110"/>
      <c r="P2624" s="109"/>
      <c r="Q2624" s="504"/>
      <c r="R2624" s="107"/>
      <c r="S2624" s="503"/>
      <c r="U2624" s="560"/>
      <c r="V2624" s="528"/>
    </row>
    <row r="2625" spans="1:22" ht="9.75" customHeight="1">
      <c r="A2625" s="503"/>
      <c r="B2625" s="503"/>
      <c r="C2625" s="13"/>
      <c r="D2625" s="13" t="s">
        <v>27</v>
      </c>
      <c r="E2625" s="13"/>
      <c r="F2625" s="109"/>
      <c r="G2625" s="504"/>
      <c r="H2625" s="504"/>
      <c r="I2625" s="504"/>
      <c r="J2625" s="504"/>
      <c r="K2625" s="504"/>
      <c r="L2625" s="504"/>
      <c r="M2625" s="504"/>
      <c r="N2625" s="504"/>
      <c r="O2625" s="110"/>
      <c r="P2625" s="109"/>
      <c r="Q2625" s="504"/>
      <c r="R2625" s="107"/>
      <c r="S2625" s="503"/>
      <c r="U2625" s="560"/>
      <c r="V2625" s="528"/>
    </row>
    <row r="2626" spans="1:22" ht="9.75" customHeight="1">
      <c r="A2626" s="503"/>
      <c r="B2626" s="503"/>
      <c r="C2626" s="13"/>
      <c r="D2626" s="13" t="s">
        <v>115</v>
      </c>
      <c r="E2626" s="13"/>
      <c r="F2626" s="109"/>
      <c r="G2626" s="504"/>
      <c r="H2626" s="504"/>
      <c r="I2626" s="504"/>
      <c r="J2626" s="504"/>
      <c r="K2626" s="504"/>
      <c r="L2626" s="504"/>
      <c r="M2626" s="504"/>
      <c r="N2626" s="504"/>
      <c r="O2626" s="110"/>
      <c r="P2626" s="109"/>
      <c r="Q2626" s="504"/>
      <c r="R2626" s="107"/>
      <c r="S2626" s="503"/>
      <c r="U2626" s="560"/>
      <c r="V2626" s="528"/>
    </row>
    <row r="2627" spans="1:22" ht="9.75" customHeight="1">
      <c r="A2627" s="503"/>
      <c r="B2627" s="503"/>
      <c r="C2627" s="13"/>
      <c r="D2627" s="13" t="s">
        <v>115</v>
      </c>
      <c r="E2627" s="13"/>
      <c r="F2627" s="109"/>
      <c r="G2627" s="504"/>
      <c r="H2627" s="504"/>
      <c r="I2627" s="504"/>
      <c r="J2627" s="504"/>
      <c r="K2627" s="504"/>
      <c r="L2627" s="504"/>
      <c r="M2627" s="504"/>
      <c r="N2627" s="504"/>
      <c r="O2627" s="110"/>
      <c r="P2627" s="109"/>
      <c r="Q2627" s="504"/>
      <c r="R2627" s="107"/>
      <c r="S2627" s="503"/>
      <c r="U2627" s="560"/>
      <c r="V2627" s="528"/>
    </row>
    <row r="2628" spans="1:22" ht="9.75" customHeight="1">
      <c r="A2628" s="503"/>
      <c r="B2628" s="503"/>
      <c r="C2628" s="13"/>
      <c r="D2628" s="13" t="s">
        <v>32</v>
      </c>
      <c r="E2628" s="13"/>
      <c r="F2628" s="109"/>
      <c r="G2628" s="504"/>
      <c r="H2628" s="504"/>
      <c r="I2628" s="504"/>
      <c r="J2628" s="504"/>
      <c r="K2628" s="504"/>
      <c r="L2628" s="504"/>
      <c r="M2628" s="504"/>
      <c r="N2628" s="504"/>
      <c r="O2628" s="110"/>
      <c r="P2628" s="109"/>
      <c r="Q2628" s="504"/>
      <c r="R2628" s="107"/>
      <c r="S2628" s="503"/>
      <c r="U2628" s="560"/>
      <c r="V2628" s="528"/>
    </row>
    <row r="2629" spans="1:22" ht="9.75" customHeight="1">
      <c r="A2629" s="503"/>
      <c r="B2629" s="503"/>
      <c r="C2629" s="13"/>
      <c r="D2629" s="13" t="s">
        <v>120</v>
      </c>
      <c r="E2629" s="13"/>
      <c r="F2629" s="109"/>
      <c r="G2629" s="504"/>
      <c r="H2629" s="504"/>
      <c r="I2629" s="504"/>
      <c r="J2629" s="504"/>
      <c r="K2629" s="504"/>
      <c r="L2629" s="504"/>
      <c r="M2629" s="504"/>
      <c r="N2629" s="504"/>
      <c r="O2629" s="110"/>
      <c r="P2629" s="109"/>
      <c r="Q2629" s="504"/>
      <c r="R2629" s="107"/>
      <c r="S2629" s="503"/>
      <c r="U2629" s="560"/>
      <c r="V2629" s="528"/>
    </row>
    <row r="2630" spans="1:22" ht="9.75" customHeight="1">
      <c r="A2630" s="503"/>
      <c r="B2630" s="503"/>
      <c r="C2630" s="13"/>
      <c r="D2630" s="13" t="s">
        <v>120</v>
      </c>
      <c r="E2630" s="13"/>
      <c r="F2630" s="109"/>
      <c r="G2630" s="504"/>
      <c r="H2630" s="504"/>
      <c r="I2630" s="504"/>
      <c r="J2630" s="504"/>
      <c r="K2630" s="504"/>
      <c r="L2630" s="504"/>
      <c r="M2630" s="504"/>
      <c r="N2630" s="504"/>
      <c r="O2630" s="110"/>
      <c r="P2630" s="109"/>
      <c r="Q2630" s="504"/>
      <c r="R2630" s="107"/>
      <c r="S2630" s="503"/>
      <c r="U2630" s="560"/>
      <c r="V2630" s="528"/>
    </row>
    <row r="2631" spans="1:22" ht="9.75" customHeight="1">
      <c r="A2631" s="503"/>
      <c r="B2631" s="503"/>
      <c r="C2631" s="13"/>
      <c r="D2631" s="13" t="s">
        <v>120</v>
      </c>
      <c r="E2631" s="13"/>
      <c r="F2631" s="109"/>
      <c r="G2631" s="504"/>
      <c r="H2631" s="504"/>
      <c r="I2631" s="504"/>
      <c r="J2631" s="504"/>
      <c r="K2631" s="504"/>
      <c r="L2631" s="504"/>
      <c r="M2631" s="504"/>
      <c r="N2631" s="504"/>
      <c r="O2631" s="110"/>
      <c r="P2631" s="109"/>
      <c r="Q2631" s="504"/>
      <c r="R2631" s="107"/>
      <c r="S2631" s="503"/>
      <c r="U2631" s="560"/>
      <c r="V2631" s="528"/>
    </row>
    <row r="2632" spans="1:22" ht="9.75" customHeight="1">
      <c r="A2632" s="503"/>
      <c r="B2632" s="503"/>
      <c r="C2632" s="13"/>
      <c r="D2632" s="13" t="s">
        <v>120</v>
      </c>
      <c r="E2632" s="13"/>
      <c r="F2632" s="109"/>
      <c r="G2632" s="504"/>
      <c r="H2632" s="504"/>
      <c r="I2632" s="504"/>
      <c r="J2632" s="504"/>
      <c r="K2632" s="504"/>
      <c r="L2632" s="504"/>
      <c r="M2632" s="504"/>
      <c r="N2632" s="504"/>
      <c r="O2632" s="110"/>
      <c r="P2632" s="109"/>
      <c r="Q2632" s="504"/>
      <c r="R2632" s="107"/>
      <c r="S2632" s="503"/>
      <c r="U2632" s="560"/>
      <c r="V2632" s="528"/>
    </row>
    <row r="2633" spans="1:22" ht="9.75" customHeight="1">
      <c r="A2633" s="503"/>
      <c r="B2633" s="503"/>
      <c r="C2633" s="13"/>
      <c r="D2633" s="13" t="s">
        <v>120</v>
      </c>
      <c r="E2633" s="13"/>
      <c r="F2633" s="109"/>
      <c r="G2633" s="504"/>
      <c r="H2633" s="504"/>
      <c r="I2633" s="504"/>
      <c r="J2633" s="504"/>
      <c r="K2633" s="504"/>
      <c r="L2633" s="504"/>
      <c r="M2633" s="504"/>
      <c r="N2633" s="504"/>
      <c r="O2633" s="110"/>
      <c r="P2633" s="109"/>
      <c r="Q2633" s="504"/>
      <c r="R2633" s="107"/>
      <c r="S2633" s="503"/>
      <c r="U2633" s="560"/>
      <c r="V2633" s="528"/>
    </row>
    <row r="2634" spans="1:22" ht="9.75" customHeight="1">
      <c r="A2634" s="503"/>
      <c r="B2634" s="503"/>
      <c r="C2634" s="13"/>
      <c r="D2634" s="13" t="s">
        <v>120</v>
      </c>
      <c r="E2634" s="13"/>
      <c r="F2634" s="109"/>
      <c r="G2634" s="504"/>
      <c r="H2634" s="504"/>
      <c r="I2634" s="504"/>
      <c r="J2634" s="504"/>
      <c r="K2634" s="504"/>
      <c r="L2634" s="504"/>
      <c r="M2634" s="504"/>
      <c r="N2634" s="504"/>
      <c r="O2634" s="110"/>
      <c r="P2634" s="109"/>
      <c r="Q2634" s="504"/>
      <c r="R2634" s="107"/>
      <c r="S2634" s="503"/>
      <c r="U2634" s="560"/>
      <c r="V2634" s="528"/>
    </row>
    <row r="2635" spans="1:22" ht="9.75" customHeight="1">
      <c r="A2635" s="503"/>
      <c r="B2635" s="503"/>
      <c r="C2635" s="13"/>
      <c r="D2635" s="13" t="s">
        <v>34</v>
      </c>
      <c r="E2635" s="13"/>
      <c r="F2635" s="109"/>
      <c r="G2635" s="504"/>
      <c r="H2635" s="504"/>
      <c r="I2635" s="504"/>
      <c r="J2635" s="504"/>
      <c r="K2635" s="504"/>
      <c r="L2635" s="504"/>
      <c r="M2635" s="504"/>
      <c r="N2635" s="504"/>
      <c r="O2635" s="110"/>
      <c r="P2635" s="109"/>
      <c r="Q2635" s="504"/>
      <c r="R2635" s="107"/>
      <c r="S2635" s="503"/>
      <c r="U2635" s="560"/>
      <c r="V2635" s="528"/>
    </row>
    <row r="2636" spans="1:22" ht="9.75" customHeight="1">
      <c r="A2636" s="503"/>
      <c r="B2636" s="503"/>
      <c r="C2636" s="13"/>
      <c r="D2636" s="13" t="s">
        <v>35</v>
      </c>
      <c r="E2636" s="13">
        <v>3</v>
      </c>
      <c r="F2636" s="109">
        <v>3</v>
      </c>
      <c r="G2636" s="504">
        <v>2</v>
      </c>
      <c r="H2636" s="504">
        <v>1</v>
      </c>
      <c r="I2636" s="504">
        <v>2</v>
      </c>
      <c r="J2636" s="504">
        <v>3</v>
      </c>
      <c r="K2636" s="504">
        <v>1</v>
      </c>
      <c r="L2636" s="504">
        <v>3</v>
      </c>
      <c r="M2636" s="504">
        <v>3</v>
      </c>
      <c r="N2636" s="504">
        <v>3</v>
      </c>
      <c r="O2636" s="110">
        <v>3</v>
      </c>
      <c r="P2636" s="109">
        <f>MIN(F2636:O2636)</f>
        <v>1</v>
      </c>
      <c r="Q2636" s="504">
        <f>E2636-P2636</f>
        <v>2</v>
      </c>
      <c r="R2636" s="107">
        <f>Q2636/E2636</f>
        <v>0.66666666666666663</v>
      </c>
      <c r="S2636" s="503"/>
      <c r="U2636" s="560"/>
      <c r="V2636" s="528"/>
    </row>
    <row r="2637" spans="1:22" ht="9.75" customHeight="1">
      <c r="A2637" s="503"/>
      <c r="B2637" s="503"/>
      <c r="C2637" s="13"/>
      <c r="D2637" s="13" t="s">
        <v>36</v>
      </c>
      <c r="E2637" s="13"/>
      <c r="F2637" s="109"/>
      <c r="G2637" s="504"/>
      <c r="H2637" s="504"/>
      <c r="I2637" s="504"/>
      <c r="J2637" s="504"/>
      <c r="K2637" s="504"/>
      <c r="L2637" s="504"/>
      <c r="M2637" s="504"/>
      <c r="N2637" s="504"/>
      <c r="O2637" s="110"/>
      <c r="P2637" s="109"/>
      <c r="Q2637" s="504"/>
      <c r="R2637" s="107"/>
      <c r="S2637" s="503"/>
      <c r="U2637" s="560"/>
      <c r="V2637" s="528"/>
    </row>
    <row r="2638" spans="1:22" ht="9.75" customHeight="1">
      <c r="A2638" s="503"/>
      <c r="B2638" s="503"/>
      <c r="C2638" s="13"/>
      <c r="D2638" s="13" t="s">
        <v>37</v>
      </c>
      <c r="E2638" s="13"/>
      <c r="F2638" s="109"/>
      <c r="G2638" s="504"/>
      <c r="H2638" s="504"/>
      <c r="I2638" s="504"/>
      <c r="J2638" s="504"/>
      <c r="K2638" s="504"/>
      <c r="L2638" s="504"/>
      <c r="M2638" s="504"/>
      <c r="N2638" s="504"/>
      <c r="O2638" s="110"/>
      <c r="P2638" s="109"/>
      <c r="Q2638" s="504"/>
      <c r="R2638" s="107"/>
      <c r="S2638" s="503"/>
      <c r="U2638" s="560"/>
      <c r="V2638" s="528"/>
    </row>
    <row r="2639" spans="1:22" ht="9.75" customHeight="1">
      <c r="A2639" s="503"/>
      <c r="B2639" s="503" t="s">
        <v>127</v>
      </c>
      <c r="C2639" s="2"/>
      <c r="D2639" s="21" t="s">
        <v>38</v>
      </c>
      <c r="E2639" s="21">
        <f t="shared" ref="E2639" si="516">SUM(E2623:E2638)</f>
        <v>3</v>
      </c>
      <c r="F2639" s="21">
        <f t="shared" ref="F2639:O2639" si="517">SUM(F2623:F2638)</f>
        <v>3</v>
      </c>
      <c r="G2639" s="71">
        <f t="shared" si="517"/>
        <v>2</v>
      </c>
      <c r="H2639" s="71">
        <f t="shared" si="517"/>
        <v>1</v>
      </c>
      <c r="I2639" s="71">
        <f t="shared" si="517"/>
        <v>2</v>
      </c>
      <c r="J2639" s="71">
        <f t="shared" si="517"/>
        <v>3</v>
      </c>
      <c r="K2639" s="71">
        <f t="shared" si="517"/>
        <v>1</v>
      </c>
      <c r="L2639" s="71">
        <f t="shared" si="517"/>
        <v>3</v>
      </c>
      <c r="M2639" s="71">
        <f t="shared" si="517"/>
        <v>3</v>
      </c>
      <c r="N2639" s="71">
        <f t="shared" si="517"/>
        <v>3</v>
      </c>
      <c r="O2639" s="26">
        <f t="shared" si="517"/>
        <v>3</v>
      </c>
      <c r="P2639" s="71">
        <f>MIN(F2639:O2639)</f>
        <v>1</v>
      </c>
      <c r="Q2639" s="71">
        <f>E2639-P2639</f>
        <v>2</v>
      </c>
      <c r="R2639" s="7">
        <f>Q2639/E2639</f>
        <v>0.66666666666666663</v>
      </c>
      <c r="S2639" s="503"/>
      <c r="U2639" s="560"/>
      <c r="V2639" s="528"/>
    </row>
    <row r="2640" spans="1:22" ht="9.75" customHeight="1">
      <c r="A2640" s="503"/>
      <c r="B2640" s="503"/>
      <c r="C2640" s="13" t="s">
        <v>393</v>
      </c>
      <c r="D2640" s="43" t="s">
        <v>23</v>
      </c>
      <c r="E2640" s="13"/>
      <c r="F2640" s="109"/>
      <c r="G2640" s="504"/>
      <c r="H2640" s="504"/>
      <c r="I2640" s="504"/>
      <c r="J2640" s="504"/>
      <c r="K2640" s="504"/>
      <c r="L2640" s="504"/>
      <c r="M2640" s="504"/>
      <c r="N2640" s="504"/>
      <c r="O2640" s="110"/>
      <c r="P2640" s="109"/>
      <c r="Q2640" s="504"/>
      <c r="R2640" s="107"/>
      <c r="S2640" s="503"/>
      <c r="U2640" s="560"/>
      <c r="V2640" s="528"/>
    </row>
    <row r="2641" spans="1:22" ht="9.75" customHeight="1">
      <c r="A2641" s="503"/>
      <c r="B2641" s="503"/>
      <c r="C2641" s="13"/>
      <c r="D2641" s="13" t="s">
        <v>25</v>
      </c>
      <c r="E2641" s="13"/>
      <c r="F2641" s="109"/>
      <c r="G2641" s="504"/>
      <c r="H2641" s="504"/>
      <c r="I2641" s="504"/>
      <c r="J2641" s="504"/>
      <c r="K2641" s="504"/>
      <c r="L2641" s="504"/>
      <c r="M2641" s="504"/>
      <c r="N2641" s="504"/>
      <c r="O2641" s="110"/>
      <c r="P2641" s="109"/>
      <c r="Q2641" s="504"/>
      <c r="R2641" s="107"/>
      <c r="S2641" s="503"/>
      <c r="U2641" s="560"/>
      <c r="V2641" s="528"/>
    </row>
    <row r="2642" spans="1:22" ht="9.75" customHeight="1">
      <c r="A2642" s="503"/>
      <c r="B2642" s="503"/>
      <c r="C2642" s="13"/>
      <c r="D2642" s="13" t="s">
        <v>27</v>
      </c>
      <c r="E2642" s="13"/>
      <c r="F2642" s="109"/>
      <c r="G2642" s="504"/>
      <c r="H2642" s="504"/>
      <c r="I2642" s="504"/>
      <c r="J2642" s="504"/>
      <c r="K2642" s="504"/>
      <c r="L2642" s="504"/>
      <c r="M2642" s="504"/>
      <c r="N2642" s="504"/>
      <c r="O2642" s="110"/>
      <c r="P2642" s="109"/>
      <c r="Q2642" s="504"/>
      <c r="R2642" s="107"/>
      <c r="S2642" s="503"/>
      <c r="U2642" s="560"/>
      <c r="V2642" s="528"/>
    </row>
    <row r="2643" spans="1:22" ht="9.75" customHeight="1">
      <c r="A2643" s="503"/>
      <c r="B2643" s="503"/>
      <c r="C2643" s="13"/>
      <c r="D2643" s="13" t="s">
        <v>115</v>
      </c>
      <c r="E2643" s="13"/>
      <c r="F2643" s="109"/>
      <c r="G2643" s="504"/>
      <c r="H2643" s="504"/>
      <c r="I2643" s="504"/>
      <c r="J2643" s="504"/>
      <c r="K2643" s="504"/>
      <c r="L2643" s="504"/>
      <c r="M2643" s="504"/>
      <c r="N2643" s="504"/>
      <c r="O2643" s="110"/>
      <c r="P2643" s="109"/>
      <c r="Q2643" s="504"/>
      <c r="R2643" s="107"/>
      <c r="S2643" s="503"/>
      <c r="U2643" s="560"/>
      <c r="V2643" s="528"/>
    </row>
    <row r="2644" spans="1:22" ht="9.75" customHeight="1">
      <c r="A2644" s="503"/>
      <c r="B2644" s="503"/>
      <c r="C2644" s="13"/>
      <c r="D2644" s="13" t="s">
        <v>115</v>
      </c>
      <c r="E2644" s="13"/>
      <c r="F2644" s="109"/>
      <c r="G2644" s="504"/>
      <c r="H2644" s="504"/>
      <c r="I2644" s="504"/>
      <c r="J2644" s="504"/>
      <c r="K2644" s="504"/>
      <c r="L2644" s="504"/>
      <c r="M2644" s="504"/>
      <c r="N2644" s="504"/>
      <c r="O2644" s="110"/>
      <c r="P2644" s="109"/>
      <c r="Q2644" s="504"/>
      <c r="R2644" s="107"/>
      <c r="S2644" s="503"/>
      <c r="U2644" s="560"/>
      <c r="V2644" s="528"/>
    </row>
    <row r="2645" spans="1:22" ht="9.75" customHeight="1">
      <c r="A2645" s="503"/>
      <c r="B2645" s="503"/>
      <c r="C2645" s="13"/>
      <c r="D2645" s="13" t="s">
        <v>32</v>
      </c>
      <c r="E2645" s="13"/>
      <c r="F2645" s="109"/>
      <c r="G2645" s="504"/>
      <c r="H2645" s="504"/>
      <c r="I2645" s="504"/>
      <c r="J2645" s="504"/>
      <c r="K2645" s="504"/>
      <c r="L2645" s="504"/>
      <c r="M2645" s="504"/>
      <c r="N2645" s="504"/>
      <c r="O2645" s="110"/>
      <c r="P2645" s="109"/>
      <c r="Q2645" s="504"/>
      <c r="R2645" s="107"/>
      <c r="S2645" s="503"/>
      <c r="U2645" s="560"/>
      <c r="V2645" s="528"/>
    </row>
    <row r="2646" spans="1:22" ht="9.75" customHeight="1">
      <c r="A2646" s="503"/>
      <c r="B2646" s="503"/>
      <c r="C2646" s="13"/>
      <c r="D2646" s="13" t="s">
        <v>120</v>
      </c>
      <c r="E2646" s="13"/>
      <c r="F2646" s="109"/>
      <c r="G2646" s="504"/>
      <c r="H2646" s="504"/>
      <c r="I2646" s="504"/>
      <c r="J2646" s="504"/>
      <c r="K2646" s="504"/>
      <c r="L2646" s="504"/>
      <c r="M2646" s="504"/>
      <c r="N2646" s="504"/>
      <c r="O2646" s="110"/>
      <c r="P2646" s="109"/>
      <c r="Q2646" s="504"/>
      <c r="R2646" s="107"/>
      <c r="S2646" s="503"/>
      <c r="U2646" s="560"/>
      <c r="V2646" s="528"/>
    </row>
    <row r="2647" spans="1:22" ht="9.75" customHeight="1">
      <c r="A2647" s="503"/>
      <c r="B2647" s="503"/>
      <c r="C2647" s="13"/>
      <c r="D2647" s="13" t="s">
        <v>120</v>
      </c>
      <c r="E2647" s="13"/>
      <c r="F2647" s="109"/>
      <c r="G2647" s="504"/>
      <c r="H2647" s="504"/>
      <c r="I2647" s="504"/>
      <c r="J2647" s="504"/>
      <c r="K2647" s="504"/>
      <c r="L2647" s="504"/>
      <c r="M2647" s="504"/>
      <c r="N2647" s="504"/>
      <c r="O2647" s="110"/>
      <c r="P2647" s="109"/>
      <c r="Q2647" s="504"/>
      <c r="R2647" s="107"/>
      <c r="S2647" s="503"/>
      <c r="U2647" s="560"/>
      <c r="V2647" s="528"/>
    </row>
    <row r="2648" spans="1:22" ht="9.75" customHeight="1">
      <c r="A2648" s="503"/>
      <c r="B2648" s="503"/>
      <c r="C2648" s="13"/>
      <c r="D2648" s="13" t="s">
        <v>120</v>
      </c>
      <c r="E2648" s="13"/>
      <c r="F2648" s="109"/>
      <c r="G2648" s="504"/>
      <c r="H2648" s="504"/>
      <c r="I2648" s="504"/>
      <c r="J2648" s="504"/>
      <c r="K2648" s="504"/>
      <c r="L2648" s="504"/>
      <c r="M2648" s="504"/>
      <c r="N2648" s="504"/>
      <c r="O2648" s="110"/>
      <c r="P2648" s="109"/>
      <c r="Q2648" s="504"/>
      <c r="R2648" s="107"/>
      <c r="S2648" s="503"/>
      <c r="U2648" s="560"/>
      <c r="V2648" s="528"/>
    </row>
    <row r="2649" spans="1:22" ht="9.75" customHeight="1">
      <c r="A2649" s="503"/>
      <c r="B2649" s="503"/>
      <c r="C2649" s="13"/>
      <c r="D2649" s="13" t="s">
        <v>120</v>
      </c>
      <c r="E2649" s="13"/>
      <c r="F2649" s="109"/>
      <c r="G2649" s="504"/>
      <c r="H2649" s="504"/>
      <c r="I2649" s="504"/>
      <c r="J2649" s="504"/>
      <c r="K2649" s="504"/>
      <c r="L2649" s="504"/>
      <c r="M2649" s="504"/>
      <c r="N2649" s="504"/>
      <c r="O2649" s="110"/>
      <c r="P2649" s="109"/>
      <c r="Q2649" s="504"/>
      <c r="R2649" s="107"/>
      <c r="S2649" s="503"/>
      <c r="U2649" s="560"/>
      <c r="V2649" s="528"/>
    </row>
    <row r="2650" spans="1:22" ht="9.75" customHeight="1">
      <c r="A2650" s="503"/>
      <c r="B2650" s="503"/>
      <c r="C2650" s="13"/>
      <c r="D2650" s="13" t="s">
        <v>120</v>
      </c>
      <c r="E2650" s="13"/>
      <c r="F2650" s="109"/>
      <c r="G2650" s="504"/>
      <c r="H2650" s="504"/>
      <c r="I2650" s="504"/>
      <c r="J2650" s="504"/>
      <c r="K2650" s="504"/>
      <c r="L2650" s="504"/>
      <c r="M2650" s="504"/>
      <c r="N2650" s="504"/>
      <c r="O2650" s="110"/>
      <c r="P2650" s="109"/>
      <c r="Q2650" s="504"/>
      <c r="R2650" s="107"/>
      <c r="S2650" s="503"/>
      <c r="U2650" s="560"/>
      <c r="V2650" s="528"/>
    </row>
    <row r="2651" spans="1:22" ht="9.75" customHeight="1">
      <c r="A2651" s="503"/>
      <c r="B2651" s="503"/>
      <c r="C2651" s="13"/>
      <c r="D2651" s="13" t="s">
        <v>120</v>
      </c>
      <c r="E2651" s="13"/>
      <c r="F2651" s="109"/>
      <c r="G2651" s="504"/>
      <c r="H2651" s="504"/>
      <c r="I2651" s="504"/>
      <c r="J2651" s="504"/>
      <c r="K2651" s="504"/>
      <c r="L2651" s="504"/>
      <c r="M2651" s="504"/>
      <c r="N2651" s="504"/>
      <c r="O2651" s="110"/>
      <c r="P2651" s="109"/>
      <c r="Q2651" s="504"/>
      <c r="R2651" s="107"/>
      <c r="S2651" s="503"/>
      <c r="U2651" s="560"/>
      <c r="V2651" s="528"/>
    </row>
    <row r="2652" spans="1:22" ht="9.75" customHeight="1">
      <c r="A2652" s="503"/>
      <c r="B2652" s="503"/>
      <c r="C2652" s="13"/>
      <c r="D2652" s="13" t="s">
        <v>34</v>
      </c>
      <c r="E2652" s="13"/>
      <c r="F2652" s="109"/>
      <c r="G2652" s="504"/>
      <c r="H2652" s="504"/>
      <c r="I2652" s="504"/>
      <c r="J2652" s="504"/>
      <c r="K2652" s="504"/>
      <c r="L2652" s="504"/>
      <c r="M2652" s="504"/>
      <c r="N2652" s="504"/>
      <c r="O2652" s="110"/>
      <c r="P2652" s="109"/>
      <c r="Q2652" s="504"/>
      <c r="R2652" s="107"/>
      <c r="S2652" s="503"/>
      <c r="U2652" s="560"/>
      <c r="V2652" s="528"/>
    </row>
    <row r="2653" spans="1:22" ht="9.75" customHeight="1">
      <c r="A2653" s="503"/>
      <c r="B2653" s="503"/>
      <c r="C2653" s="13"/>
      <c r="D2653" s="13" t="s">
        <v>35</v>
      </c>
      <c r="E2653" s="13"/>
      <c r="F2653" s="109"/>
      <c r="G2653" s="504"/>
      <c r="H2653" s="504"/>
      <c r="I2653" s="504"/>
      <c r="J2653" s="504"/>
      <c r="K2653" s="504"/>
      <c r="L2653" s="504"/>
      <c r="M2653" s="504"/>
      <c r="N2653" s="504"/>
      <c r="O2653" s="110"/>
      <c r="P2653" s="109"/>
      <c r="Q2653" s="504"/>
      <c r="R2653" s="107"/>
      <c r="S2653" s="503"/>
      <c r="U2653" s="560"/>
      <c r="V2653" s="528"/>
    </row>
    <row r="2654" spans="1:22" ht="9.75" customHeight="1">
      <c r="A2654" s="503"/>
      <c r="B2654" s="503"/>
      <c r="C2654" s="13"/>
      <c r="D2654" s="13" t="s">
        <v>36</v>
      </c>
      <c r="E2654" s="13">
        <v>3</v>
      </c>
      <c r="F2654" s="109">
        <v>1</v>
      </c>
      <c r="G2654" s="504">
        <v>0</v>
      </c>
      <c r="H2654" s="504">
        <v>0</v>
      </c>
      <c r="I2654" s="504">
        <v>0</v>
      </c>
      <c r="J2654" s="504">
        <v>1</v>
      </c>
      <c r="K2654" s="504">
        <v>0</v>
      </c>
      <c r="L2654" s="504">
        <v>0</v>
      </c>
      <c r="M2654" s="504">
        <v>1</v>
      </c>
      <c r="N2654" s="504">
        <v>0</v>
      </c>
      <c r="O2654" s="110">
        <v>2</v>
      </c>
      <c r="P2654" s="109">
        <f t="shared" ref="P2654:P2656" si="518">MIN(F2654:O2654)</f>
        <v>0</v>
      </c>
      <c r="Q2654" s="504">
        <f t="shared" ref="Q2654:Q2656" si="519">E2654-P2654</f>
        <v>3</v>
      </c>
      <c r="R2654" s="107">
        <f t="shared" ref="R2654:R2656" si="520">Q2654/E2654</f>
        <v>1</v>
      </c>
      <c r="S2654" s="503"/>
      <c r="U2654" s="560"/>
      <c r="V2654" s="528"/>
    </row>
    <row r="2655" spans="1:22" ht="9.75" customHeight="1">
      <c r="A2655" s="503"/>
      <c r="B2655" s="503"/>
      <c r="C2655" s="13"/>
      <c r="D2655" s="13" t="s">
        <v>37</v>
      </c>
      <c r="E2655" s="13">
        <v>1</v>
      </c>
      <c r="F2655" s="109">
        <v>1</v>
      </c>
      <c r="G2655" s="504">
        <v>1</v>
      </c>
      <c r="H2655" s="504">
        <v>0</v>
      </c>
      <c r="I2655" s="504">
        <v>0</v>
      </c>
      <c r="J2655" s="504">
        <v>0</v>
      </c>
      <c r="K2655" s="504">
        <v>0</v>
      </c>
      <c r="L2655" s="504">
        <v>0</v>
      </c>
      <c r="M2655" s="504">
        <v>1</v>
      </c>
      <c r="N2655" s="504">
        <v>0</v>
      </c>
      <c r="O2655" s="110">
        <v>0</v>
      </c>
      <c r="P2655" s="109">
        <f t="shared" si="518"/>
        <v>0</v>
      </c>
      <c r="Q2655" s="504">
        <f t="shared" si="519"/>
        <v>1</v>
      </c>
      <c r="R2655" s="107">
        <f t="shared" si="520"/>
        <v>1</v>
      </c>
      <c r="S2655" s="503"/>
      <c r="U2655" s="560"/>
      <c r="V2655" s="528" t="str">
        <f t="shared" ref="V2655:V2656" si="521">IF(NOT(OR(D2655="A",D2655="B",D2655="S",D2655="V",D2655="Visitor:",D2655="Visitor: PBS",D2655="Reserved",D2655="Reserved: STEMI",D2655="Accessible",D2655="UC Vehicle",D2655="Service Yard",D2655="Loading",D2655="Total")), E2655,"")</f>
        <v/>
      </c>
    </row>
    <row r="2656" spans="1:22" ht="9.75" customHeight="1">
      <c r="A2656" s="503"/>
      <c r="B2656" s="503" t="s">
        <v>127</v>
      </c>
      <c r="C2656" s="13"/>
      <c r="D2656" s="21" t="s">
        <v>38</v>
      </c>
      <c r="E2656" s="21">
        <f t="shared" ref="E2656" si="522">SUM(E2640:E2655)</f>
        <v>4</v>
      </c>
      <c r="F2656" s="21">
        <f t="shared" ref="F2656:O2656" si="523">SUM(F2640:F2655)</f>
        <v>2</v>
      </c>
      <c r="G2656" s="71">
        <f t="shared" si="523"/>
        <v>1</v>
      </c>
      <c r="H2656" s="71">
        <f t="shared" si="523"/>
        <v>0</v>
      </c>
      <c r="I2656" s="71">
        <f t="shared" si="523"/>
        <v>0</v>
      </c>
      <c r="J2656" s="71">
        <f t="shared" si="523"/>
        <v>1</v>
      </c>
      <c r="K2656" s="71">
        <f t="shared" si="523"/>
        <v>0</v>
      </c>
      <c r="L2656" s="71">
        <f t="shared" si="523"/>
        <v>0</v>
      </c>
      <c r="M2656" s="71">
        <f t="shared" si="523"/>
        <v>2</v>
      </c>
      <c r="N2656" s="71">
        <f t="shared" si="523"/>
        <v>0</v>
      </c>
      <c r="O2656" s="26">
        <f t="shared" si="523"/>
        <v>2</v>
      </c>
      <c r="P2656" s="71">
        <f t="shared" si="518"/>
        <v>0</v>
      </c>
      <c r="Q2656" s="71">
        <f t="shared" si="519"/>
        <v>4</v>
      </c>
      <c r="R2656" s="7">
        <f t="shared" si="520"/>
        <v>1</v>
      </c>
      <c r="S2656" s="503"/>
      <c r="U2656" s="560"/>
      <c r="V2656" s="528" t="str">
        <f t="shared" si="521"/>
        <v/>
      </c>
    </row>
    <row r="2657" spans="1:21" ht="9.75" customHeight="1">
      <c r="A2657" s="503"/>
      <c r="B2657" s="503"/>
      <c r="C2657" s="48" t="s">
        <v>394</v>
      </c>
      <c r="D2657" s="48" t="s">
        <v>23</v>
      </c>
      <c r="E2657" s="50"/>
      <c r="F2657" s="157"/>
      <c r="G2657" s="49"/>
      <c r="H2657" s="49"/>
      <c r="I2657" s="49"/>
      <c r="J2657" s="49"/>
      <c r="K2657" s="49"/>
      <c r="L2657" s="49"/>
      <c r="M2657" s="49"/>
      <c r="N2657" s="49"/>
      <c r="O2657" s="158"/>
      <c r="P2657" s="159"/>
      <c r="Q2657" s="160"/>
      <c r="R2657" s="161"/>
      <c r="S2657" s="503"/>
      <c r="U2657" s="560"/>
    </row>
    <row r="2658" spans="1:21" ht="9.75" customHeight="1">
      <c r="A2658" s="503"/>
      <c r="B2658" s="503"/>
      <c r="C2658" s="50"/>
      <c r="D2658" s="50" t="s">
        <v>25</v>
      </c>
      <c r="E2658" s="50"/>
      <c r="F2658" s="157"/>
      <c r="G2658" s="49"/>
      <c r="H2658" s="49"/>
      <c r="I2658" s="49"/>
      <c r="J2658" s="49"/>
      <c r="K2658" s="49"/>
      <c r="L2658" s="49"/>
      <c r="M2658" s="49"/>
      <c r="N2658" s="49"/>
      <c r="O2658" s="158"/>
      <c r="P2658" s="157"/>
      <c r="Q2658" s="49"/>
      <c r="R2658" s="162"/>
      <c r="S2658" s="503"/>
      <c r="U2658" s="560"/>
    </row>
    <row r="2659" spans="1:21" ht="9.75" customHeight="1">
      <c r="A2659" s="503"/>
      <c r="B2659" s="503"/>
      <c r="C2659" s="51" t="s">
        <v>66</v>
      </c>
      <c r="D2659" s="50" t="s">
        <v>395</v>
      </c>
      <c r="E2659" s="50"/>
      <c r="F2659" s="163"/>
      <c r="G2659" s="52"/>
      <c r="H2659" s="52"/>
      <c r="I2659" s="52"/>
      <c r="J2659" s="52"/>
      <c r="K2659" s="49"/>
      <c r="L2659" s="49"/>
      <c r="M2659" s="49"/>
      <c r="N2659" s="49"/>
      <c r="O2659" s="158"/>
      <c r="P2659" s="157"/>
      <c r="Q2659" s="49"/>
      <c r="R2659" s="162"/>
      <c r="S2659" s="503"/>
      <c r="U2659" s="560"/>
    </row>
    <row r="2660" spans="1:21" ht="9.75" customHeight="1">
      <c r="A2660" s="503"/>
      <c r="B2660" s="503"/>
      <c r="C2660" s="51" t="s">
        <v>396</v>
      </c>
      <c r="D2660" s="50" t="s">
        <v>115</v>
      </c>
      <c r="E2660" s="50"/>
      <c r="F2660" s="157"/>
      <c r="G2660" s="49"/>
      <c r="H2660" s="49"/>
      <c r="I2660" s="49"/>
      <c r="J2660" s="49"/>
      <c r="K2660" s="49"/>
      <c r="L2660" s="49"/>
      <c r="M2660" s="49"/>
      <c r="N2660" s="49"/>
      <c r="O2660" s="158"/>
      <c r="P2660" s="157"/>
      <c r="Q2660" s="49"/>
      <c r="R2660" s="162"/>
      <c r="S2660" s="503"/>
      <c r="U2660" s="560"/>
    </row>
    <row r="2661" spans="1:21" ht="9.75" customHeight="1">
      <c r="A2661" s="503"/>
      <c r="B2661" s="503"/>
      <c r="C2661" s="51" t="s">
        <v>397</v>
      </c>
      <c r="D2661" s="50" t="s">
        <v>115</v>
      </c>
      <c r="E2661" s="50"/>
      <c r="F2661" s="157"/>
      <c r="G2661" s="49"/>
      <c r="H2661" s="49"/>
      <c r="I2661" s="49"/>
      <c r="J2661" s="49"/>
      <c r="K2661" s="49"/>
      <c r="L2661" s="49"/>
      <c r="M2661" s="49"/>
      <c r="N2661" s="49"/>
      <c r="O2661" s="158"/>
      <c r="P2661" s="157"/>
      <c r="Q2661" s="49"/>
      <c r="R2661" s="162"/>
      <c r="S2661" s="503"/>
      <c r="U2661" s="560"/>
    </row>
    <row r="2662" spans="1:21" ht="9.75" customHeight="1">
      <c r="A2662" s="503"/>
      <c r="B2662" s="503"/>
      <c r="C2662" s="51" t="s">
        <v>398</v>
      </c>
      <c r="D2662" s="50" t="s">
        <v>32</v>
      </c>
      <c r="E2662" s="50"/>
      <c r="F2662" s="157"/>
      <c r="G2662" s="49"/>
      <c r="H2662" s="49"/>
      <c r="I2662" s="49"/>
      <c r="J2662" s="49"/>
      <c r="K2662" s="49"/>
      <c r="L2662" s="49"/>
      <c r="M2662" s="49"/>
      <c r="N2662" s="49"/>
      <c r="O2662" s="158"/>
      <c r="P2662" s="157"/>
      <c r="Q2662" s="49"/>
      <c r="R2662" s="162"/>
      <c r="S2662" s="503"/>
      <c r="U2662" s="560"/>
    </row>
    <row r="2663" spans="1:21" ht="9.75" customHeight="1">
      <c r="A2663" s="503"/>
      <c r="B2663" s="503"/>
      <c r="C2663" s="50"/>
      <c r="D2663" s="50" t="s">
        <v>120</v>
      </c>
      <c r="E2663" s="50"/>
      <c r="F2663" s="157"/>
      <c r="G2663" s="49"/>
      <c r="H2663" s="49"/>
      <c r="I2663" s="49"/>
      <c r="J2663" s="49"/>
      <c r="K2663" s="49"/>
      <c r="L2663" s="49"/>
      <c r="M2663" s="49"/>
      <c r="N2663" s="49"/>
      <c r="O2663" s="158"/>
      <c r="P2663" s="157"/>
      <c r="Q2663" s="49"/>
      <c r="R2663" s="162"/>
      <c r="S2663" s="503"/>
      <c r="U2663" s="560"/>
    </row>
    <row r="2664" spans="1:21" ht="9.75" customHeight="1">
      <c r="A2664" s="503"/>
      <c r="B2664" s="503"/>
      <c r="C2664" s="50"/>
      <c r="D2664" s="50" t="s">
        <v>120</v>
      </c>
      <c r="E2664" s="50"/>
      <c r="F2664" s="157"/>
      <c r="G2664" s="49"/>
      <c r="H2664" s="49"/>
      <c r="I2664" s="49"/>
      <c r="J2664" s="49"/>
      <c r="K2664" s="49"/>
      <c r="L2664" s="49"/>
      <c r="M2664" s="49"/>
      <c r="N2664" s="49"/>
      <c r="O2664" s="158"/>
      <c r="P2664" s="157"/>
      <c r="Q2664" s="49"/>
      <c r="R2664" s="162"/>
      <c r="S2664" s="503"/>
      <c r="U2664" s="560"/>
    </row>
    <row r="2665" spans="1:21" ht="9.75" customHeight="1">
      <c r="A2665" s="503"/>
      <c r="B2665" s="503"/>
      <c r="C2665" s="50"/>
      <c r="D2665" s="50" t="s">
        <v>120</v>
      </c>
      <c r="E2665" s="50"/>
      <c r="F2665" s="157"/>
      <c r="G2665" s="49"/>
      <c r="H2665" s="49"/>
      <c r="I2665" s="49"/>
      <c r="J2665" s="49"/>
      <c r="K2665" s="49"/>
      <c r="L2665" s="49"/>
      <c r="M2665" s="49"/>
      <c r="N2665" s="49"/>
      <c r="O2665" s="158"/>
      <c r="P2665" s="157"/>
      <c r="Q2665" s="49"/>
      <c r="R2665" s="162"/>
      <c r="S2665" s="503"/>
      <c r="U2665" s="560"/>
    </row>
    <row r="2666" spans="1:21" ht="9.75" customHeight="1">
      <c r="A2666" s="503"/>
      <c r="B2666" s="503"/>
      <c r="C2666" s="50"/>
      <c r="D2666" s="50" t="s">
        <v>120</v>
      </c>
      <c r="E2666" s="50"/>
      <c r="F2666" s="157"/>
      <c r="G2666" s="49"/>
      <c r="H2666" s="49"/>
      <c r="I2666" s="49"/>
      <c r="J2666" s="49"/>
      <c r="K2666" s="49"/>
      <c r="L2666" s="49"/>
      <c r="M2666" s="49"/>
      <c r="N2666" s="49"/>
      <c r="O2666" s="158"/>
      <c r="P2666" s="157"/>
      <c r="Q2666" s="49"/>
      <c r="R2666" s="162"/>
      <c r="S2666" s="503"/>
      <c r="U2666" s="560"/>
    </row>
    <row r="2667" spans="1:21" ht="9.75" customHeight="1">
      <c r="A2667" s="503"/>
      <c r="B2667" s="503"/>
      <c r="C2667" s="50"/>
      <c r="D2667" s="50" t="s">
        <v>120</v>
      </c>
      <c r="E2667" s="50"/>
      <c r="F2667" s="157"/>
      <c r="G2667" s="49"/>
      <c r="H2667" s="49"/>
      <c r="I2667" s="49"/>
      <c r="J2667" s="49"/>
      <c r="K2667" s="49"/>
      <c r="L2667" s="49"/>
      <c r="M2667" s="49"/>
      <c r="N2667" s="49"/>
      <c r="O2667" s="158"/>
      <c r="P2667" s="157"/>
      <c r="Q2667" s="49"/>
      <c r="R2667" s="162"/>
      <c r="S2667" s="503"/>
      <c r="U2667" s="560"/>
    </row>
    <row r="2668" spans="1:21" ht="9.75" customHeight="1">
      <c r="A2668" s="503"/>
      <c r="B2668" s="503"/>
      <c r="C2668" s="50"/>
      <c r="D2668" s="50" t="s">
        <v>120</v>
      </c>
      <c r="E2668" s="50"/>
      <c r="F2668" s="157"/>
      <c r="G2668" s="49"/>
      <c r="H2668" s="49"/>
      <c r="I2668" s="49"/>
      <c r="J2668" s="49"/>
      <c r="K2668" s="49"/>
      <c r="L2668" s="49"/>
      <c r="M2668" s="49"/>
      <c r="N2668" s="49"/>
      <c r="O2668" s="158"/>
      <c r="P2668" s="157"/>
      <c r="Q2668" s="49"/>
      <c r="R2668" s="162"/>
      <c r="S2668" s="503"/>
      <c r="U2668" s="560"/>
    </row>
    <row r="2669" spans="1:21" ht="9.75" customHeight="1">
      <c r="A2669" s="503"/>
      <c r="B2669" s="503"/>
      <c r="C2669" s="50"/>
      <c r="D2669" s="50" t="s">
        <v>34</v>
      </c>
      <c r="E2669" s="50"/>
      <c r="F2669" s="157"/>
      <c r="G2669" s="49"/>
      <c r="H2669" s="49"/>
      <c r="I2669" s="49"/>
      <c r="J2669" s="49"/>
      <c r="K2669" s="49"/>
      <c r="L2669" s="49"/>
      <c r="M2669" s="49"/>
      <c r="N2669" s="49"/>
      <c r="O2669" s="158"/>
      <c r="P2669" s="157"/>
      <c r="Q2669" s="49"/>
      <c r="R2669" s="162"/>
      <c r="S2669" s="503"/>
      <c r="U2669" s="560"/>
    </row>
    <row r="2670" spans="1:21" ht="9.75" customHeight="1">
      <c r="A2670" s="503"/>
      <c r="B2670" s="503"/>
      <c r="C2670" s="50"/>
      <c r="D2670" s="50" t="s">
        <v>35</v>
      </c>
      <c r="E2670" s="50"/>
      <c r="F2670" s="157"/>
      <c r="G2670" s="49"/>
      <c r="H2670" s="49"/>
      <c r="I2670" s="49"/>
      <c r="J2670" s="49"/>
      <c r="K2670" s="49"/>
      <c r="L2670" s="49"/>
      <c r="M2670" s="49"/>
      <c r="N2670" s="49"/>
      <c r="O2670" s="158"/>
      <c r="P2670" s="157"/>
      <c r="Q2670" s="49"/>
      <c r="R2670" s="162"/>
      <c r="S2670" s="503"/>
      <c r="U2670" s="560"/>
    </row>
    <row r="2671" spans="1:21" ht="9.75" customHeight="1">
      <c r="A2671" s="503"/>
      <c r="B2671" s="503"/>
      <c r="C2671" s="50"/>
      <c r="D2671" s="50" t="s">
        <v>36</v>
      </c>
      <c r="E2671" s="50"/>
      <c r="F2671" s="157"/>
      <c r="G2671" s="49"/>
      <c r="H2671" s="49"/>
      <c r="I2671" s="49"/>
      <c r="J2671" s="49"/>
      <c r="K2671" s="49"/>
      <c r="L2671" s="49"/>
      <c r="M2671" s="49"/>
      <c r="N2671" s="49"/>
      <c r="O2671" s="158"/>
      <c r="P2671" s="157"/>
      <c r="Q2671" s="49"/>
      <c r="R2671" s="162"/>
      <c r="S2671" s="503"/>
      <c r="U2671" s="560"/>
    </row>
    <row r="2672" spans="1:21" ht="9.75" customHeight="1">
      <c r="A2672" s="503"/>
      <c r="B2672" s="503"/>
      <c r="C2672" s="50"/>
      <c r="D2672" s="50" t="s">
        <v>37</v>
      </c>
      <c r="E2672" s="50"/>
      <c r="F2672" s="157"/>
      <c r="G2672" s="49"/>
      <c r="H2672" s="49"/>
      <c r="I2672" s="49"/>
      <c r="J2672" s="49"/>
      <c r="K2672" s="49"/>
      <c r="L2672" s="49"/>
      <c r="M2672" s="49"/>
      <c r="N2672" s="49"/>
      <c r="O2672" s="158"/>
      <c r="P2672" s="157"/>
      <c r="Q2672" s="49"/>
      <c r="R2672" s="162"/>
      <c r="S2672" s="503"/>
      <c r="U2672" s="560"/>
    </row>
    <row r="2673" spans="1:21" ht="9.75" customHeight="1">
      <c r="A2673" s="503"/>
      <c r="B2673" s="503"/>
      <c r="C2673" s="53"/>
      <c r="D2673" s="54" t="s">
        <v>38</v>
      </c>
      <c r="E2673" s="54"/>
      <c r="F2673" s="54"/>
      <c r="G2673" s="164"/>
      <c r="H2673" s="164"/>
      <c r="I2673" s="164"/>
      <c r="J2673" s="164"/>
      <c r="K2673" s="164"/>
      <c r="L2673" s="164"/>
      <c r="M2673" s="164"/>
      <c r="N2673" s="164"/>
      <c r="O2673" s="55"/>
      <c r="P2673" s="164"/>
      <c r="Q2673" s="164"/>
      <c r="R2673" s="56"/>
      <c r="S2673" s="503"/>
      <c r="U2673" s="560"/>
    </row>
    <row r="2674" spans="1:21" ht="9.75" customHeight="1">
      <c r="A2674" s="503"/>
      <c r="B2674" s="503"/>
      <c r="C2674" s="43" t="s">
        <v>399</v>
      </c>
      <c r="D2674" s="43" t="s">
        <v>23</v>
      </c>
      <c r="E2674" s="13"/>
      <c r="F2674" s="109"/>
      <c r="G2674" s="504"/>
      <c r="H2674" s="504"/>
      <c r="I2674" s="504"/>
      <c r="J2674" s="504"/>
      <c r="K2674" s="504"/>
      <c r="L2674" s="504"/>
      <c r="M2674" s="504"/>
      <c r="N2674" s="504"/>
      <c r="O2674" s="110"/>
      <c r="P2674" s="116"/>
      <c r="Q2674" s="128"/>
      <c r="R2674" s="141"/>
      <c r="S2674" s="503"/>
      <c r="U2674" s="560"/>
    </row>
    <row r="2675" spans="1:21" ht="9.75" customHeight="1">
      <c r="A2675" s="503"/>
      <c r="B2675" s="503"/>
      <c r="C2675" s="13"/>
      <c r="D2675" s="13" t="s">
        <v>25</v>
      </c>
      <c r="E2675" s="13">
        <v>80</v>
      </c>
      <c r="F2675" s="109">
        <v>0</v>
      </c>
      <c r="G2675" s="504">
        <v>0</v>
      </c>
      <c r="H2675" s="504">
        <v>0</v>
      </c>
      <c r="I2675" s="504">
        <v>0</v>
      </c>
      <c r="J2675" s="504">
        <v>1</v>
      </c>
      <c r="K2675" s="504">
        <v>0</v>
      </c>
      <c r="L2675" s="504">
        <v>1</v>
      </c>
      <c r="M2675" s="504">
        <v>6</v>
      </c>
      <c r="N2675" s="504">
        <v>20</v>
      </c>
      <c r="O2675" s="110">
        <f>E2675-29</f>
        <v>51</v>
      </c>
      <c r="P2675" s="109">
        <f>MIN(F2675:O2675)</f>
        <v>0</v>
      </c>
      <c r="Q2675" s="504">
        <f>E2675-P2675</f>
        <v>80</v>
      </c>
      <c r="R2675" s="107">
        <f>Q2675/E2675</f>
        <v>1</v>
      </c>
      <c r="S2675" s="503"/>
      <c r="U2675" s="560"/>
    </row>
    <row r="2676" spans="1:21" ht="9.75" customHeight="1">
      <c r="A2676" s="503"/>
      <c r="B2676" s="503"/>
      <c r="C2676" s="13"/>
      <c r="D2676" s="13" t="s">
        <v>27</v>
      </c>
      <c r="E2676" s="13"/>
      <c r="F2676" s="109"/>
      <c r="G2676" s="504"/>
      <c r="H2676" s="504"/>
      <c r="I2676" s="504"/>
      <c r="J2676" s="504"/>
      <c r="K2676" s="504"/>
      <c r="L2676" s="504"/>
      <c r="M2676" s="504"/>
      <c r="N2676" s="504"/>
      <c r="O2676" s="110"/>
      <c r="P2676" s="109"/>
      <c r="Q2676" s="504"/>
      <c r="R2676" s="107"/>
      <c r="S2676" s="503"/>
      <c r="U2676" s="560"/>
    </row>
    <row r="2677" spans="1:21" ht="9.75" customHeight="1">
      <c r="A2677" s="503"/>
      <c r="B2677" s="503"/>
      <c r="C2677" s="13"/>
      <c r="D2677" s="13" t="s">
        <v>251</v>
      </c>
      <c r="E2677" s="13"/>
      <c r="F2677" s="109"/>
      <c r="G2677" s="504"/>
      <c r="H2677" s="504"/>
      <c r="I2677" s="504"/>
      <c r="J2677" s="504"/>
      <c r="K2677" s="504"/>
      <c r="L2677" s="504"/>
      <c r="M2677" s="504"/>
      <c r="N2677" s="504"/>
      <c r="O2677" s="110"/>
      <c r="P2677" s="109"/>
      <c r="Q2677" s="504"/>
      <c r="R2677" s="107"/>
      <c r="S2677" s="503"/>
      <c r="U2677" s="560"/>
    </row>
    <row r="2678" spans="1:21" ht="9.75" customHeight="1">
      <c r="A2678" s="503"/>
      <c r="B2678" s="503"/>
      <c r="C2678" s="13"/>
      <c r="D2678" s="13" t="s">
        <v>115</v>
      </c>
      <c r="E2678" s="13"/>
      <c r="F2678" s="109"/>
      <c r="G2678" s="504"/>
      <c r="H2678" s="504"/>
      <c r="I2678" s="504"/>
      <c r="J2678" s="504"/>
      <c r="K2678" s="504"/>
      <c r="L2678" s="504"/>
      <c r="M2678" s="504"/>
      <c r="N2678" s="504"/>
      <c r="O2678" s="110"/>
      <c r="P2678" s="109"/>
      <c r="Q2678" s="504"/>
      <c r="R2678" s="107"/>
      <c r="S2678" s="503"/>
      <c r="U2678" s="560"/>
    </row>
    <row r="2679" spans="1:21" ht="9.75" customHeight="1">
      <c r="A2679" s="503"/>
      <c r="B2679" s="503"/>
      <c r="C2679" s="13"/>
      <c r="D2679" s="13" t="s">
        <v>32</v>
      </c>
      <c r="E2679" s="13"/>
      <c r="F2679" s="109"/>
      <c r="G2679" s="504"/>
      <c r="H2679" s="504"/>
      <c r="I2679" s="504"/>
      <c r="J2679" s="504"/>
      <c r="K2679" s="504"/>
      <c r="L2679" s="504"/>
      <c r="M2679" s="504"/>
      <c r="N2679" s="504"/>
      <c r="O2679" s="110"/>
      <c r="P2679" s="109"/>
      <c r="Q2679" s="504"/>
      <c r="R2679" s="107"/>
      <c r="S2679" s="503"/>
      <c r="U2679" s="560"/>
    </row>
    <row r="2680" spans="1:21" ht="9.75" customHeight="1">
      <c r="A2680" s="503"/>
      <c r="B2680" s="503"/>
      <c r="C2680" s="13"/>
      <c r="D2680" s="46" t="s">
        <v>378</v>
      </c>
      <c r="E2680" s="46">
        <v>9</v>
      </c>
      <c r="F2680" s="154"/>
      <c r="G2680" s="47"/>
      <c r="H2680" s="47"/>
      <c r="I2680" s="47" t="s">
        <v>379</v>
      </c>
      <c r="J2680" s="47"/>
      <c r="K2680" s="47"/>
      <c r="L2680" s="47"/>
      <c r="M2680" s="47"/>
      <c r="N2680" s="47"/>
      <c r="O2680" s="155"/>
      <c r="P2680" s="154"/>
      <c r="Q2680" s="47"/>
      <c r="R2680" s="156"/>
      <c r="S2680" s="503"/>
      <c r="U2680" s="560"/>
    </row>
    <row r="2681" spans="1:21" ht="9.75" customHeight="1">
      <c r="A2681" s="503"/>
      <c r="B2681" s="503"/>
      <c r="C2681" s="13"/>
      <c r="D2681" s="13" t="s">
        <v>120</v>
      </c>
      <c r="E2681" s="13"/>
      <c r="F2681" s="109"/>
      <c r="G2681" s="504"/>
      <c r="H2681" s="504"/>
      <c r="I2681" s="504"/>
      <c r="J2681" s="504"/>
      <c r="K2681" s="504"/>
      <c r="L2681" s="504"/>
      <c r="M2681" s="504"/>
      <c r="N2681" s="504"/>
      <c r="O2681" s="110"/>
      <c r="P2681" s="109"/>
      <c r="Q2681" s="504"/>
      <c r="R2681" s="107"/>
      <c r="S2681" s="503"/>
      <c r="U2681" s="560"/>
    </row>
    <row r="2682" spans="1:21" ht="9.75" customHeight="1">
      <c r="A2682" s="503"/>
      <c r="B2682" s="503"/>
      <c r="C2682" s="13"/>
      <c r="D2682" s="13" t="s">
        <v>120</v>
      </c>
      <c r="E2682" s="13"/>
      <c r="F2682" s="109"/>
      <c r="G2682" s="504"/>
      <c r="H2682" s="504"/>
      <c r="I2682" s="504"/>
      <c r="J2682" s="504"/>
      <c r="K2682" s="504"/>
      <c r="L2682" s="504"/>
      <c r="M2682" s="504"/>
      <c r="N2682" s="504"/>
      <c r="O2682" s="110"/>
      <c r="P2682" s="109"/>
      <c r="Q2682" s="504"/>
      <c r="R2682" s="107"/>
      <c r="S2682" s="503"/>
      <c r="U2682" s="560"/>
    </row>
    <row r="2683" spans="1:21" ht="9.75" customHeight="1">
      <c r="A2683" s="503"/>
      <c r="B2683" s="503"/>
      <c r="C2683" s="13"/>
      <c r="D2683" s="13" t="s">
        <v>120</v>
      </c>
      <c r="E2683" s="13"/>
      <c r="F2683" s="109"/>
      <c r="G2683" s="504"/>
      <c r="H2683" s="504"/>
      <c r="I2683" s="504"/>
      <c r="J2683" s="504"/>
      <c r="K2683" s="504"/>
      <c r="L2683" s="504"/>
      <c r="M2683" s="504"/>
      <c r="N2683" s="504"/>
      <c r="O2683" s="110"/>
      <c r="P2683" s="109"/>
      <c r="Q2683" s="504"/>
      <c r="R2683" s="107"/>
      <c r="S2683" s="503"/>
      <c r="U2683" s="560"/>
    </row>
    <row r="2684" spans="1:21" ht="9.75" customHeight="1">
      <c r="A2684" s="503"/>
      <c r="B2684" s="503"/>
      <c r="C2684" s="13"/>
      <c r="D2684" s="13" t="s">
        <v>120</v>
      </c>
      <c r="E2684" s="13"/>
      <c r="F2684" s="109"/>
      <c r="G2684" s="504"/>
      <c r="H2684" s="504"/>
      <c r="I2684" s="504"/>
      <c r="J2684" s="504"/>
      <c r="K2684" s="504"/>
      <c r="L2684" s="504"/>
      <c r="M2684" s="504"/>
      <c r="N2684" s="504"/>
      <c r="O2684" s="110"/>
      <c r="P2684" s="109"/>
      <c r="Q2684" s="504"/>
      <c r="R2684" s="107"/>
      <c r="S2684" s="503"/>
      <c r="U2684" s="560"/>
    </row>
    <row r="2685" spans="1:21" ht="9.75" customHeight="1">
      <c r="A2685" s="503"/>
      <c r="B2685" s="503"/>
      <c r="C2685" s="13"/>
      <c r="D2685" s="13" t="s">
        <v>120</v>
      </c>
      <c r="E2685" s="13"/>
      <c r="F2685" s="109"/>
      <c r="G2685" s="504"/>
      <c r="H2685" s="504"/>
      <c r="I2685" s="504"/>
      <c r="J2685" s="504"/>
      <c r="K2685" s="504"/>
      <c r="L2685" s="504"/>
      <c r="M2685" s="504"/>
      <c r="N2685" s="504"/>
      <c r="O2685" s="110"/>
      <c r="P2685" s="109"/>
      <c r="Q2685" s="504"/>
      <c r="R2685" s="107"/>
      <c r="S2685" s="503"/>
      <c r="U2685" s="560"/>
    </row>
    <row r="2686" spans="1:21" ht="9.75" customHeight="1">
      <c r="A2686" s="503"/>
      <c r="B2686" s="503"/>
      <c r="C2686" s="13"/>
      <c r="D2686" s="13" t="s">
        <v>34</v>
      </c>
      <c r="E2686" s="13">
        <v>18</v>
      </c>
      <c r="F2686" s="109">
        <v>1</v>
      </c>
      <c r="G2686" s="504">
        <v>1</v>
      </c>
      <c r="H2686" s="504">
        <v>0</v>
      </c>
      <c r="I2686" s="504">
        <v>4</v>
      </c>
      <c r="J2686" s="504">
        <v>4</v>
      </c>
      <c r="K2686" s="504">
        <v>4</v>
      </c>
      <c r="L2686" s="504">
        <v>5</v>
      </c>
      <c r="M2686" s="504">
        <v>3</v>
      </c>
      <c r="N2686" s="504">
        <v>14</v>
      </c>
      <c r="O2686" s="110">
        <v>17</v>
      </c>
      <c r="P2686" s="109">
        <f>MIN(F2686:O2686)</f>
        <v>0</v>
      </c>
      <c r="Q2686" s="504">
        <f>E2686-P2686</f>
        <v>18</v>
      </c>
      <c r="R2686" s="107">
        <f>Q2686/E2686</f>
        <v>1</v>
      </c>
      <c r="S2686" s="503"/>
      <c r="U2686" s="560"/>
    </row>
    <row r="2687" spans="1:21" ht="9.75" customHeight="1">
      <c r="A2687" s="503"/>
      <c r="B2687" s="503"/>
      <c r="C2687" s="13"/>
      <c r="D2687" s="13" t="s">
        <v>35</v>
      </c>
      <c r="E2687" s="13"/>
      <c r="F2687" s="109"/>
      <c r="G2687" s="504"/>
      <c r="H2687" s="504"/>
      <c r="I2687" s="504"/>
      <c r="J2687" s="504"/>
      <c r="K2687" s="504"/>
      <c r="L2687" s="504"/>
      <c r="M2687" s="504"/>
      <c r="N2687" s="504"/>
      <c r="O2687" s="110"/>
      <c r="P2687" s="109"/>
      <c r="Q2687" s="504"/>
      <c r="R2687" s="107"/>
      <c r="S2687" s="503"/>
      <c r="U2687" s="560"/>
    </row>
    <row r="2688" spans="1:21" ht="9.75" customHeight="1">
      <c r="A2688" s="503"/>
      <c r="B2688" s="503"/>
      <c r="C2688" s="13"/>
      <c r="D2688" s="13" t="s">
        <v>36</v>
      </c>
      <c r="E2688" s="13"/>
      <c r="F2688" s="109"/>
      <c r="G2688" s="504"/>
      <c r="H2688" s="504"/>
      <c r="I2688" s="504"/>
      <c r="J2688" s="504"/>
      <c r="K2688" s="504"/>
      <c r="L2688" s="504"/>
      <c r="M2688" s="504"/>
      <c r="N2688" s="504"/>
      <c r="O2688" s="110"/>
      <c r="P2688" s="109"/>
      <c r="Q2688" s="504"/>
      <c r="R2688" s="107"/>
      <c r="S2688" s="503"/>
      <c r="U2688" s="560"/>
    </row>
    <row r="2689" spans="1:21" ht="9.75" customHeight="1">
      <c r="A2689" s="503"/>
      <c r="B2689" s="503"/>
      <c r="C2689" s="13"/>
      <c r="D2689" s="13" t="s">
        <v>37</v>
      </c>
      <c r="E2689" s="13"/>
      <c r="F2689" s="109"/>
      <c r="G2689" s="504"/>
      <c r="H2689" s="504"/>
      <c r="I2689" s="504"/>
      <c r="J2689" s="504"/>
      <c r="K2689" s="504"/>
      <c r="L2689" s="504"/>
      <c r="M2689" s="504"/>
      <c r="N2689" s="504"/>
      <c r="O2689" s="110"/>
      <c r="P2689" s="109"/>
      <c r="Q2689" s="504"/>
      <c r="R2689" s="107"/>
      <c r="S2689" s="503"/>
      <c r="U2689" s="560"/>
    </row>
    <row r="2690" spans="1:21" ht="9.75" customHeight="1">
      <c r="A2690" s="503"/>
      <c r="B2690" s="503" t="s">
        <v>127</v>
      </c>
      <c r="C2690" s="2"/>
      <c r="D2690" s="21" t="s">
        <v>38</v>
      </c>
      <c r="E2690" s="21">
        <f t="shared" ref="E2690:O2690" si="524">SUM(E2674:E2689)</f>
        <v>107</v>
      </c>
      <c r="F2690" s="21">
        <f>SUM(F2674:F2689)</f>
        <v>1</v>
      </c>
      <c r="G2690" s="71">
        <f>SUM(G2674:G2689)</f>
        <v>1</v>
      </c>
      <c r="H2690" s="71">
        <f>SUM(H2674:H2689)</f>
        <v>0</v>
      </c>
      <c r="I2690" s="71">
        <f>SUM(I2674:I2689)</f>
        <v>4</v>
      </c>
      <c r="J2690" s="71">
        <f>SUM(J2674:J2689)</f>
        <v>5</v>
      </c>
      <c r="K2690" s="71">
        <f t="shared" si="524"/>
        <v>4</v>
      </c>
      <c r="L2690" s="71">
        <f t="shared" si="524"/>
        <v>6</v>
      </c>
      <c r="M2690" s="71">
        <f t="shared" si="524"/>
        <v>9</v>
      </c>
      <c r="N2690" s="71">
        <f t="shared" si="524"/>
        <v>34</v>
      </c>
      <c r="O2690" s="26">
        <f t="shared" si="524"/>
        <v>68</v>
      </c>
      <c r="P2690" s="71">
        <f>MIN(F2690:O2690)</f>
        <v>0</v>
      </c>
      <c r="Q2690" s="71">
        <f>E2690-P2690</f>
        <v>107</v>
      </c>
      <c r="R2690" s="7">
        <f>Q2690/E2690</f>
        <v>1</v>
      </c>
      <c r="S2690" s="503"/>
      <c r="U2690" s="560"/>
    </row>
    <row r="2691" spans="1:21" ht="9.75" customHeight="1">
      <c r="A2691" s="503"/>
      <c r="B2691" s="503"/>
      <c r="C2691" s="43" t="s">
        <v>400</v>
      </c>
      <c r="D2691" s="43" t="s">
        <v>23</v>
      </c>
      <c r="E2691" s="13"/>
      <c r="F2691" s="109"/>
      <c r="G2691" s="504"/>
      <c r="H2691" s="504"/>
      <c r="I2691" s="504"/>
      <c r="J2691" s="504"/>
      <c r="K2691" s="504"/>
      <c r="L2691" s="504"/>
      <c r="M2691" s="504"/>
      <c r="N2691" s="504"/>
      <c r="O2691" s="110"/>
      <c r="P2691" s="109"/>
      <c r="Q2691" s="504"/>
      <c r="R2691" s="107"/>
      <c r="S2691" s="503"/>
      <c r="U2691" s="560"/>
    </row>
    <row r="2692" spans="1:21" ht="9.75" customHeight="1">
      <c r="A2692" s="503"/>
      <c r="B2692" s="503"/>
      <c r="C2692" s="13"/>
      <c r="D2692" s="13" t="s">
        <v>25</v>
      </c>
      <c r="E2692" s="13">
        <v>384</v>
      </c>
      <c r="F2692" s="109">
        <f>E2692-76-30-(7*21)+11</f>
        <v>142</v>
      </c>
      <c r="G2692" s="504">
        <f>E2692-29-30-66-(8*21)+5</f>
        <v>96</v>
      </c>
      <c r="H2692" s="504">
        <f>E2692-30-30-40-69-(9*21)+6</f>
        <v>32</v>
      </c>
      <c r="I2692" s="504">
        <f>E2692-100-47-(9*21)+1</f>
        <v>49</v>
      </c>
      <c r="J2692" s="504">
        <f>E2692-100-45-(9*21)+2</f>
        <v>52</v>
      </c>
      <c r="K2692" s="504">
        <f>E2692-105-44-(9*21)+6</f>
        <v>52</v>
      </c>
      <c r="L2692" s="504">
        <f>E2692-105-42-(9*21)+4</f>
        <v>52</v>
      </c>
      <c r="M2692" s="504">
        <f>E2692-105-44-(9*21)+13</f>
        <v>59</v>
      </c>
      <c r="N2692" s="504">
        <f>E2692-62-169</f>
        <v>153</v>
      </c>
      <c r="O2692" s="504">
        <f>E2692-168</f>
        <v>216</v>
      </c>
      <c r="P2692" s="109">
        <f>MIN(F2692:O2692)</f>
        <v>32</v>
      </c>
      <c r="Q2692" s="504">
        <f>E2692-P2692</f>
        <v>352</v>
      </c>
      <c r="R2692" s="107">
        <f>Q2692/E2692</f>
        <v>0.91666666666666663</v>
      </c>
      <c r="S2692" s="503"/>
      <c r="U2692" s="560"/>
    </row>
    <row r="2693" spans="1:21" ht="9.75" customHeight="1">
      <c r="A2693" s="503"/>
      <c r="B2693" s="503"/>
      <c r="C2693" s="13"/>
      <c r="D2693" s="13" t="s">
        <v>27</v>
      </c>
      <c r="E2693" s="13"/>
      <c r="F2693" s="109"/>
      <c r="G2693" s="504"/>
      <c r="H2693" s="504"/>
      <c r="I2693" s="504"/>
      <c r="J2693" s="504"/>
      <c r="K2693" s="504"/>
      <c r="L2693" s="504"/>
      <c r="M2693" s="504"/>
      <c r="N2693" s="504"/>
      <c r="O2693" s="110"/>
      <c r="P2693" s="109"/>
      <c r="Q2693" s="504"/>
      <c r="R2693" s="107"/>
      <c r="S2693" s="503"/>
      <c r="U2693" s="560"/>
    </row>
    <row r="2694" spans="1:21" ht="9.75" customHeight="1">
      <c r="A2694" s="503"/>
      <c r="B2694" s="503"/>
      <c r="C2694" s="13"/>
      <c r="D2694" s="13" t="s">
        <v>251</v>
      </c>
      <c r="E2694" s="13"/>
      <c r="F2694" s="109"/>
      <c r="G2694" s="504"/>
      <c r="H2694" s="504"/>
      <c r="I2694" s="504"/>
      <c r="J2694" s="504"/>
      <c r="K2694" s="504"/>
      <c r="L2694" s="504"/>
      <c r="M2694" s="504"/>
      <c r="N2694" s="504"/>
      <c r="O2694" s="110"/>
      <c r="P2694" s="109"/>
      <c r="Q2694" s="504"/>
      <c r="R2694" s="107"/>
      <c r="S2694" s="503"/>
      <c r="U2694" s="560"/>
    </row>
    <row r="2695" spans="1:21" ht="9.75" customHeight="1">
      <c r="A2695" s="503"/>
      <c r="B2695" s="503"/>
      <c r="C2695" s="13"/>
      <c r="D2695" s="13" t="s">
        <v>115</v>
      </c>
      <c r="E2695" s="13"/>
      <c r="F2695" s="109"/>
      <c r="G2695" s="504"/>
      <c r="H2695" s="504"/>
      <c r="I2695" s="504"/>
      <c r="J2695" s="504"/>
      <c r="K2695" s="504"/>
      <c r="L2695" s="504"/>
      <c r="M2695" s="504"/>
      <c r="N2695" s="504"/>
      <c r="O2695" s="110"/>
      <c r="P2695" s="109"/>
      <c r="Q2695" s="504"/>
      <c r="R2695" s="107"/>
      <c r="S2695" s="503"/>
      <c r="U2695" s="560"/>
    </row>
    <row r="2696" spans="1:21" ht="9.75" customHeight="1">
      <c r="A2696" s="503"/>
      <c r="B2696" s="503"/>
      <c r="C2696" s="13"/>
      <c r="D2696" s="13" t="s">
        <v>32</v>
      </c>
      <c r="E2696" s="13"/>
      <c r="F2696" s="109"/>
      <c r="G2696" s="504"/>
      <c r="H2696" s="504"/>
      <c r="I2696" s="504"/>
      <c r="J2696" s="504"/>
      <c r="K2696" s="504"/>
      <c r="L2696" s="504"/>
      <c r="M2696" s="504"/>
      <c r="N2696" s="504"/>
      <c r="O2696" s="110"/>
      <c r="P2696" s="109"/>
      <c r="Q2696" s="504"/>
      <c r="R2696" s="107"/>
      <c r="S2696" s="503"/>
      <c r="U2696" s="560"/>
    </row>
    <row r="2697" spans="1:21" ht="9.75" customHeight="1">
      <c r="A2697" s="503"/>
      <c r="B2697" s="503"/>
      <c r="C2697" s="13"/>
      <c r="D2697" s="13" t="s">
        <v>120</v>
      </c>
      <c r="E2697" s="13"/>
      <c r="F2697" s="109"/>
      <c r="G2697" s="504"/>
      <c r="H2697" s="504"/>
      <c r="I2697" s="504"/>
      <c r="J2697" s="504"/>
      <c r="K2697" s="504"/>
      <c r="L2697" s="504"/>
      <c r="M2697" s="504"/>
      <c r="N2697" s="504"/>
      <c r="O2697" s="110"/>
      <c r="P2697" s="109"/>
      <c r="Q2697" s="504"/>
      <c r="R2697" s="107"/>
      <c r="S2697" s="503"/>
      <c r="U2697" s="560"/>
    </row>
    <row r="2698" spans="1:21" ht="9.75" customHeight="1">
      <c r="A2698" s="503"/>
      <c r="B2698" s="503"/>
      <c r="C2698" s="13"/>
      <c r="D2698" s="13" t="s">
        <v>120</v>
      </c>
      <c r="E2698" s="13"/>
      <c r="F2698" s="109"/>
      <c r="G2698" s="504"/>
      <c r="H2698" s="504"/>
      <c r="I2698" s="504"/>
      <c r="J2698" s="504"/>
      <c r="K2698" s="504"/>
      <c r="L2698" s="504"/>
      <c r="M2698" s="504"/>
      <c r="N2698" s="504"/>
      <c r="O2698" s="110"/>
      <c r="P2698" s="109"/>
      <c r="Q2698" s="504"/>
      <c r="R2698" s="107"/>
      <c r="S2698" s="503"/>
      <c r="U2698" s="560"/>
    </row>
    <row r="2699" spans="1:21" ht="9.75" customHeight="1">
      <c r="A2699" s="503"/>
      <c r="B2699" s="503"/>
      <c r="C2699" s="13"/>
      <c r="D2699" s="13" t="s">
        <v>120</v>
      </c>
      <c r="E2699" s="13"/>
      <c r="F2699" s="109"/>
      <c r="G2699" s="504"/>
      <c r="H2699" s="504"/>
      <c r="I2699" s="504"/>
      <c r="J2699" s="504"/>
      <c r="K2699" s="504"/>
      <c r="L2699" s="504"/>
      <c r="M2699" s="504"/>
      <c r="N2699" s="504"/>
      <c r="O2699" s="110"/>
      <c r="P2699" s="109"/>
      <c r="Q2699" s="504"/>
      <c r="R2699" s="107"/>
      <c r="S2699" s="503"/>
      <c r="U2699" s="560"/>
    </row>
    <row r="2700" spans="1:21" ht="9.75" customHeight="1">
      <c r="A2700" s="503"/>
      <c r="B2700" s="503"/>
      <c r="C2700" s="13"/>
      <c r="D2700" s="13" t="s">
        <v>120</v>
      </c>
      <c r="E2700" s="13"/>
      <c r="F2700" s="109"/>
      <c r="G2700" s="504"/>
      <c r="H2700" s="504"/>
      <c r="I2700" s="504"/>
      <c r="J2700" s="504"/>
      <c r="K2700" s="504"/>
      <c r="L2700" s="504"/>
      <c r="M2700" s="504"/>
      <c r="N2700" s="504"/>
      <c r="O2700" s="110"/>
      <c r="P2700" s="109"/>
      <c r="Q2700" s="504"/>
      <c r="R2700" s="107"/>
      <c r="S2700" s="503"/>
      <c r="U2700" s="560"/>
    </row>
    <row r="2701" spans="1:21" ht="9.75" customHeight="1">
      <c r="A2701" s="503"/>
      <c r="B2701" s="503"/>
      <c r="C2701" s="13"/>
      <c r="D2701" s="13" t="s">
        <v>120</v>
      </c>
      <c r="E2701" s="13"/>
      <c r="F2701" s="109"/>
      <c r="G2701" s="504"/>
      <c r="H2701" s="504"/>
      <c r="I2701" s="504"/>
      <c r="J2701" s="504"/>
      <c r="K2701" s="504"/>
      <c r="L2701" s="504"/>
      <c r="M2701" s="504"/>
      <c r="N2701" s="504"/>
      <c r="O2701" s="110"/>
      <c r="P2701" s="109"/>
      <c r="Q2701" s="504"/>
      <c r="R2701" s="107"/>
      <c r="S2701" s="503"/>
      <c r="U2701" s="560"/>
    </row>
    <row r="2702" spans="1:21" ht="9.75" customHeight="1">
      <c r="A2702" s="503"/>
      <c r="B2702" s="503"/>
      <c r="C2702" s="13"/>
      <c r="D2702" s="13" t="s">
        <v>120</v>
      </c>
      <c r="E2702" s="13"/>
      <c r="F2702" s="109"/>
      <c r="G2702" s="504"/>
      <c r="H2702" s="504"/>
      <c r="I2702" s="504"/>
      <c r="J2702" s="504"/>
      <c r="K2702" s="504"/>
      <c r="L2702" s="504"/>
      <c r="M2702" s="504"/>
      <c r="N2702" s="504"/>
      <c r="O2702" s="110"/>
      <c r="P2702" s="109"/>
      <c r="Q2702" s="504"/>
      <c r="R2702" s="107"/>
      <c r="S2702" s="503"/>
      <c r="U2702" s="560"/>
    </row>
    <row r="2703" spans="1:21" ht="9.75" customHeight="1">
      <c r="A2703" s="503"/>
      <c r="B2703" s="503"/>
      <c r="C2703" s="13"/>
      <c r="D2703" s="13" t="s">
        <v>34</v>
      </c>
      <c r="E2703" s="13">
        <v>8</v>
      </c>
      <c r="F2703" s="109">
        <v>5</v>
      </c>
      <c r="G2703" s="504">
        <v>4</v>
      </c>
      <c r="H2703" s="504">
        <v>4</v>
      </c>
      <c r="I2703" s="504">
        <v>5</v>
      </c>
      <c r="J2703" s="504">
        <v>7</v>
      </c>
      <c r="K2703" s="504">
        <v>7</v>
      </c>
      <c r="L2703" s="504">
        <v>6</v>
      </c>
      <c r="M2703" s="504">
        <v>5</v>
      </c>
      <c r="N2703" s="504">
        <v>7</v>
      </c>
      <c r="O2703" s="110">
        <v>8</v>
      </c>
      <c r="P2703" s="109">
        <f>MIN(F2703:O2703)</f>
        <v>4</v>
      </c>
      <c r="Q2703" s="504">
        <f>E2703-P2703</f>
        <v>4</v>
      </c>
      <c r="R2703" s="107">
        <f>Q2703/E2703</f>
        <v>0.5</v>
      </c>
      <c r="S2703" s="503"/>
      <c r="U2703" s="560"/>
    </row>
    <row r="2704" spans="1:21" ht="9.75" customHeight="1">
      <c r="A2704" s="503"/>
      <c r="B2704" s="503"/>
      <c r="C2704" s="13"/>
      <c r="D2704" s="13" t="s">
        <v>35</v>
      </c>
      <c r="E2704" s="13"/>
      <c r="F2704" s="109"/>
      <c r="G2704" s="504"/>
      <c r="H2704" s="504"/>
      <c r="I2704" s="504"/>
      <c r="J2704" s="504"/>
      <c r="K2704" s="504"/>
      <c r="L2704" s="504"/>
      <c r="M2704" s="504"/>
      <c r="N2704" s="504"/>
      <c r="O2704" s="110"/>
      <c r="P2704" s="109"/>
      <c r="Q2704" s="504"/>
      <c r="R2704" s="107"/>
      <c r="S2704" s="503"/>
      <c r="U2704" s="560"/>
    </row>
    <row r="2705" spans="1:21" ht="9.75" customHeight="1">
      <c r="A2705" s="503"/>
      <c r="B2705" s="503"/>
      <c r="C2705" s="13"/>
      <c r="D2705" s="13" t="s">
        <v>36</v>
      </c>
      <c r="E2705" s="13"/>
      <c r="F2705" s="109"/>
      <c r="G2705" s="504"/>
      <c r="H2705" s="504"/>
      <c r="I2705" s="504"/>
      <c r="J2705" s="504"/>
      <c r="K2705" s="504"/>
      <c r="L2705" s="504"/>
      <c r="M2705" s="504"/>
      <c r="N2705" s="504"/>
      <c r="O2705" s="110"/>
      <c r="P2705" s="109"/>
      <c r="Q2705" s="504"/>
      <c r="R2705" s="107"/>
      <c r="S2705" s="503"/>
      <c r="U2705" s="560"/>
    </row>
    <row r="2706" spans="1:21" ht="9.75" customHeight="1">
      <c r="A2706" s="503"/>
      <c r="B2706" s="503"/>
      <c r="C2706" s="13"/>
      <c r="D2706" s="13" t="s">
        <v>37</v>
      </c>
      <c r="E2706" s="13"/>
      <c r="F2706" s="109"/>
      <c r="G2706" s="504"/>
      <c r="H2706" s="504"/>
      <c r="I2706" s="504"/>
      <c r="J2706" s="504"/>
      <c r="K2706" s="504"/>
      <c r="L2706" s="504"/>
      <c r="M2706" s="504"/>
      <c r="N2706" s="504"/>
      <c r="O2706" s="110"/>
      <c r="P2706" s="109"/>
      <c r="Q2706" s="504"/>
      <c r="R2706" s="107"/>
      <c r="S2706" s="503"/>
      <c r="U2706" s="560"/>
    </row>
    <row r="2707" spans="1:21" ht="9.75" customHeight="1">
      <c r="A2707" s="503"/>
      <c r="B2707" s="503" t="s">
        <v>127</v>
      </c>
      <c r="C2707" s="2"/>
      <c r="D2707" s="21" t="s">
        <v>38</v>
      </c>
      <c r="E2707" s="21">
        <f t="shared" ref="E2707:O2707" si="525">SUM(E2691:E2706)</f>
        <v>392</v>
      </c>
      <c r="F2707" s="21">
        <f>SUM(F2691:F2706)</f>
        <v>147</v>
      </c>
      <c r="G2707" s="71">
        <f>SUM(G2691:G2706)</f>
        <v>100</v>
      </c>
      <c r="H2707" s="71">
        <f>SUM(H2691:H2706)</f>
        <v>36</v>
      </c>
      <c r="I2707" s="71">
        <f>SUM(I2691:I2706)</f>
        <v>54</v>
      </c>
      <c r="J2707" s="71">
        <f>SUM(J2691:J2706)</f>
        <v>59</v>
      </c>
      <c r="K2707" s="71">
        <f t="shared" si="525"/>
        <v>59</v>
      </c>
      <c r="L2707" s="71">
        <f t="shared" si="525"/>
        <v>58</v>
      </c>
      <c r="M2707" s="71">
        <f t="shared" si="525"/>
        <v>64</v>
      </c>
      <c r="N2707" s="71">
        <f t="shared" si="525"/>
        <v>160</v>
      </c>
      <c r="O2707" s="26">
        <f t="shared" si="525"/>
        <v>224</v>
      </c>
      <c r="P2707" s="71">
        <f>MIN(F2707:O2707)</f>
        <v>36</v>
      </c>
      <c r="Q2707" s="71">
        <f>E2707-P2707</f>
        <v>356</v>
      </c>
      <c r="R2707" s="7">
        <f>Q2707/E2707</f>
        <v>0.90816326530612246</v>
      </c>
      <c r="S2707" s="503"/>
      <c r="U2707" s="560"/>
    </row>
    <row r="2708" spans="1:21" ht="9.75" customHeight="1">
      <c r="A2708" s="503"/>
      <c r="B2708" s="503"/>
      <c r="C2708" s="43" t="s">
        <v>401</v>
      </c>
      <c r="D2708" s="43" t="s">
        <v>23</v>
      </c>
      <c r="E2708" s="13"/>
      <c r="F2708" s="109"/>
      <c r="G2708" s="504"/>
      <c r="H2708" s="504"/>
      <c r="I2708" s="504"/>
      <c r="J2708" s="504"/>
      <c r="K2708" s="504"/>
      <c r="L2708" s="504"/>
      <c r="M2708" s="504"/>
      <c r="N2708" s="504"/>
      <c r="O2708" s="110"/>
      <c r="P2708" s="109"/>
      <c r="Q2708" s="504"/>
      <c r="R2708" s="107"/>
      <c r="S2708" s="503"/>
      <c r="U2708" s="560"/>
    </row>
    <row r="2709" spans="1:21" ht="9.75" customHeight="1">
      <c r="A2709" s="503"/>
      <c r="B2709" s="503"/>
      <c r="C2709" s="13"/>
      <c r="D2709" s="13" t="s">
        <v>25</v>
      </c>
      <c r="E2709" s="13">
        <f>131+61</f>
        <v>192</v>
      </c>
      <c r="F2709" s="109">
        <v>145</v>
      </c>
      <c r="G2709" s="513"/>
      <c r="H2709" s="504">
        <v>26</v>
      </c>
      <c r="I2709" s="513"/>
      <c r="J2709" s="504">
        <v>36</v>
      </c>
      <c r="K2709" s="513"/>
      <c r="L2709" s="504">
        <v>22</v>
      </c>
      <c r="M2709" s="513"/>
      <c r="N2709" s="513"/>
      <c r="O2709" s="514"/>
      <c r="P2709" s="109">
        <f>MIN(F2709:O2709)</f>
        <v>22</v>
      </c>
      <c r="Q2709" s="504">
        <f>E2709-P2709</f>
        <v>170</v>
      </c>
      <c r="R2709" s="107">
        <f>Q2709/E2709</f>
        <v>0.88541666666666663</v>
      </c>
      <c r="S2709" s="503"/>
      <c r="U2709" s="560"/>
    </row>
    <row r="2710" spans="1:21" ht="9.75" customHeight="1">
      <c r="A2710" s="503"/>
      <c r="B2710" s="503"/>
      <c r="C2710" s="517" t="s">
        <v>402</v>
      </c>
      <c r="D2710" s="13" t="s">
        <v>27</v>
      </c>
      <c r="E2710" s="13"/>
      <c r="F2710" s="109"/>
      <c r="G2710" s="504"/>
      <c r="H2710" s="504"/>
      <c r="I2710" s="504"/>
      <c r="J2710" s="504"/>
      <c r="K2710" s="504"/>
      <c r="L2710" s="504"/>
      <c r="M2710" s="504"/>
      <c r="N2710" s="504"/>
      <c r="O2710" s="110"/>
      <c r="P2710" s="109"/>
      <c r="Q2710" s="504"/>
      <c r="R2710" s="107"/>
      <c r="S2710" s="503"/>
      <c r="U2710" s="560"/>
    </row>
    <row r="2711" spans="1:21" ht="9.75" customHeight="1">
      <c r="A2711" s="503"/>
      <c r="B2711" s="503"/>
      <c r="C2711" s="517" t="s">
        <v>403</v>
      </c>
      <c r="D2711" s="13" t="s">
        <v>251</v>
      </c>
      <c r="E2711" s="13"/>
      <c r="F2711" s="109"/>
      <c r="G2711" s="504"/>
      <c r="H2711" s="504"/>
      <c r="I2711" s="504"/>
      <c r="J2711" s="504"/>
      <c r="K2711" s="504"/>
      <c r="L2711" s="504"/>
      <c r="M2711" s="504"/>
      <c r="N2711" s="504"/>
      <c r="O2711" s="110"/>
      <c r="P2711" s="109"/>
      <c r="Q2711" s="504"/>
      <c r="R2711" s="107"/>
      <c r="S2711" s="503"/>
      <c r="U2711" s="560"/>
    </row>
    <row r="2712" spans="1:21" ht="9.75" customHeight="1">
      <c r="A2712" s="503"/>
      <c r="B2712" s="503"/>
      <c r="C2712" s="517" t="s">
        <v>404</v>
      </c>
      <c r="D2712" s="13" t="s">
        <v>115</v>
      </c>
      <c r="E2712" s="13"/>
      <c r="F2712" s="109"/>
      <c r="G2712" s="504"/>
      <c r="H2712" s="504"/>
      <c r="I2712" s="504"/>
      <c r="J2712" s="504"/>
      <c r="K2712" s="504"/>
      <c r="L2712" s="504"/>
      <c r="M2712" s="504"/>
      <c r="N2712" s="504"/>
      <c r="O2712" s="110"/>
      <c r="P2712" s="109"/>
      <c r="Q2712" s="504"/>
      <c r="R2712" s="107"/>
      <c r="S2712" s="503"/>
      <c r="U2712" s="560"/>
    </row>
    <row r="2713" spans="1:21" ht="9.75" customHeight="1">
      <c r="A2713" s="503"/>
      <c r="B2713" s="503"/>
      <c r="C2713" s="517" t="s">
        <v>405</v>
      </c>
      <c r="D2713" s="13" t="s">
        <v>32</v>
      </c>
      <c r="E2713" s="13"/>
      <c r="F2713" s="109"/>
      <c r="G2713" s="504"/>
      <c r="H2713" s="504"/>
      <c r="I2713" s="504"/>
      <c r="J2713" s="504"/>
      <c r="K2713" s="504"/>
      <c r="L2713" s="504"/>
      <c r="M2713" s="504"/>
      <c r="N2713" s="504"/>
      <c r="O2713" s="110"/>
      <c r="P2713" s="109"/>
      <c r="Q2713" s="504"/>
      <c r="R2713" s="107"/>
      <c r="S2713" s="503"/>
      <c r="U2713" s="560"/>
    </row>
    <row r="2714" spans="1:21" ht="9.75" customHeight="1">
      <c r="A2714" s="503"/>
      <c r="B2714" s="503"/>
      <c r="C2714" s="13"/>
      <c r="D2714" s="13" t="s">
        <v>245</v>
      </c>
      <c r="E2714" s="13">
        <v>6</v>
      </c>
      <c r="F2714" s="109">
        <v>5</v>
      </c>
      <c r="G2714" s="513"/>
      <c r="H2714" s="504">
        <v>4</v>
      </c>
      <c r="I2714" s="513"/>
      <c r="J2714" s="504">
        <v>3</v>
      </c>
      <c r="K2714" s="515"/>
      <c r="L2714" s="11">
        <v>3</v>
      </c>
      <c r="M2714" s="515"/>
      <c r="N2714" s="515"/>
      <c r="O2714" s="515"/>
      <c r="P2714" s="109">
        <f t="shared" ref="P2714:P2715" si="526">MIN(F2714:O2714)</f>
        <v>3</v>
      </c>
      <c r="Q2714" s="504">
        <f t="shared" ref="Q2714:Q2715" si="527">E2714-P2714</f>
        <v>3</v>
      </c>
      <c r="R2714" s="107">
        <f t="shared" ref="R2714:R2715" si="528">Q2714/E2714</f>
        <v>0.5</v>
      </c>
      <c r="S2714" s="503"/>
      <c r="U2714" s="560"/>
    </row>
    <row r="2715" spans="1:21" ht="9.75" customHeight="1">
      <c r="A2715" s="503"/>
      <c r="B2715" s="503"/>
      <c r="C2715" s="13"/>
      <c r="D2715" s="13" t="s">
        <v>406</v>
      </c>
      <c r="E2715" s="13">
        <v>21</v>
      </c>
      <c r="F2715" s="109">
        <v>20</v>
      </c>
      <c r="G2715" s="513"/>
      <c r="H2715" s="504">
        <v>20</v>
      </c>
      <c r="I2715" s="513"/>
      <c r="J2715" s="504">
        <v>13</v>
      </c>
      <c r="K2715" s="513"/>
      <c r="L2715" s="504">
        <v>13</v>
      </c>
      <c r="M2715" s="513"/>
      <c r="N2715" s="513"/>
      <c r="O2715" s="514"/>
      <c r="P2715" s="109">
        <f t="shared" si="526"/>
        <v>13</v>
      </c>
      <c r="Q2715" s="504">
        <f t="shared" si="527"/>
        <v>8</v>
      </c>
      <c r="R2715" s="107">
        <f t="shared" si="528"/>
        <v>0.38095238095238093</v>
      </c>
      <c r="S2715" s="503"/>
      <c r="U2715" s="560"/>
    </row>
    <row r="2716" spans="1:21" ht="9.75" customHeight="1">
      <c r="A2716" s="503"/>
      <c r="B2716" s="503"/>
      <c r="C2716" s="13"/>
      <c r="D2716" s="13" t="s">
        <v>118</v>
      </c>
      <c r="E2716" s="13">
        <v>6</v>
      </c>
      <c r="F2716" s="512"/>
      <c r="G2716" s="513"/>
      <c r="H2716" s="513"/>
      <c r="I2716" s="513"/>
      <c r="J2716" s="513"/>
      <c r="K2716" s="513"/>
      <c r="L2716" s="513"/>
      <c r="M2716" s="513"/>
      <c r="N2716" s="513"/>
      <c r="O2716" s="514"/>
      <c r="P2716" s="109"/>
      <c r="Q2716" s="504"/>
      <c r="R2716" s="107"/>
      <c r="S2716" s="503"/>
      <c r="U2716" s="560"/>
    </row>
    <row r="2717" spans="1:21" ht="9.75" customHeight="1">
      <c r="A2717" s="503"/>
      <c r="B2717" s="503"/>
      <c r="C2717" s="13"/>
      <c r="D2717" s="13" t="s">
        <v>120</v>
      </c>
      <c r="E2717" s="13"/>
      <c r="F2717" s="109"/>
      <c r="G2717" s="504"/>
      <c r="H2717" s="504"/>
      <c r="I2717" s="504"/>
      <c r="J2717" s="504"/>
      <c r="K2717" s="504"/>
      <c r="L2717" s="504"/>
      <c r="M2717" s="504"/>
      <c r="N2717" s="504"/>
      <c r="O2717" s="110"/>
      <c r="P2717" s="109"/>
      <c r="Q2717" s="504"/>
      <c r="R2717" s="107"/>
      <c r="S2717" s="503"/>
      <c r="U2717" s="560"/>
    </row>
    <row r="2718" spans="1:21" ht="9.75" customHeight="1">
      <c r="A2718" s="503"/>
      <c r="B2718" s="503"/>
      <c r="C2718" s="13"/>
      <c r="D2718" s="13" t="s">
        <v>120</v>
      </c>
      <c r="E2718" s="13"/>
      <c r="F2718" s="109"/>
      <c r="G2718" s="504"/>
      <c r="H2718" s="504"/>
      <c r="I2718" s="504"/>
      <c r="J2718" s="504"/>
      <c r="K2718" s="504"/>
      <c r="L2718" s="504"/>
      <c r="M2718" s="504"/>
      <c r="N2718" s="504"/>
      <c r="O2718" s="110"/>
      <c r="P2718" s="109"/>
      <c r="Q2718" s="504"/>
      <c r="R2718" s="107"/>
      <c r="S2718" s="503"/>
      <c r="U2718" s="560"/>
    </row>
    <row r="2719" spans="1:21" ht="9.75" customHeight="1">
      <c r="A2719" s="503"/>
      <c r="B2719" s="503"/>
      <c r="C2719" s="13"/>
      <c r="D2719" s="13" t="s">
        <v>120</v>
      </c>
      <c r="E2719" s="13"/>
      <c r="F2719" s="109"/>
      <c r="G2719" s="504"/>
      <c r="H2719" s="504"/>
      <c r="I2719" s="504"/>
      <c r="J2719" s="504"/>
      <c r="K2719" s="504"/>
      <c r="L2719" s="504"/>
      <c r="M2719" s="504"/>
      <c r="N2719" s="504"/>
      <c r="O2719" s="110"/>
      <c r="P2719" s="109"/>
      <c r="Q2719" s="504"/>
      <c r="R2719" s="107"/>
      <c r="S2719" s="503"/>
      <c r="U2719" s="560"/>
    </row>
    <row r="2720" spans="1:21" ht="9.75" customHeight="1">
      <c r="A2720" s="503"/>
      <c r="B2720" s="503"/>
      <c r="C2720" s="13"/>
      <c r="D2720" s="13" t="s">
        <v>34</v>
      </c>
      <c r="E2720" s="13">
        <v>8</v>
      </c>
      <c r="F2720" s="512"/>
      <c r="G2720" s="513"/>
      <c r="H2720" s="513"/>
      <c r="I2720" s="513"/>
      <c r="J2720" s="513"/>
      <c r="K2720" s="513"/>
      <c r="L2720" s="513"/>
      <c r="M2720" s="513"/>
      <c r="N2720" s="513"/>
      <c r="O2720" s="514"/>
      <c r="P2720" s="109"/>
      <c r="Q2720" s="504"/>
      <c r="R2720" s="107"/>
      <c r="S2720" s="503"/>
      <c r="U2720" s="560"/>
    </row>
    <row r="2721" spans="1:21" ht="9.75" customHeight="1">
      <c r="A2721" s="503"/>
      <c r="B2721" s="503"/>
      <c r="C2721" s="13"/>
      <c r="D2721" s="13" t="s">
        <v>35</v>
      </c>
      <c r="E2721" s="13"/>
      <c r="F2721" s="109"/>
      <c r="G2721" s="504"/>
      <c r="H2721" s="504"/>
      <c r="I2721" s="504"/>
      <c r="J2721" s="504"/>
      <c r="K2721" s="504"/>
      <c r="L2721" s="504"/>
      <c r="M2721" s="504"/>
      <c r="N2721" s="504"/>
      <c r="O2721" s="110"/>
      <c r="P2721" s="109"/>
      <c r="Q2721" s="504"/>
      <c r="R2721" s="107"/>
      <c r="S2721" s="503"/>
      <c r="U2721" s="560"/>
    </row>
    <row r="2722" spans="1:21" ht="9.75" customHeight="1">
      <c r="A2722" s="503"/>
      <c r="B2722" s="503"/>
      <c r="C2722" s="13"/>
      <c r="D2722" s="13" t="s">
        <v>36</v>
      </c>
      <c r="E2722" s="13"/>
      <c r="F2722" s="109"/>
      <c r="G2722" s="504"/>
      <c r="H2722" s="504"/>
      <c r="I2722" s="504"/>
      <c r="J2722" s="504"/>
      <c r="K2722" s="504"/>
      <c r="L2722" s="504"/>
      <c r="M2722" s="504"/>
      <c r="N2722" s="504"/>
      <c r="O2722" s="110"/>
      <c r="P2722" s="109"/>
      <c r="Q2722" s="504"/>
      <c r="R2722" s="107"/>
      <c r="S2722" s="503"/>
      <c r="U2722" s="560"/>
    </row>
    <row r="2723" spans="1:21" ht="9.75" customHeight="1">
      <c r="A2723" s="503"/>
      <c r="B2723" s="503"/>
      <c r="C2723" s="13"/>
      <c r="D2723" s="13" t="s">
        <v>37</v>
      </c>
      <c r="E2723" s="13"/>
      <c r="F2723" s="109"/>
      <c r="G2723" s="504"/>
      <c r="H2723" s="504"/>
      <c r="I2723" s="504"/>
      <c r="J2723" s="504"/>
      <c r="K2723" s="504"/>
      <c r="L2723" s="504"/>
      <c r="M2723" s="504"/>
      <c r="N2723" s="504"/>
      <c r="O2723" s="110"/>
      <c r="P2723" s="109"/>
      <c r="Q2723" s="504"/>
      <c r="R2723" s="107"/>
      <c r="S2723" s="503"/>
      <c r="U2723" s="560"/>
    </row>
    <row r="2724" spans="1:21" ht="9.75" customHeight="1">
      <c r="A2724" s="503"/>
      <c r="B2724" s="503" t="s">
        <v>127</v>
      </c>
      <c r="C2724" s="2"/>
      <c r="D2724" s="21" t="s">
        <v>38</v>
      </c>
      <c r="E2724" s="21">
        <f t="shared" ref="E2724" si="529">SUM(E2708:E2723)</f>
        <v>233</v>
      </c>
      <c r="F2724" s="21">
        <f t="shared" ref="F2724:O2724" si="530">SUM(F2708:F2723)</f>
        <v>170</v>
      </c>
      <c r="G2724" s="71">
        <f t="shared" si="530"/>
        <v>0</v>
      </c>
      <c r="H2724" s="71">
        <f t="shared" si="530"/>
        <v>50</v>
      </c>
      <c r="I2724" s="71">
        <f t="shared" si="530"/>
        <v>0</v>
      </c>
      <c r="J2724" s="71">
        <f t="shared" si="530"/>
        <v>52</v>
      </c>
      <c r="K2724" s="71">
        <f t="shared" si="530"/>
        <v>0</v>
      </c>
      <c r="L2724" s="71">
        <f t="shared" si="530"/>
        <v>38</v>
      </c>
      <c r="M2724" s="71">
        <f t="shared" si="530"/>
        <v>0</v>
      </c>
      <c r="N2724" s="71">
        <f t="shared" si="530"/>
        <v>0</v>
      </c>
      <c r="O2724" s="26">
        <f t="shared" si="530"/>
        <v>0</v>
      </c>
      <c r="P2724" s="516">
        <f>MIN(F2724,H2724,J2724,L2724)</f>
        <v>38</v>
      </c>
      <c r="Q2724" s="71">
        <f>E2724-P2724</f>
        <v>195</v>
      </c>
      <c r="R2724" s="7">
        <f>Q2724/E2724</f>
        <v>0.83690987124463523</v>
      </c>
      <c r="S2724" s="503"/>
      <c r="U2724" s="560"/>
    </row>
    <row r="2725" spans="1:21" ht="9.75" customHeight="1">
      <c r="A2725" s="503"/>
      <c r="B2725" s="503"/>
      <c r="C2725" s="43" t="s">
        <v>407</v>
      </c>
      <c r="D2725" s="43" t="s">
        <v>23</v>
      </c>
      <c r="E2725" s="13"/>
      <c r="F2725" s="109"/>
      <c r="G2725" s="504"/>
      <c r="H2725" s="504"/>
      <c r="I2725" s="504"/>
      <c r="J2725" s="504"/>
      <c r="K2725" s="504"/>
      <c r="L2725" s="504"/>
      <c r="M2725" s="504"/>
      <c r="N2725" s="504"/>
      <c r="O2725" s="110"/>
      <c r="P2725" s="109"/>
      <c r="Q2725" s="504"/>
      <c r="R2725" s="107"/>
      <c r="S2725" s="503"/>
      <c r="U2725" s="560"/>
    </row>
    <row r="2726" spans="1:21" ht="9.75" customHeight="1">
      <c r="A2726" s="503"/>
      <c r="B2726" s="503"/>
      <c r="C2726" s="13"/>
      <c r="D2726" s="13" t="s">
        <v>25</v>
      </c>
      <c r="E2726" s="13">
        <f>137+61</f>
        <v>198</v>
      </c>
      <c r="F2726" s="109">
        <v>117</v>
      </c>
      <c r="G2726" s="513"/>
      <c r="H2726" s="504">
        <v>26</v>
      </c>
      <c r="I2726" s="513"/>
      <c r="J2726" s="504">
        <v>36</v>
      </c>
      <c r="K2726" s="513"/>
      <c r="L2726" s="504">
        <v>67</v>
      </c>
      <c r="M2726" s="513"/>
      <c r="N2726" s="513"/>
      <c r="O2726" s="514"/>
      <c r="P2726" s="109">
        <f>MIN(F2726:O2726)</f>
        <v>26</v>
      </c>
      <c r="Q2726" s="504">
        <f>E2726-P2726</f>
        <v>172</v>
      </c>
      <c r="R2726" s="107">
        <f>Q2726/E2726</f>
        <v>0.86868686868686873</v>
      </c>
      <c r="S2726" s="503"/>
      <c r="U2726" s="560"/>
    </row>
    <row r="2727" spans="1:21" ht="9.75" customHeight="1">
      <c r="A2727" s="503"/>
      <c r="B2727" s="503"/>
      <c r="C2727" s="517" t="s">
        <v>402</v>
      </c>
      <c r="D2727" s="13" t="s">
        <v>27</v>
      </c>
      <c r="E2727" s="13"/>
      <c r="F2727" s="109"/>
      <c r="G2727" s="504"/>
      <c r="H2727" s="504"/>
      <c r="I2727" s="504"/>
      <c r="J2727" s="504"/>
      <c r="K2727" s="504"/>
      <c r="L2727" s="504"/>
      <c r="M2727" s="504"/>
      <c r="N2727" s="504"/>
      <c r="O2727" s="110"/>
      <c r="P2727" s="109"/>
      <c r="Q2727" s="504"/>
      <c r="R2727" s="107"/>
      <c r="S2727" s="503"/>
      <c r="U2727" s="560"/>
    </row>
    <row r="2728" spans="1:21" ht="9.75" customHeight="1">
      <c r="A2728" s="503"/>
      <c r="B2728" s="503"/>
      <c r="C2728" s="517" t="s">
        <v>403</v>
      </c>
      <c r="D2728" s="13" t="s">
        <v>251</v>
      </c>
      <c r="E2728" s="13"/>
      <c r="F2728" s="109"/>
      <c r="G2728" s="504"/>
      <c r="H2728" s="504"/>
      <c r="I2728" s="504"/>
      <c r="J2728" s="504"/>
      <c r="K2728" s="504"/>
      <c r="L2728" s="504"/>
      <c r="M2728" s="504"/>
      <c r="N2728" s="504"/>
      <c r="O2728" s="110"/>
      <c r="P2728" s="109"/>
      <c r="Q2728" s="504"/>
      <c r="R2728" s="107"/>
      <c r="S2728" s="503"/>
      <c r="U2728" s="560"/>
    </row>
    <row r="2729" spans="1:21" ht="9.75" customHeight="1">
      <c r="A2729" s="503"/>
      <c r="B2729" s="503"/>
      <c r="C2729" s="517" t="s">
        <v>404</v>
      </c>
      <c r="D2729" s="13" t="s">
        <v>115</v>
      </c>
      <c r="E2729" s="13"/>
      <c r="F2729" s="109"/>
      <c r="G2729" s="504"/>
      <c r="H2729" s="504"/>
      <c r="I2729" s="504"/>
      <c r="J2729" s="504"/>
      <c r="K2729" s="504"/>
      <c r="L2729" s="504"/>
      <c r="M2729" s="504"/>
      <c r="N2729" s="504"/>
      <c r="O2729" s="110"/>
      <c r="P2729" s="109"/>
      <c r="Q2729" s="504"/>
      <c r="R2729" s="107"/>
      <c r="S2729" s="503"/>
      <c r="U2729" s="560"/>
    </row>
    <row r="2730" spans="1:21" ht="9.75" customHeight="1">
      <c r="A2730" s="503"/>
      <c r="B2730" s="503"/>
      <c r="C2730" s="517" t="s">
        <v>405</v>
      </c>
      <c r="D2730" s="13" t="s">
        <v>32</v>
      </c>
      <c r="E2730" s="13"/>
      <c r="F2730" s="109"/>
      <c r="G2730" s="504"/>
      <c r="H2730" s="504"/>
      <c r="I2730" s="504"/>
      <c r="J2730" s="504"/>
      <c r="K2730" s="504"/>
      <c r="L2730" s="504"/>
      <c r="M2730" s="504"/>
      <c r="N2730" s="504"/>
      <c r="O2730" s="110"/>
      <c r="P2730" s="109"/>
      <c r="Q2730" s="504"/>
      <c r="R2730" s="107"/>
      <c r="S2730" s="503"/>
      <c r="U2730" s="560"/>
    </row>
    <row r="2731" spans="1:21" ht="9.75" customHeight="1">
      <c r="A2731" s="503"/>
      <c r="B2731" s="503"/>
      <c r="C2731" s="13"/>
      <c r="D2731" s="13" t="s">
        <v>118</v>
      </c>
      <c r="E2731" s="13">
        <v>6</v>
      </c>
      <c r="F2731" s="512"/>
      <c r="G2731" s="513"/>
      <c r="H2731" s="513"/>
      <c r="I2731" s="513"/>
      <c r="J2731" s="513"/>
      <c r="K2731" s="513"/>
      <c r="L2731" s="513"/>
      <c r="M2731" s="513"/>
      <c r="N2731" s="513"/>
      <c r="O2731" s="514"/>
      <c r="P2731" s="109"/>
      <c r="Q2731" s="504"/>
      <c r="R2731" s="107"/>
      <c r="S2731" s="503"/>
      <c r="U2731" s="560"/>
    </row>
    <row r="2732" spans="1:21" ht="9.75" customHeight="1">
      <c r="A2732" s="503"/>
      <c r="B2732" s="503"/>
      <c r="C2732" s="13"/>
      <c r="D2732" s="13" t="s">
        <v>191</v>
      </c>
      <c r="E2732" s="13"/>
      <c r="F2732" s="109"/>
      <c r="G2732" s="504"/>
      <c r="H2732" s="504"/>
      <c r="I2732" s="504"/>
      <c r="J2732" s="504"/>
      <c r="K2732" s="504"/>
      <c r="L2732" s="504"/>
      <c r="M2732" s="504"/>
      <c r="N2732" s="504"/>
      <c r="O2732" s="110"/>
      <c r="P2732" s="109"/>
      <c r="Q2732" s="504"/>
      <c r="R2732" s="107"/>
      <c r="S2732" s="503"/>
      <c r="U2732" s="560"/>
    </row>
    <row r="2733" spans="1:21" ht="9.75" customHeight="1">
      <c r="A2733" s="503"/>
      <c r="B2733" s="503"/>
      <c r="C2733" s="13"/>
      <c r="D2733" s="13" t="s">
        <v>120</v>
      </c>
      <c r="E2733" s="13"/>
      <c r="F2733" s="109"/>
      <c r="G2733" s="504"/>
      <c r="H2733" s="504"/>
      <c r="I2733" s="504"/>
      <c r="J2733" s="504"/>
      <c r="K2733" s="504"/>
      <c r="L2733" s="504"/>
      <c r="M2733" s="504"/>
      <c r="N2733" s="504"/>
      <c r="O2733" s="110"/>
      <c r="P2733" s="109"/>
      <c r="Q2733" s="504"/>
      <c r="R2733" s="107"/>
      <c r="S2733" s="503"/>
      <c r="U2733" s="560"/>
    </row>
    <row r="2734" spans="1:21" ht="9.75" customHeight="1">
      <c r="A2734" s="503"/>
      <c r="B2734" s="503"/>
      <c r="C2734" s="13"/>
      <c r="D2734" s="13" t="s">
        <v>120</v>
      </c>
      <c r="E2734" s="13"/>
      <c r="F2734" s="109"/>
      <c r="G2734" s="504"/>
      <c r="H2734" s="504"/>
      <c r="I2734" s="504"/>
      <c r="J2734" s="504"/>
      <c r="K2734" s="504"/>
      <c r="L2734" s="504"/>
      <c r="M2734" s="504"/>
      <c r="N2734" s="504"/>
      <c r="O2734" s="110"/>
      <c r="P2734" s="109"/>
      <c r="Q2734" s="504"/>
      <c r="R2734" s="107"/>
      <c r="S2734" s="503"/>
      <c r="U2734" s="560"/>
    </row>
    <row r="2735" spans="1:21" ht="9.75" customHeight="1">
      <c r="A2735" s="503"/>
      <c r="B2735" s="503"/>
      <c r="C2735" s="13"/>
      <c r="D2735" s="13" t="s">
        <v>120</v>
      </c>
      <c r="E2735" s="13"/>
      <c r="F2735" s="109"/>
      <c r="G2735" s="504"/>
      <c r="H2735" s="504"/>
      <c r="I2735" s="504"/>
      <c r="J2735" s="504"/>
      <c r="K2735" s="504"/>
      <c r="L2735" s="504"/>
      <c r="M2735" s="504"/>
      <c r="N2735" s="504"/>
      <c r="O2735" s="110"/>
      <c r="P2735" s="109"/>
      <c r="Q2735" s="504"/>
      <c r="R2735" s="107"/>
      <c r="S2735" s="503"/>
      <c r="U2735" s="560"/>
    </row>
    <row r="2736" spans="1:21" ht="9.75" customHeight="1">
      <c r="A2736" s="503"/>
      <c r="B2736" s="503"/>
      <c r="C2736" s="13"/>
      <c r="D2736" s="13" t="s">
        <v>120</v>
      </c>
      <c r="E2736" s="13"/>
      <c r="F2736" s="109"/>
      <c r="G2736" s="504"/>
      <c r="H2736" s="504"/>
      <c r="I2736" s="504"/>
      <c r="J2736" s="504"/>
      <c r="K2736" s="504"/>
      <c r="L2736" s="504"/>
      <c r="M2736" s="504"/>
      <c r="N2736" s="504"/>
      <c r="O2736" s="110"/>
      <c r="P2736" s="109"/>
      <c r="Q2736" s="504"/>
      <c r="R2736" s="107"/>
      <c r="S2736" s="503"/>
      <c r="U2736" s="560"/>
    </row>
    <row r="2737" spans="1:21" ht="9.75" customHeight="1">
      <c r="A2737" s="503"/>
      <c r="B2737" s="503"/>
      <c r="C2737" s="13"/>
      <c r="D2737" s="13" t="s">
        <v>34</v>
      </c>
      <c r="E2737" s="13">
        <v>6</v>
      </c>
      <c r="F2737" s="512"/>
      <c r="G2737" s="513"/>
      <c r="H2737" s="513"/>
      <c r="I2737" s="513"/>
      <c r="J2737" s="513"/>
      <c r="K2737" s="513"/>
      <c r="L2737" s="513"/>
      <c r="M2737" s="513"/>
      <c r="N2737" s="513"/>
      <c r="O2737" s="514"/>
      <c r="P2737" s="109"/>
      <c r="Q2737" s="504"/>
      <c r="R2737" s="107"/>
      <c r="S2737" s="503"/>
      <c r="U2737" s="560"/>
    </row>
    <row r="2738" spans="1:21" ht="9.75" customHeight="1">
      <c r="A2738" s="503"/>
      <c r="B2738" s="503"/>
      <c r="C2738" s="13"/>
      <c r="D2738" s="13" t="s">
        <v>35</v>
      </c>
      <c r="E2738" s="13"/>
      <c r="F2738" s="109"/>
      <c r="G2738" s="504"/>
      <c r="H2738" s="504"/>
      <c r="I2738" s="504"/>
      <c r="J2738" s="504"/>
      <c r="K2738" s="504"/>
      <c r="L2738" s="504"/>
      <c r="M2738" s="504"/>
      <c r="N2738" s="504"/>
      <c r="O2738" s="110"/>
      <c r="P2738" s="109"/>
      <c r="Q2738" s="504"/>
      <c r="R2738" s="107"/>
      <c r="S2738" s="503"/>
      <c r="U2738" s="560"/>
    </row>
    <row r="2739" spans="1:21" ht="9.75" customHeight="1">
      <c r="A2739" s="503"/>
      <c r="B2739" s="503"/>
      <c r="C2739" s="13"/>
      <c r="D2739" s="13" t="s">
        <v>36</v>
      </c>
      <c r="E2739" s="13"/>
      <c r="F2739" s="109"/>
      <c r="G2739" s="504"/>
      <c r="H2739" s="504"/>
      <c r="I2739" s="504"/>
      <c r="J2739" s="504"/>
      <c r="K2739" s="504"/>
      <c r="L2739" s="504"/>
      <c r="M2739" s="504"/>
      <c r="N2739" s="504"/>
      <c r="O2739" s="110"/>
      <c r="P2739" s="109"/>
      <c r="Q2739" s="504"/>
      <c r="R2739" s="107"/>
      <c r="S2739" s="503"/>
      <c r="U2739" s="560"/>
    </row>
    <row r="2740" spans="1:21" ht="9.75" customHeight="1">
      <c r="A2740" s="503"/>
      <c r="B2740" s="503"/>
      <c r="C2740" s="13"/>
      <c r="D2740" s="13" t="s">
        <v>37</v>
      </c>
      <c r="E2740" s="13"/>
      <c r="F2740" s="109"/>
      <c r="G2740" s="504"/>
      <c r="H2740" s="504"/>
      <c r="I2740" s="504"/>
      <c r="J2740" s="504"/>
      <c r="K2740" s="504"/>
      <c r="L2740" s="504"/>
      <c r="M2740" s="504"/>
      <c r="N2740" s="504"/>
      <c r="O2740" s="110"/>
      <c r="P2740" s="109"/>
      <c r="Q2740" s="504"/>
      <c r="R2740" s="107"/>
      <c r="S2740" s="503"/>
      <c r="U2740" s="560"/>
    </row>
    <row r="2741" spans="1:21" ht="9.75" customHeight="1">
      <c r="A2741" s="503"/>
      <c r="B2741" s="503" t="s">
        <v>127</v>
      </c>
      <c r="C2741" s="2"/>
      <c r="D2741" s="21" t="s">
        <v>38</v>
      </c>
      <c r="E2741" s="21">
        <f t="shared" ref="E2741" si="531">SUM(E2725:E2740)</f>
        <v>210</v>
      </c>
      <c r="F2741" s="21">
        <f t="shared" ref="F2741:O2741" si="532">SUM(F2725:F2740)</f>
        <v>117</v>
      </c>
      <c r="G2741" s="71">
        <f t="shared" si="532"/>
        <v>0</v>
      </c>
      <c r="H2741" s="71">
        <f t="shared" si="532"/>
        <v>26</v>
      </c>
      <c r="I2741" s="71">
        <f t="shared" si="532"/>
        <v>0</v>
      </c>
      <c r="J2741" s="71">
        <f t="shared" si="532"/>
        <v>36</v>
      </c>
      <c r="K2741" s="71">
        <f t="shared" si="532"/>
        <v>0</v>
      </c>
      <c r="L2741" s="71">
        <f t="shared" si="532"/>
        <v>67</v>
      </c>
      <c r="M2741" s="71">
        <f t="shared" si="532"/>
        <v>0</v>
      </c>
      <c r="N2741" s="71">
        <f t="shared" si="532"/>
        <v>0</v>
      </c>
      <c r="O2741" s="26">
        <f t="shared" si="532"/>
        <v>0</v>
      </c>
      <c r="P2741" s="516">
        <f>MIN(F2741,H2741,J2741,L2741)</f>
        <v>26</v>
      </c>
      <c r="Q2741" s="71">
        <f>E2741-P2741</f>
        <v>184</v>
      </c>
      <c r="R2741" s="7">
        <f>Q2741/E2741</f>
        <v>0.87619047619047619</v>
      </c>
      <c r="S2741" s="503"/>
      <c r="U2741" s="560"/>
    </row>
    <row r="2742" spans="1:21" ht="9.75" customHeight="1">
      <c r="A2742" s="503"/>
      <c r="B2742" s="503"/>
      <c r="C2742" s="43" t="s">
        <v>408</v>
      </c>
      <c r="D2742" s="43" t="s">
        <v>23</v>
      </c>
      <c r="E2742" s="13"/>
      <c r="F2742" s="109"/>
      <c r="G2742" s="504"/>
      <c r="H2742" s="504"/>
      <c r="I2742" s="504"/>
      <c r="J2742" s="504"/>
      <c r="K2742" s="504"/>
      <c r="L2742" s="504"/>
      <c r="M2742" s="504"/>
      <c r="N2742" s="504"/>
      <c r="O2742" s="110"/>
      <c r="P2742" s="109"/>
      <c r="Q2742" s="504"/>
      <c r="R2742" s="107"/>
      <c r="S2742" s="503"/>
      <c r="U2742" s="560"/>
    </row>
    <row r="2743" spans="1:21" ht="9.75" customHeight="1">
      <c r="A2743" s="503"/>
      <c r="B2743" s="503"/>
      <c r="C2743" s="13"/>
      <c r="D2743" s="13" t="s">
        <v>25</v>
      </c>
      <c r="E2743" s="13">
        <v>68</v>
      </c>
      <c r="F2743" s="109">
        <v>37</v>
      </c>
      <c r="G2743" s="513"/>
      <c r="H2743" s="504">
        <v>37</v>
      </c>
      <c r="I2743" s="513"/>
      <c r="J2743" s="504">
        <v>38</v>
      </c>
      <c r="K2743" s="513"/>
      <c r="L2743" s="504">
        <v>35</v>
      </c>
      <c r="M2743" s="513"/>
      <c r="N2743" s="513"/>
      <c r="O2743" s="514"/>
      <c r="P2743" s="109">
        <f>MIN(F2743:O2743)</f>
        <v>35</v>
      </c>
      <c r="Q2743" s="504">
        <f>E2743-P2743</f>
        <v>33</v>
      </c>
      <c r="R2743" s="107">
        <f>Q2743/E2743</f>
        <v>0.48529411764705882</v>
      </c>
      <c r="S2743" s="503"/>
      <c r="U2743" s="560"/>
    </row>
    <row r="2744" spans="1:21" ht="9.75" customHeight="1">
      <c r="A2744" s="503"/>
      <c r="B2744" s="503"/>
      <c r="C2744" s="517" t="s">
        <v>402</v>
      </c>
      <c r="D2744" s="13" t="s">
        <v>27</v>
      </c>
      <c r="E2744" s="13"/>
      <c r="F2744" s="109"/>
      <c r="G2744" s="504"/>
      <c r="H2744" s="504"/>
      <c r="I2744" s="504"/>
      <c r="J2744" s="504"/>
      <c r="K2744" s="504"/>
      <c r="L2744" s="504"/>
      <c r="M2744" s="504"/>
      <c r="N2744" s="504"/>
      <c r="O2744" s="110"/>
      <c r="P2744" s="109"/>
      <c r="Q2744" s="504"/>
      <c r="R2744" s="107"/>
      <c r="S2744" s="503"/>
      <c r="U2744" s="560"/>
    </row>
    <row r="2745" spans="1:21" ht="9.75" customHeight="1">
      <c r="A2745" s="503"/>
      <c r="B2745" s="503"/>
      <c r="C2745" s="517" t="s">
        <v>403</v>
      </c>
      <c r="D2745" s="13" t="s">
        <v>251</v>
      </c>
      <c r="E2745" s="13"/>
      <c r="F2745" s="109"/>
      <c r="G2745" s="504"/>
      <c r="H2745" s="504"/>
      <c r="I2745" s="504"/>
      <c r="J2745" s="504"/>
      <c r="K2745" s="504"/>
      <c r="L2745" s="504"/>
      <c r="M2745" s="504"/>
      <c r="N2745" s="504"/>
      <c r="O2745" s="110"/>
      <c r="P2745" s="109"/>
      <c r="Q2745" s="504"/>
      <c r="R2745" s="107"/>
      <c r="S2745" s="503"/>
      <c r="U2745" s="560"/>
    </row>
    <row r="2746" spans="1:21" ht="9.75" customHeight="1">
      <c r="A2746" s="503"/>
      <c r="B2746" s="503"/>
      <c r="C2746" s="517" t="s">
        <v>404</v>
      </c>
      <c r="D2746" s="13" t="s">
        <v>115</v>
      </c>
      <c r="E2746" s="13"/>
      <c r="F2746" s="109"/>
      <c r="G2746" s="504"/>
      <c r="H2746" s="504"/>
      <c r="I2746" s="504"/>
      <c r="J2746" s="504"/>
      <c r="K2746" s="504"/>
      <c r="L2746" s="504"/>
      <c r="M2746" s="504"/>
      <c r="N2746" s="504"/>
      <c r="O2746" s="110"/>
      <c r="P2746" s="109"/>
      <c r="Q2746" s="504"/>
      <c r="R2746" s="107"/>
      <c r="S2746" s="503"/>
      <c r="U2746" s="560"/>
    </row>
    <row r="2747" spans="1:21" ht="9.75" customHeight="1">
      <c r="A2747" s="503"/>
      <c r="B2747" s="503"/>
      <c r="C2747" s="517" t="s">
        <v>405</v>
      </c>
      <c r="D2747" s="13" t="s">
        <v>32</v>
      </c>
      <c r="E2747" s="13"/>
      <c r="F2747" s="109"/>
      <c r="G2747" s="504"/>
      <c r="H2747" s="504"/>
      <c r="I2747" s="504"/>
      <c r="J2747" s="504"/>
      <c r="K2747" s="504"/>
      <c r="L2747" s="504"/>
      <c r="M2747" s="504"/>
      <c r="N2747" s="504"/>
      <c r="O2747" s="110"/>
      <c r="P2747" s="109"/>
      <c r="Q2747" s="504"/>
      <c r="R2747" s="107"/>
      <c r="S2747" s="503"/>
      <c r="U2747" s="560"/>
    </row>
    <row r="2748" spans="1:21" ht="9.75" customHeight="1">
      <c r="A2748" s="503"/>
      <c r="B2748" s="503"/>
      <c r="C2748" s="13"/>
      <c r="D2748" s="13" t="s">
        <v>118</v>
      </c>
      <c r="E2748" s="13">
        <v>8</v>
      </c>
      <c r="F2748" s="512"/>
      <c r="G2748" s="513"/>
      <c r="H2748" s="513"/>
      <c r="I2748" s="513"/>
      <c r="J2748" s="513"/>
      <c r="K2748" s="513"/>
      <c r="L2748" s="513"/>
      <c r="M2748" s="513"/>
      <c r="N2748" s="513"/>
      <c r="O2748" s="514"/>
      <c r="P2748" s="109"/>
      <c r="Q2748" s="504"/>
      <c r="R2748" s="107"/>
      <c r="S2748" s="503"/>
      <c r="U2748" s="560"/>
    </row>
    <row r="2749" spans="1:21" ht="9.75" customHeight="1">
      <c r="A2749" s="503"/>
      <c r="B2749" s="503"/>
      <c r="C2749" s="13"/>
      <c r="D2749" s="13" t="s">
        <v>120</v>
      </c>
      <c r="E2749" s="13"/>
      <c r="F2749" s="109"/>
      <c r="G2749" s="504"/>
      <c r="H2749" s="504"/>
      <c r="I2749" s="504"/>
      <c r="J2749" s="504"/>
      <c r="K2749" s="504"/>
      <c r="L2749" s="504"/>
      <c r="M2749" s="504"/>
      <c r="N2749" s="504"/>
      <c r="O2749" s="110"/>
      <c r="P2749" s="109"/>
      <c r="Q2749" s="504"/>
      <c r="R2749" s="107"/>
      <c r="S2749" s="503"/>
      <c r="U2749" s="560"/>
    </row>
    <row r="2750" spans="1:21" ht="9.75" customHeight="1">
      <c r="A2750" s="503"/>
      <c r="B2750" s="503"/>
      <c r="C2750" s="13"/>
      <c r="D2750" s="13" t="s">
        <v>120</v>
      </c>
      <c r="E2750" s="13"/>
      <c r="F2750" s="109"/>
      <c r="G2750" s="504"/>
      <c r="H2750" s="504"/>
      <c r="I2750" s="504"/>
      <c r="J2750" s="504"/>
      <c r="K2750" s="504"/>
      <c r="L2750" s="504"/>
      <c r="M2750" s="504"/>
      <c r="N2750" s="504"/>
      <c r="O2750" s="110"/>
      <c r="P2750" s="109"/>
      <c r="Q2750" s="504"/>
      <c r="R2750" s="107"/>
      <c r="S2750" s="503"/>
      <c r="U2750" s="560"/>
    </row>
    <row r="2751" spans="1:21" ht="9.75" customHeight="1">
      <c r="A2751" s="503"/>
      <c r="B2751" s="503"/>
      <c r="C2751" s="13"/>
      <c r="D2751" s="13" t="s">
        <v>120</v>
      </c>
      <c r="E2751" s="13"/>
      <c r="F2751" s="109"/>
      <c r="G2751" s="504"/>
      <c r="H2751" s="504"/>
      <c r="I2751" s="504"/>
      <c r="J2751" s="504"/>
      <c r="K2751" s="504"/>
      <c r="L2751" s="504"/>
      <c r="M2751" s="504"/>
      <c r="N2751" s="504"/>
      <c r="O2751" s="110"/>
      <c r="P2751" s="109"/>
      <c r="Q2751" s="504"/>
      <c r="R2751" s="107"/>
      <c r="S2751" s="503"/>
      <c r="U2751" s="560"/>
    </row>
    <row r="2752" spans="1:21" ht="9.75" customHeight="1">
      <c r="A2752" s="503"/>
      <c r="B2752" s="503"/>
      <c r="C2752" s="13"/>
      <c r="D2752" s="13" t="s">
        <v>120</v>
      </c>
      <c r="E2752" s="13"/>
      <c r="F2752" s="109"/>
      <c r="G2752" s="504"/>
      <c r="H2752" s="504"/>
      <c r="I2752" s="504"/>
      <c r="J2752" s="504"/>
      <c r="K2752" s="504"/>
      <c r="L2752" s="504"/>
      <c r="M2752" s="504"/>
      <c r="N2752" s="504"/>
      <c r="O2752" s="110"/>
      <c r="P2752" s="109"/>
      <c r="Q2752" s="504"/>
      <c r="R2752" s="107"/>
      <c r="S2752" s="503"/>
      <c r="U2752" s="560"/>
    </row>
    <row r="2753" spans="1:24" ht="9.75" customHeight="1">
      <c r="A2753" s="503"/>
      <c r="B2753" s="503"/>
      <c r="C2753" s="13"/>
      <c r="D2753" s="13" t="s">
        <v>120</v>
      </c>
      <c r="E2753" s="13"/>
      <c r="F2753" s="109"/>
      <c r="G2753" s="504"/>
      <c r="H2753" s="504"/>
      <c r="I2753" s="504"/>
      <c r="J2753" s="504"/>
      <c r="K2753" s="504"/>
      <c r="L2753" s="504"/>
      <c r="M2753" s="504"/>
      <c r="N2753" s="504"/>
      <c r="O2753" s="110"/>
      <c r="P2753" s="109"/>
      <c r="Q2753" s="504"/>
      <c r="R2753" s="107"/>
      <c r="S2753" s="503"/>
      <c r="U2753" s="560"/>
    </row>
    <row r="2754" spans="1:24" ht="9.75" customHeight="1">
      <c r="A2754" s="503"/>
      <c r="B2754" s="503"/>
      <c r="C2754" s="13"/>
      <c r="D2754" s="13" t="s">
        <v>34</v>
      </c>
      <c r="E2754" s="13">
        <v>5</v>
      </c>
      <c r="F2754" s="512"/>
      <c r="G2754" s="513"/>
      <c r="H2754" s="513"/>
      <c r="I2754" s="513"/>
      <c r="J2754" s="513"/>
      <c r="K2754" s="513"/>
      <c r="L2754" s="513"/>
      <c r="M2754" s="513"/>
      <c r="N2754" s="513"/>
      <c r="O2754" s="514"/>
      <c r="P2754" s="109"/>
      <c r="Q2754" s="504"/>
      <c r="R2754" s="107"/>
      <c r="S2754" s="503"/>
      <c r="U2754" s="560"/>
    </row>
    <row r="2755" spans="1:24" ht="9.75" customHeight="1">
      <c r="A2755" s="503"/>
      <c r="B2755" s="503"/>
      <c r="C2755" s="13"/>
      <c r="D2755" s="13" t="s">
        <v>35</v>
      </c>
      <c r="E2755" s="13"/>
      <c r="F2755" s="109"/>
      <c r="G2755" s="504"/>
      <c r="H2755" s="504"/>
      <c r="I2755" s="504"/>
      <c r="J2755" s="504"/>
      <c r="K2755" s="504"/>
      <c r="L2755" s="504"/>
      <c r="M2755" s="504"/>
      <c r="N2755" s="504"/>
      <c r="O2755" s="110"/>
      <c r="P2755" s="109"/>
      <c r="Q2755" s="504"/>
      <c r="R2755" s="107"/>
      <c r="S2755" s="503"/>
      <c r="U2755" s="560"/>
    </row>
    <row r="2756" spans="1:24" ht="9.75" customHeight="1">
      <c r="A2756" s="503"/>
      <c r="B2756" s="503"/>
      <c r="C2756" s="13"/>
      <c r="D2756" s="13" t="s">
        <v>36</v>
      </c>
      <c r="E2756" s="13"/>
      <c r="F2756" s="109"/>
      <c r="G2756" s="504"/>
      <c r="H2756" s="504"/>
      <c r="I2756" s="504"/>
      <c r="J2756" s="504"/>
      <c r="K2756" s="504"/>
      <c r="L2756" s="504"/>
      <c r="M2756" s="504"/>
      <c r="N2756" s="504"/>
      <c r="O2756" s="110"/>
      <c r="P2756" s="109"/>
      <c r="Q2756" s="504"/>
      <c r="R2756" s="107"/>
      <c r="S2756" s="503"/>
      <c r="U2756" s="560"/>
    </row>
    <row r="2757" spans="1:24" ht="9.75" customHeight="1">
      <c r="A2757" s="503"/>
      <c r="B2757" s="503"/>
      <c r="C2757" s="13"/>
      <c r="D2757" s="13" t="s">
        <v>37</v>
      </c>
      <c r="E2757" s="13"/>
      <c r="F2757" s="109"/>
      <c r="G2757" s="504"/>
      <c r="H2757" s="504"/>
      <c r="I2757" s="504"/>
      <c r="J2757" s="504"/>
      <c r="K2757" s="504"/>
      <c r="L2757" s="504"/>
      <c r="M2757" s="504"/>
      <c r="N2757" s="504"/>
      <c r="O2757" s="110"/>
      <c r="P2757" s="109"/>
      <c r="Q2757" s="504"/>
      <c r="R2757" s="107"/>
      <c r="S2757" s="503"/>
      <c r="T2757" s="560" t="str">
        <f t="shared" ref="T2757" si="533">IF(D2757="A",E2757,"")</f>
        <v/>
      </c>
      <c r="U2757" s="560"/>
    </row>
    <row r="2758" spans="1:24" ht="9.75" customHeight="1">
      <c r="A2758" s="503"/>
      <c r="B2758" s="503" t="s">
        <v>127</v>
      </c>
      <c r="C2758" s="2"/>
      <c r="D2758" s="21" t="s">
        <v>38</v>
      </c>
      <c r="E2758" s="21">
        <f t="shared" ref="E2758" si="534">SUM(E2742:E2757)</f>
        <v>81</v>
      </c>
      <c r="F2758" s="21">
        <f t="shared" ref="F2758:O2758" si="535">SUM(F2742:F2757)</f>
        <v>37</v>
      </c>
      <c r="G2758" s="71">
        <f t="shared" si="535"/>
        <v>0</v>
      </c>
      <c r="H2758" s="71">
        <f t="shared" si="535"/>
        <v>37</v>
      </c>
      <c r="I2758" s="71">
        <f t="shared" si="535"/>
        <v>0</v>
      </c>
      <c r="J2758" s="71">
        <f t="shared" si="535"/>
        <v>38</v>
      </c>
      <c r="K2758" s="71">
        <f t="shared" si="535"/>
        <v>0</v>
      </c>
      <c r="L2758" s="71">
        <f t="shared" si="535"/>
        <v>35</v>
      </c>
      <c r="M2758" s="71">
        <f t="shared" si="535"/>
        <v>0</v>
      </c>
      <c r="N2758" s="71">
        <f t="shared" si="535"/>
        <v>0</v>
      </c>
      <c r="O2758" s="26">
        <f t="shared" si="535"/>
        <v>0</v>
      </c>
      <c r="P2758" s="516">
        <f>MIN(F2758,H2758,J2758,L2758)</f>
        <v>35</v>
      </c>
      <c r="Q2758" s="71">
        <f>E2758-P2758</f>
        <v>46</v>
      </c>
      <c r="R2758" s="7">
        <f>Q2758/E2758</f>
        <v>0.5679012345679012</v>
      </c>
      <c r="S2758" s="503"/>
      <c r="V2758" s="547"/>
      <c r="W2758" s="547"/>
      <c r="X2758" s="547"/>
    </row>
    <row r="2759" spans="1:24" ht="9.75" customHeight="1">
      <c r="A2759" s="503"/>
      <c r="B2759" s="503"/>
      <c r="C2759" s="24" t="s">
        <v>409</v>
      </c>
      <c r="D2759" s="106" t="s">
        <v>23</v>
      </c>
      <c r="E2759" s="106"/>
      <c r="F2759" s="105"/>
      <c r="G2759" s="105"/>
      <c r="H2759" s="105"/>
      <c r="I2759" s="105"/>
      <c r="J2759" s="105"/>
      <c r="K2759" s="105"/>
      <c r="L2759" s="105"/>
      <c r="M2759" s="105"/>
      <c r="N2759" s="105"/>
      <c r="O2759" s="106"/>
      <c r="P2759" s="105"/>
      <c r="Q2759" s="105"/>
      <c r="R2759" s="141"/>
      <c r="S2759" s="503"/>
    </row>
    <row r="2760" spans="1:24" ht="9.75" customHeight="1">
      <c r="A2760" s="503"/>
      <c r="B2760" s="503"/>
      <c r="C2760" s="13"/>
      <c r="D2760" s="108" t="s">
        <v>25</v>
      </c>
      <c r="E2760" s="108"/>
      <c r="F2760" s="91"/>
      <c r="G2760" s="91"/>
      <c r="H2760" s="91"/>
      <c r="I2760" s="91"/>
      <c r="J2760" s="91"/>
      <c r="K2760" s="91"/>
      <c r="L2760" s="91"/>
      <c r="M2760" s="91"/>
      <c r="N2760" s="91"/>
      <c r="O2760" s="108"/>
      <c r="P2760" s="91"/>
      <c r="Q2760" s="91"/>
      <c r="R2760" s="107"/>
      <c r="S2760" s="503"/>
    </row>
    <row r="2761" spans="1:24" ht="9.75" customHeight="1">
      <c r="A2761" s="503"/>
      <c r="B2761" s="503"/>
      <c r="C2761" s="13"/>
      <c r="D2761" s="108" t="s">
        <v>27</v>
      </c>
      <c r="E2761" s="108"/>
      <c r="F2761" s="91"/>
      <c r="G2761" s="91"/>
      <c r="H2761" s="91"/>
      <c r="I2761" s="91"/>
      <c r="J2761" s="91"/>
      <c r="K2761" s="91"/>
      <c r="L2761" s="91"/>
      <c r="M2761" s="91"/>
      <c r="N2761" s="91"/>
      <c r="O2761" s="108"/>
      <c r="P2761" s="91"/>
      <c r="Q2761" s="91"/>
      <c r="R2761" s="107"/>
      <c r="S2761" s="503"/>
    </row>
    <row r="2762" spans="1:24" ht="9.75" customHeight="1">
      <c r="A2762" s="503"/>
      <c r="B2762" s="503"/>
      <c r="C2762" s="13"/>
      <c r="D2762" s="108" t="s">
        <v>173</v>
      </c>
      <c r="E2762" s="136">
        <v>41</v>
      </c>
      <c r="F2762" s="11">
        <v>41</v>
      </c>
      <c r="G2762" s="11">
        <v>41</v>
      </c>
      <c r="H2762" s="11">
        <v>41</v>
      </c>
      <c r="I2762" s="11">
        <v>41</v>
      </c>
      <c r="J2762" s="11">
        <v>41</v>
      </c>
      <c r="K2762" s="11">
        <v>41</v>
      </c>
      <c r="L2762" s="11">
        <v>41</v>
      </c>
      <c r="M2762" s="11">
        <v>41</v>
      </c>
      <c r="N2762" s="11">
        <v>41</v>
      </c>
      <c r="O2762" s="136">
        <v>41</v>
      </c>
      <c r="P2762" s="11">
        <f>MIN(F2762:O2762)</f>
        <v>41</v>
      </c>
      <c r="Q2762" s="11">
        <f>E2762-P2762</f>
        <v>0</v>
      </c>
      <c r="R2762" s="122">
        <f>Q2762/E2762</f>
        <v>0</v>
      </c>
      <c r="S2762" s="503"/>
    </row>
    <row r="2763" spans="1:24" ht="9.75" customHeight="1">
      <c r="A2763" s="503"/>
      <c r="B2763" s="503"/>
      <c r="C2763" s="1"/>
      <c r="D2763" s="108" t="s">
        <v>115</v>
      </c>
      <c r="E2763" s="108"/>
      <c r="F2763" s="91"/>
      <c r="G2763" s="91"/>
      <c r="H2763" s="91"/>
      <c r="I2763" s="91"/>
      <c r="J2763" s="91"/>
      <c r="K2763" s="91"/>
      <c r="L2763" s="91"/>
      <c r="M2763" s="91"/>
      <c r="N2763" s="91"/>
      <c r="O2763" s="108"/>
      <c r="P2763" s="91"/>
      <c r="Q2763" s="91"/>
      <c r="R2763" s="107"/>
      <c r="S2763" s="503"/>
    </row>
    <row r="2764" spans="1:24" ht="9.75" customHeight="1">
      <c r="A2764" s="503"/>
      <c r="B2764" s="503"/>
      <c r="C2764" s="1"/>
      <c r="D2764" s="108" t="s">
        <v>32</v>
      </c>
      <c r="E2764" s="108"/>
      <c r="F2764" s="91"/>
      <c r="G2764" s="91"/>
      <c r="H2764" s="91"/>
      <c r="I2764" s="91"/>
      <c r="J2764" s="91"/>
      <c r="K2764" s="91"/>
      <c r="L2764" s="91"/>
      <c r="M2764" s="91"/>
      <c r="N2764" s="91"/>
      <c r="O2764" s="108"/>
      <c r="P2764" s="91"/>
      <c r="Q2764" s="91"/>
      <c r="R2764" s="107"/>
      <c r="S2764" s="503"/>
    </row>
    <row r="2765" spans="1:24" ht="9.75" customHeight="1">
      <c r="A2765" s="503"/>
      <c r="B2765" s="503"/>
      <c r="C2765" s="1"/>
      <c r="D2765" s="108" t="s">
        <v>120</v>
      </c>
      <c r="E2765" s="108"/>
      <c r="F2765" s="91"/>
      <c r="G2765" s="91"/>
      <c r="H2765" s="91"/>
      <c r="I2765" s="91"/>
      <c r="J2765" s="91"/>
      <c r="K2765" s="91"/>
      <c r="L2765" s="91"/>
      <c r="M2765" s="91"/>
      <c r="N2765" s="91"/>
      <c r="O2765" s="108"/>
      <c r="P2765" s="91"/>
      <c r="Q2765" s="91"/>
      <c r="R2765" s="107"/>
      <c r="S2765" s="503"/>
    </row>
    <row r="2766" spans="1:24" ht="9.75" customHeight="1">
      <c r="A2766" s="503"/>
      <c r="B2766" s="503"/>
      <c r="C2766" s="1"/>
      <c r="D2766" s="108" t="s">
        <v>120</v>
      </c>
      <c r="E2766" s="108"/>
      <c r="F2766" s="91"/>
      <c r="G2766" s="91"/>
      <c r="H2766" s="91"/>
      <c r="I2766" s="91"/>
      <c r="J2766" s="91"/>
      <c r="K2766" s="91"/>
      <c r="L2766" s="91"/>
      <c r="M2766" s="91"/>
      <c r="N2766" s="91"/>
      <c r="O2766" s="108"/>
      <c r="P2766" s="91"/>
      <c r="Q2766" s="91"/>
      <c r="R2766" s="107"/>
      <c r="S2766" s="503"/>
    </row>
    <row r="2767" spans="1:24" ht="9.75" customHeight="1">
      <c r="A2767" s="503"/>
      <c r="B2767" s="503"/>
      <c r="C2767" s="1"/>
      <c r="D2767" s="108" t="s">
        <v>120</v>
      </c>
      <c r="E2767" s="108"/>
      <c r="F2767" s="91"/>
      <c r="G2767" s="91"/>
      <c r="H2767" s="91"/>
      <c r="I2767" s="91"/>
      <c r="J2767" s="91"/>
      <c r="K2767" s="91"/>
      <c r="L2767" s="91"/>
      <c r="M2767" s="91"/>
      <c r="N2767" s="91"/>
      <c r="O2767" s="108"/>
      <c r="P2767" s="91"/>
      <c r="Q2767" s="91"/>
      <c r="R2767" s="107"/>
      <c r="S2767" s="503"/>
    </row>
    <row r="2768" spans="1:24" ht="9.75" customHeight="1">
      <c r="A2768" s="503"/>
      <c r="B2768" s="503"/>
      <c r="C2768" s="1"/>
      <c r="D2768" s="108" t="s">
        <v>120</v>
      </c>
      <c r="E2768" s="108"/>
      <c r="F2768" s="91"/>
      <c r="G2768" s="91"/>
      <c r="H2768" s="91"/>
      <c r="I2768" s="91"/>
      <c r="J2768" s="91"/>
      <c r="K2768" s="91"/>
      <c r="L2768" s="91"/>
      <c r="M2768" s="91"/>
      <c r="N2768" s="91"/>
      <c r="O2768" s="108"/>
      <c r="P2768" s="91"/>
      <c r="Q2768" s="91"/>
      <c r="R2768" s="107"/>
      <c r="S2768" s="503"/>
    </row>
    <row r="2769" spans="1:19" ht="9.75" customHeight="1">
      <c r="A2769" s="503"/>
      <c r="B2769" s="503"/>
      <c r="C2769" s="1"/>
      <c r="D2769" s="108" t="s">
        <v>120</v>
      </c>
      <c r="E2769" s="108"/>
      <c r="F2769" s="91"/>
      <c r="G2769" s="91"/>
      <c r="H2769" s="91"/>
      <c r="I2769" s="91"/>
      <c r="J2769" s="91"/>
      <c r="K2769" s="91"/>
      <c r="L2769" s="91"/>
      <c r="M2769" s="91"/>
      <c r="N2769" s="91"/>
      <c r="O2769" s="108"/>
      <c r="P2769" s="91"/>
      <c r="Q2769" s="91"/>
      <c r="R2769" s="107"/>
      <c r="S2769" s="503"/>
    </row>
    <row r="2770" spans="1:19" ht="9.75" customHeight="1">
      <c r="A2770" s="503"/>
      <c r="B2770" s="503"/>
      <c r="C2770" s="1"/>
      <c r="D2770" s="108" t="s">
        <v>120</v>
      </c>
      <c r="E2770" s="108"/>
      <c r="F2770" s="91"/>
      <c r="G2770" s="91"/>
      <c r="H2770" s="91"/>
      <c r="I2770" s="91"/>
      <c r="J2770" s="91"/>
      <c r="K2770" s="91"/>
      <c r="L2770" s="91"/>
      <c r="M2770" s="91"/>
      <c r="N2770" s="91"/>
      <c r="O2770" s="108"/>
      <c r="P2770" s="91"/>
      <c r="Q2770" s="91"/>
      <c r="R2770" s="107"/>
      <c r="S2770" s="503"/>
    </row>
    <row r="2771" spans="1:19" ht="9.75" customHeight="1">
      <c r="A2771" s="503"/>
      <c r="B2771" s="503"/>
      <c r="C2771" s="1"/>
      <c r="D2771" s="108" t="s">
        <v>34</v>
      </c>
      <c r="E2771" s="108"/>
      <c r="F2771" s="91"/>
      <c r="G2771" s="91"/>
      <c r="H2771" s="91"/>
      <c r="I2771" s="91"/>
      <c r="J2771" s="91"/>
      <c r="K2771" s="91"/>
      <c r="L2771" s="91"/>
      <c r="M2771" s="91"/>
      <c r="N2771" s="91"/>
      <c r="O2771" s="108"/>
      <c r="P2771" s="91"/>
      <c r="Q2771" s="91"/>
      <c r="R2771" s="107"/>
      <c r="S2771" s="503"/>
    </row>
    <row r="2772" spans="1:19" ht="9.75" customHeight="1">
      <c r="A2772" s="503"/>
      <c r="B2772" s="503"/>
      <c r="C2772" s="1"/>
      <c r="D2772" s="108" t="s">
        <v>35</v>
      </c>
      <c r="E2772" s="108"/>
      <c r="F2772" s="91"/>
      <c r="G2772" s="91"/>
      <c r="H2772" s="91"/>
      <c r="I2772" s="91"/>
      <c r="J2772" s="91"/>
      <c r="K2772" s="91"/>
      <c r="L2772" s="91"/>
      <c r="M2772" s="91"/>
      <c r="N2772" s="91"/>
      <c r="O2772" s="108"/>
      <c r="P2772" s="91"/>
      <c r="Q2772" s="91"/>
      <c r="R2772" s="107"/>
      <c r="S2772" s="503"/>
    </row>
    <row r="2773" spans="1:19" ht="9.75" customHeight="1">
      <c r="A2773" s="503"/>
      <c r="B2773" s="503"/>
      <c r="C2773" s="1"/>
      <c r="D2773" s="108" t="s">
        <v>36</v>
      </c>
      <c r="E2773" s="108"/>
      <c r="F2773" s="91"/>
      <c r="G2773" s="91"/>
      <c r="H2773" s="91"/>
      <c r="I2773" s="91"/>
      <c r="J2773" s="91"/>
      <c r="K2773" s="91"/>
      <c r="L2773" s="91"/>
      <c r="M2773" s="91"/>
      <c r="N2773" s="91"/>
      <c r="O2773" s="108"/>
      <c r="P2773" s="91"/>
      <c r="Q2773" s="91"/>
      <c r="R2773" s="107"/>
      <c r="S2773" s="503"/>
    </row>
    <row r="2774" spans="1:19" ht="9.75" customHeight="1">
      <c r="A2774" s="503"/>
      <c r="B2774" s="503"/>
      <c r="C2774" s="1"/>
      <c r="D2774" s="113" t="s">
        <v>37</v>
      </c>
      <c r="E2774" s="113"/>
      <c r="F2774" s="112"/>
      <c r="G2774" s="112"/>
      <c r="H2774" s="112"/>
      <c r="I2774" s="112"/>
      <c r="J2774" s="112"/>
      <c r="K2774" s="112"/>
      <c r="L2774" s="112"/>
      <c r="M2774" s="112"/>
      <c r="N2774" s="112"/>
      <c r="O2774" s="113"/>
      <c r="P2774" s="112"/>
      <c r="Q2774" s="112"/>
      <c r="R2774" s="165"/>
      <c r="S2774" s="503"/>
    </row>
    <row r="2775" spans="1:19" ht="9.75" customHeight="1">
      <c r="A2775" s="503"/>
      <c r="B2775" s="503" t="s">
        <v>127</v>
      </c>
      <c r="C2775" s="25"/>
      <c r="D2775" s="5" t="s">
        <v>38</v>
      </c>
      <c r="E2775" s="166">
        <f t="shared" ref="E2775:O2775" si="536">SUM(E2759:E2774)</f>
        <v>41</v>
      </c>
      <c r="F2775" s="167">
        <f t="shared" si="536"/>
        <v>41</v>
      </c>
      <c r="G2775" s="167">
        <f t="shared" si="536"/>
        <v>41</v>
      </c>
      <c r="H2775" s="167">
        <f t="shared" si="536"/>
        <v>41</v>
      </c>
      <c r="I2775" s="167">
        <f t="shared" si="536"/>
        <v>41</v>
      </c>
      <c r="J2775" s="167">
        <f t="shared" si="536"/>
        <v>41</v>
      </c>
      <c r="K2775" s="167">
        <f t="shared" si="536"/>
        <v>41</v>
      </c>
      <c r="L2775" s="167">
        <f t="shared" si="536"/>
        <v>41</v>
      </c>
      <c r="M2775" s="167">
        <f t="shared" si="536"/>
        <v>41</v>
      </c>
      <c r="N2775" s="167">
        <f t="shared" si="536"/>
        <v>41</v>
      </c>
      <c r="O2775" s="166">
        <f t="shared" si="536"/>
        <v>41</v>
      </c>
      <c r="P2775" s="167">
        <f>MIN(F2775:O2775)</f>
        <v>41</v>
      </c>
      <c r="Q2775" s="167">
        <f>E2775-P2775</f>
        <v>0</v>
      </c>
      <c r="R2775" s="168">
        <f>Q2775/E2775</f>
        <v>0</v>
      </c>
      <c r="S2775" s="503"/>
    </row>
    <row r="2776" spans="1:19" ht="9.75" customHeight="1">
      <c r="A2776" s="503"/>
      <c r="B2776" s="503"/>
      <c r="C2776" s="1" t="s">
        <v>410</v>
      </c>
      <c r="D2776" s="108" t="s">
        <v>23</v>
      </c>
      <c r="E2776" s="108"/>
      <c r="F2776" s="91"/>
      <c r="G2776" s="91"/>
      <c r="H2776" s="91"/>
      <c r="I2776" s="91"/>
      <c r="J2776" s="91"/>
      <c r="K2776" s="91"/>
      <c r="L2776" s="91"/>
      <c r="M2776" s="91"/>
      <c r="N2776" s="91"/>
      <c r="O2776" s="108"/>
      <c r="P2776" s="91"/>
      <c r="Q2776" s="91"/>
      <c r="R2776" s="107"/>
      <c r="S2776" s="503"/>
    </row>
    <row r="2777" spans="1:19" ht="9.75" customHeight="1">
      <c r="A2777" s="503"/>
      <c r="B2777" s="503"/>
      <c r="C2777" s="13"/>
      <c r="D2777" s="108" t="s">
        <v>25</v>
      </c>
      <c r="E2777" s="108"/>
      <c r="F2777" s="91"/>
      <c r="G2777" s="91"/>
      <c r="H2777" s="91"/>
      <c r="I2777" s="91"/>
      <c r="J2777" s="91"/>
      <c r="K2777" s="91"/>
      <c r="L2777" s="91"/>
      <c r="M2777" s="91"/>
      <c r="N2777" s="91"/>
      <c r="O2777" s="108"/>
      <c r="P2777" s="91"/>
      <c r="Q2777" s="91"/>
      <c r="R2777" s="107"/>
      <c r="S2777" s="503"/>
    </row>
    <row r="2778" spans="1:19" ht="9.75" customHeight="1">
      <c r="A2778" s="503"/>
      <c r="B2778" s="503"/>
      <c r="C2778" s="13"/>
      <c r="D2778" s="108" t="s">
        <v>27</v>
      </c>
      <c r="E2778" s="108"/>
      <c r="F2778" s="91"/>
      <c r="G2778" s="91"/>
      <c r="H2778" s="91"/>
      <c r="I2778" s="91"/>
      <c r="J2778" s="91"/>
      <c r="K2778" s="91"/>
      <c r="L2778" s="91"/>
      <c r="M2778" s="91"/>
      <c r="N2778" s="91"/>
      <c r="O2778" s="108"/>
      <c r="P2778" s="91"/>
      <c r="Q2778" s="91"/>
      <c r="R2778" s="107"/>
      <c r="S2778" s="503"/>
    </row>
    <row r="2779" spans="1:19" ht="9.75" customHeight="1">
      <c r="A2779" s="503"/>
      <c r="B2779" s="503"/>
      <c r="C2779" s="13"/>
      <c r="D2779" s="108" t="s">
        <v>173</v>
      </c>
      <c r="E2779" s="136">
        <v>41</v>
      </c>
      <c r="F2779" s="11">
        <v>40</v>
      </c>
      <c r="G2779" s="11">
        <v>39</v>
      </c>
      <c r="H2779" s="11">
        <v>38</v>
      </c>
      <c r="I2779" s="11">
        <v>37</v>
      </c>
      <c r="J2779" s="11">
        <v>37</v>
      </c>
      <c r="K2779" s="11">
        <v>37</v>
      </c>
      <c r="L2779" s="11">
        <v>37</v>
      </c>
      <c r="M2779" s="11">
        <v>37</v>
      </c>
      <c r="N2779" s="11">
        <v>40</v>
      </c>
      <c r="O2779" s="136">
        <v>41</v>
      </c>
      <c r="P2779" s="11">
        <f>MIN(F2779:O2779)</f>
        <v>37</v>
      </c>
      <c r="Q2779" s="11">
        <f>E2779-P2779</f>
        <v>4</v>
      </c>
      <c r="R2779" s="122">
        <f>Q2779/E2779</f>
        <v>9.7560975609756101E-2</v>
      </c>
      <c r="S2779" s="503"/>
    </row>
    <row r="2780" spans="1:19" ht="9.75" customHeight="1">
      <c r="A2780" s="503"/>
      <c r="B2780" s="503"/>
      <c r="C2780" s="1"/>
      <c r="D2780" s="108" t="s">
        <v>115</v>
      </c>
      <c r="E2780" s="108"/>
      <c r="F2780" s="91"/>
      <c r="G2780" s="91"/>
      <c r="H2780" s="91"/>
      <c r="I2780" s="91"/>
      <c r="J2780" s="91"/>
      <c r="K2780" s="91"/>
      <c r="L2780" s="91"/>
      <c r="M2780" s="91"/>
      <c r="N2780" s="91"/>
      <c r="O2780" s="108"/>
      <c r="P2780" s="91"/>
      <c r="Q2780" s="91"/>
      <c r="R2780" s="107"/>
      <c r="S2780" s="503"/>
    </row>
    <row r="2781" spans="1:19" ht="9.75" customHeight="1">
      <c r="A2781" s="503"/>
      <c r="B2781" s="503"/>
      <c r="C2781" s="1"/>
      <c r="D2781" s="108" t="s">
        <v>32</v>
      </c>
      <c r="E2781" s="108"/>
      <c r="F2781" s="91"/>
      <c r="G2781" s="91"/>
      <c r="H2781" s="91"/>
      <c r="I2781" s="91"/>
      <c r="J2781" s="91"/>
      <c r="K2781" s="91"/>
      <c r="L2781" s="91"/>
      <c r="M2781" s="91"/>
      <c r="N2781" s="91"/>
      <c r="O2781" s="108"/>
      <c r="P2781" s="91"/>
      <c r="Q2781" s="91"/>
      <c r="R2781" s="107"/>
      <c r="S2781" s="503"/>
    </row>
    <row r="2782" spans="1:19" ht="9.75" customHeight="1">
      <c r="A2782" s="503"/>
      <c r="B2782" s="503"/>
      <c r="C2782" s="1"/>
      <c r="D2782" s="108" t="s">
        <v>120</v>
      </c>
      <c r="E2782" s="108"/>
      <c r="F2782" s="91"/>
      <c r="G2782" s="91"/>
      <c r="H2782" s="91"/>
      <c r="I2782" s="91"/>
      <c r="J2782" s="91"/>
      <c r="K2782" s="91"/>
      <c r="L2782" s="91"/>
      <c r="M2782" s="91"/>
      <c r="N2782" s="91"/>
      <c r="O2782" s="108"/>
      <c r="P2782" s="91"/>
      <c r="Q2782" s="91"/>
      <c r="R2782" s="107"/>
      <c r="S2782" s="503"/>
    </row>
    <row r="2783" spans="1:19" ht="9.75" customHeight="1">
      <c r="A2783" s="503"/>
      <c r="B2783" s="503"/>
      <c r="C2783" s="1"/>
      <c r="D2783" s="108" t="s">
        <v>120</v>
      </c>
      <c r="E2783" s="108"/>
      <c r="F2783" s="91"/>
      <c r="G2783" s="91"/>
      <c r="H2783" s="91"/>
      <c r="I2783" s="91"/>
      <c r="J2783" s="91"/>
      <c r="K2783" s="91"/>
      <c r="L2783" s="91"/>
      <c r="M2783" s="91"/>
      <c r="N2783" s="91"/>
      <c r="O2783" s="108"/>
      <c r="P2783" s="91"/>
      <c r="Q2783" s="91"/>
      <c r="R2783" s="107"/>
      <c r="S2783" s="503"/>
    </row>
    <row r="2784" spans="1:19" ht="9.75" customHeight="1">
      <c r="A2784" s="503"/>
      <c r="B2784" s="503"/>
      <c r="C2784" s="1"/>
      <c r="D2784" s="108" t="s">
        <v>120</v>
      </c>
      <c r="E2784" s="108"/>
      <c r="F2784" s="91"/>
      <c r="G2784" s="91"/>
      <c r="H2784" s="91"/>
      <c r="I2784" s="91"/>
      <c r="J2784" s="91"/>
      <c r="K2784" s="91"/>
      <c r="L2784" s="91"/>
      <c r="M2784" s="91"/>
      <c r="N2784" s="91"/>
      <c r="O2784" s="108"/>
      <c r="P2784" s="91"/>
      <c r="Q2784" s="91"/>
      <c r="R2784" s="107"/>
      <c r="S2784" s="503"/>
    </row>
    <row r="2785" spans="1:19" ht="9.75" customHeight="1">
      <c r="A2785" s="503"/>
      <c r="B2785" s="503"/>
      <c r="C2785" s="1"/>
      <c r="D2785" s="108" t="s">
        <v>120</v>
      </c>
      <c r="E2785" s="108"/>
      <c r="F2785" s="91"/>
      <c r="G2785" s="91"/>
      <c r="H2785" s="91"/>
      <c r="I2785" s="91"/>
      <c r="J2785" s="91"/>
      <c r="K2785" s="91"/>
      <c r="L2785" s="91"/>
      <c r="M2785" s="91"/>
      <c r="N2785" s="91"/>
      <c r="O2785" s="108"/>
      <c r="P2785" s="91"/>
      <c r="Q2785" s="91"/>
      <c r="R2785" s="107"/>
      <c r="S2785" s="503"/>
    </row>
    <row r="2786" spans="1:19" ht="9.75" customHeight="1">
      <c r="A2786" s="503"/>
      <c r="B2786" s="503"/>
      <c r="C2786" s="1"/>
      <c r="D2786" s="108" t="s">
        <v>120</v>
      </c>
      <c r="E2786" s="108"/>
      <c r="F2786" s="91"/>
      <c r="G2786" s="91"/>
      <c r="H2786" s="91"/>
      <c r="I2786" s="91"/>
      <c r="J2786" s="91"/>
      <c r="K2786" s="91"/>
      <c r="L2786" s="91"/>
      <c r="M2786" s="91"/>
      <c r="N2786" s="91"/>
      <c r="O2786" s="108"/>
      <c r="P2786" s="91"/>
      <c r="Q2786" s="91"/>
      <c r="R2786" s="107"/>
      <c r="S2786" s="503"/>
    </row>
    <row r="2787" spans="1:19" ht="9.75" customHeight="1">
      <c r="A2787" s="503"/>
      <c r="B2787" s="503"/>
      <c r="C2787" s="1"/>
      <c r="D2787" s="108" t="s">
        <v>120</v>
      </c>
      <c r="E2787" s="108"/>
      <c r="F2787" s="91"/>
      <c r="G2787" s="91"/>
      <c r="H2787" s="91"/>
      <c r="I2787" s="91"/>
      <c r="J2787" s="91"/>
      <c r="K2787" s="91"/>
      <c r="L2787" s="91"/>
      <c r="M2787" s="91"/>
      <c r="N2787" s="91"/>
      <c r="O2787" s="108"/>
      <c r="P2787" s="91"/>
      <c r="Q2787" s="91"/>
      <c r="R2787" s="107"/>
      <c r="S2787" s="503"/>
    </row>
    <row r="2788" spans="1:19" ht="9.75" customHeight="1">
      <c r="A2788" s="503"/>
      <c r="B2788" s="503"/>
      <c r="C2788" s="1"/>
      <c r="D2788" s="108" t="s">
        <v>34</v>
      </c>
      <c r="E2788" s="108"/>
      <c r="F2788" s="91"/>
      <c r="G2788" s="91"/>
      <c r="H2788" s="91"/>
      <c r="I2788" s="91"/>
      <c r="J2788" s="91"/>
      <c r="K2788" s="91"/>
      <c r="L2788" s="91"/>
      <c r="M2788" s="91"/>
      <c r="N2788" s="91"/>
      <c r="O2788" s="108"/>
      <c r="P2788" s="91"/>
      <c r="Q2788" s="91"/>
      <c r="R2788" s="107"/>
      <c r="S2788" s="503"/>
    </row>
    <row r="2789" spans="1:19" ht="9.75" customHeight="1">
      <c r="A2789" s="503"/>
      <c r="B2789" s="503"/>
      <c r="C2789" s="1"/>
      <c r="D2789" s="108" t="s">
        <v>35</v>
      </c>
      <c r="E2789" s="108"/>
      <c r="F2789" s="91"/>
      <c r="G2789" s="91"/>
      <c r="H2789" s="91"/>
      <c r="I2789" s="91"/>
      <c r="J2789" s="91"/>
      <c r="K2789" s="91"/>
      <c r="L2789" s="91"/>
      <c r="M2789" s="91"/>
      <c r="N2789" s="91"/>
      <c r="O2789" s="108"/>
      <c r="P2789" s="91"/>
      <c r="Q2789" s="91"/>
      <c r="R2789" s="107"/>
      <c r="S2789" s="503"/>
    </row>
    <row r="2790" spans="1:19" ht="9.75" customHeight="1">
      <c r="A2790" s="503"/>
      <c r="B2790" s="503"/>
      <c r="C2790" s="1"/>
      <c r="D2790" s="108" t="s">
        <v>36</v>
      </c>
      <c r="E2790" s="108"/>
      <c r="F2790" s="91"/>
      <c r="G2790" s="91"/>
      <c r="H2790" s="91"/>
      <c r="I2790" s="91"/>
      <c r="J2790" s="91"/>
      <c r="K2790" s="91"/>
      <c r="L2790" s="91"/>
      <c r="M2790" s="91"/>
      <c r="N2790" s="91"/>
      <c r="O2790" s="108"/>
      <c r="P2790" s="91"/>
      <c r="Q2790" s="91"/>
      <c r="R2790" s="107"/>
      <c r="S2790" s="503"/>
    </row>
    <row r="2791" spans="1:19" ht="9.75" customHeight="1">
      <c r="A2791" s="503"/>
      <c r="B2791" s="503"/>
      <c r="C2791" s="1"/>
      <c r="D2791" s="113" t="s">
        <v>37</v>
      </c>
      <c r="E2791" s="113"/>
      <c r="F2791" s="112"/>
      <c r="G2791" s="112"/>
      <c r="H2791" s="112"/>
      <c r="I2791" s="112"/>
      <c r="J2791" s="112"/>
      <c r="K2791" s="112"/>
      <c r="L2791" s="112"/>
      <c r="M2791" s="112"/>
      <c r="N2791" s="112"/>
      <c r="O2791" s="113"/>
      <c r="P2791" s="112"/>
      <c r="Q2791" s="112"/>
      <c r="R2791" s="165"/>
      <c r="S2791" s="503"/>
    </row>
    <row r="2792" spans="1:19" ht="9.75" customHeight="1">
      <c r="A2792" s="503"/>
      <c r="B2792" s="503" t="s">
        <v>127</v>
      </c>
      <c r="C2792" s="25"/>
      <c r="D2792" s="5" t="s">
        <v>38</v>
      </c>
      <c r="E2792" s="166">
        <f t="shared" ref="E2792:O2792" si="537">SUM(E2776:E2791)</f>
        <v>41</v>
      </c>
      <c r="F2792" s="167">
        <f t="shared" si="537"/>
        <v>40</v>
      </c>
      <c r="G2792" s="167">
        <f t="shared" si="537"/>
        <v>39</v>
      </c>
      <c r="H2792" s="167">
        <f t="shared" si="537"/>
        <v>38</v>
      </c>
      <c r="I2792" s="167">
        <f t="shared" si="537"/>
        <v>37</v>
      </c>
      <c r="J2792" s="167">
        <f t="shared" si="537"/>
        <v>37</v>
      </c>
      <c r="K2792" s="167">
        <f t="shared" si="537"/>
        <v>37</v>
      </c>
      <c r="L2792" s="167">
        <f t="shared" si="537"/>
        <v>37</v>
      </c>
      <c r="M2792" s="167">
        <f t="shared" si="537"/>
        <v>37</v>
      </c>
      <c r="N2792" s="167">
        <f t="shared" si="537"/>
        <v>40</v>
      </c>
      <c r="O2792" s="166">
        <f t="shared" si="537"/>
        <v>41</v>
      </c>
      <c r="P2792" s="167">
        <f>MIN(F2792:O2792)</f>
        <v>37</v>
      </c>
      <c r="Q2792" s="167">
        <f>E2792-P2792</f>
        <v>4</v>
      </c>
      <c r="R2792" s="168">
        <f>Q2792/E2792</f>
        <v>9.7560975609756101E-2</v>
      </c>
      <c r="S2792" s="503"/>
    </row>
    <row r="2793" spans="1:19" ht="9.75" customHeight="1">
      <c r="A2793" s="503"/>
      <c r="B2793" s="503"/>
      <c r="C2793" s="1" t="s">
        <v>411</v>
      </c>
      <c r="D2793" s="108" t="s">
        <v>23</v>
      </c>
      <c r="E2793" s="108"/>
      <c r="F2793" s="91"/>
      <c r="G2793" s="91"/>
      <c r="H2793" s="91"/>
      <c r="I2793" s="91"/>
      <c r="J2793" s="91"/>
      <c r="K2793" s="91"/>
      <c r="L2793" s="91"/>
      <c r="M2793" s="91"/>
      <c r="N2793" s="91"/>
      <c r="O2793" s="108"/>
      <c r="P2793" s="91"/>
      <c r="Q2793" s="91"/>
      <c r="R2793" s="107"/>
      <c r="S2793" s="503"/>
    </row>
    <row r="2794" spans="1:19" ht="9.75" customHeight="1">
      <c r="A2794" s="503"/>
      <c r="B2794" s="503"/>
      <c r="C2794" s="13"/>
      <c r="D2794" s="108" t="s">
        <v>25</v>
      </c>
      <c r="E2794" s="108"/>
      <c r="F2794" s="91"/>
      <c r="G2794" s="91"/>
      <c r="H2794" s="91"/>
      <c r="I2794" s="91"/>
      <c r="J2794" s="91"/>
      <c r="K2794" s="91"/>
      <c r="L2794" s="91"/>
      <c r="M2794" s="91"/>
      <c r="N2794" s="91"/>
      <c r="O2794" s="108"/>
      <c r="P2794" s="91"/>
      <c r="Q2794" s="91"/>
      <c r="R2794" s="107"/>
      <c r="S2794" s="503"/>
    </row>
    <row r="2795" spans="1:19" ht="9.75" customHeight="1">
      <c r="A2795" s="503"/>
      <c r="B2795" s="503"/>
      <c r="C2795" s="13"/>
      <c r="D2795" s="108" t="s">
        <v>27</v>
      </c>
      <c r="E2795" s="108"/>
      <c r="F2795" s="91"/>
      <c r="G2795" s="91"/>
      <c r="H2795" s="91"/>
      <c r="I2795" s="91"/>
      <c r="J2795" s="91"/>
      <c r="K2795" s="91"/>
      <c r="L2795" s="91"/>
      <c r="M2795" s="91"/>
      <c r="N2795" s="91"/>
      <c r="O2795" s="108"/>
      <c r="P2795" s="91"/>
      <c r="Q2795" s="91"/>
      <c r="R2795" s="107"/>
      <c r="S2795" s="503"/>
    </row>
    <row r="2796" spans="1:19" ht="9.75" customHeight="1">
      <c r="A2796" s="503"/>
      <c r="B2796" s="503"/>
      <c r="C2796" s="13"/>
      <c r="D2796" s="108" t="s">
        <v>173</v>
      </c>
      <c r="E2796" s="136">
        <v>39</v>
      </c>
      <c r="F2796" s="11">
        <v>37</v>
      </c>
      <c r="G2796" s="11">
        <v>37</v>
      </c>
      <c r="H2796" s="11">
        <v>35</v>
      </c>
      <c r="I2796" s="11">
        <v>35</v>
      </c>
      <c r="J2796" s="11">
        <v>35</v>
      </c>
      <c r="K2796" s="11">
        <v>35</v>
      </c>
      <c r="L2796" s="11">
        <v>34</v>
      </c>
      <c r="M2796" s="11">
        <v>37</v>
      </c>
      <c r="N2796" s="11">
        <v>38</v>
      </c>
      <c r="O2796" s="136">
        <v>38</v>
      </c>
      <c r="P2796" s="11">
        <f>MIN(F2796:O2796)</f>
        <v>34</v>
      </c>
      <c r="Q2796" s="11">
        <f>E2796-P2796</f>
        <v>5</v>
      </c>
      <c r="R2796" s="122">
        <f>Q2796/E2796</f>
        <v>0.12820512820512819</v>
      </c>
      <c r="S2796" s="503"/>
    </row>
    <row r="2797" spans="1:19" ht="9.75" customHeight="1">
      <c r="A2797" s="503"/>
      <c r="B2797" s="503"/>
      <c r="C2797" s="1"/>
      <c r="D2797" s="108" t="s">
        <v>115</v>
      </c>
      <c r="E2797" s="108"/>
      <c r="F2797" s="91"/>
      <c r="G2797" s="91"/>
      <c r="H2797" s="91"/>
      <c r="I2797" s="91"/>
      <c r="J2797" s="91"/>
      <c r="K2797" s="91"/>
      <c r="L2797" s="91"/>
      <c r="M2797" s="91"/>
      <c r="N2797" s="91"/>
      <c r="O2797" s="108"/>
      <c r="P2797" s="91"/>
      <c r="Q2797" s="91"/>
      <c r="R2797" s="107"/>
      <c r="S2797" s="503"/>
    </row>
    <row r="2798" spans="1:19" ht="9.75" customHeight="1">
      <c r="A2798" s="503"/>
      <c r="B2798" s="503"/>
      <c r="C2798" s="1"/>
      <c r="D2798" s="108" t="s">
        <v>32</v>
      </c>
      <c r="E2798" s="108"/>
      <c r="F2798" s="91"/>
      <c r="G2798" s="91"/>
      <c r="H2798" s="91"/>
      <c r="I2798" s="91"/>
      <c r="J2798" s="91"/>
      <c r="K2798" s="91"/>
      <c r="L2798" s="91"/>
      <c r="M2798" s="91"/>
      <c r="N2798" s="91"/>
      <c r="O2798" s="108"/>
      <c r="P2798" s="91"/>
      <c r="Q2798" s="91"/>
      <c r="R2798" s="107"/>
      <c r="S2798" s="503"/>
    </row>
    <row r="2799" spans="1:19" ht="9.75" customHeight="1">
      <c r="A2799" s="503"/>
      <c r="B2799" s="503"/>
      <c r="C2799" s="1"/>
      <c r="D2799" s="108" t="s">
        <v>120</v>
      </c>
      <c r="E2799" s="108"/>
      <c r="F2799" s="91"/>
      <c r="G2799" s="91"/>
      <c r="H2799" s="91"/>
      <c r="I2799" s="91"/>
      <c r="J2799" s="91"/>
      <c r="K2799" s="91"/>
      <c r="L2799" s="91"/>
      <c r="M2799" s="91"/>
      <c r="N2799" s="91"/>
      <c r="O2799" s="108"/>
      <c r="P2799" s="91"/>
      <c r="Q2799" s="91"/>
      <c r="R2799" s="107"/>
      <c r="S2799" s="503"/>
    </row>
    <row r="2800" spans="1:19" ht="9.75" customHeight="1">
      <c r="A2800" s="503"/>
      <c r="B2800" s="503"/>
      <c r="C2800" s="1"/>
      <c r="D2800" s="108" t="s">
        <v>120</v>
      </c>
      <c r="E2800" s="108"/>
      <c r="F2800" s="91"/>
      <c r="G2800" s="91"/>
      <c r="H2800" s="91"/>
      <c r="I2800" s="91"/>
      <c r="J2800" s="91"/>
      <c r="K2800" s="91"/>
      <c r="L2800" s="91"/>
      <c r="M2800" s="91"/>
      <c r="N2800" s="91"/>
      <c r="O2800" s="108"/>
      <c r="P2800" s="91"/>
      <c r="Q2800" s="91"/>
      <c r="R2800" s="107"/>
      <c r="S2800" s="503"/>
    </row>
    <row r="2801" spans="1:19" ht="9.75" customHeight="1">
      <c r="A2801" s="503"/>
      <c r="B2801" s="503"/>
      <c r="C2801" s="1"/>
      <c r="D2801" s="108" t="s">
        <v>120</v>
      </c>
      <c r="E2801" s="108"/>
      <c r="F2801" s="91"/>
      <c r="G2801" s="91"/>
      <c r="H2801" s="91"/>
      <c r="I2801" s="91"/>
      <c r="J2801" s="91"/>
      <c r="K2801" s="91"/>
      <c r="L2801" s="91"/>
      <c r="M2801" s="91"/>
      <c r="N2801" s="91"/>
      <c r="O2801" s="108"/>
      <c r="P2801" s="91"/>
      <c r="Q2801" s="91"/>
      <c r="R2801" s="107"/>
      <c r="S2801" s="503"/>
    </row>
    <row r="2802" spans="1:19" ht="9.75" customHeight="1">
      <c r="A2802" s="503"/>
      <c r="B2802" s="503"/>
      <c r="C2802" s="1"/>
      <c r="D2802" s="108" t="s">
        <v>120</v>
      </c>
      <c r="E2802" s="108"/>
      <c r="F2802" s="91"/>
      <c r="G2802" s="91"/>
      <c r="H2802" s="91"/>
      <c r="I2802" s="91"/>
      <c r="J2802" s="91"/>
      <c r="K2802" s="91"/>
      <c r="L2802" s="91"/>
      <c r="M2802" s="91"/>
      <c r="N2802" s="91"/>
      <c r="O2802" s="108"/>
      <c r="P2802" s="91"/>
      <c r="Q2802" s="91"/>
      <c r="R2802" s="107"/>
      <c r="S2802" s="503"/>
    </row>
    <row r="2803" spans="1:19" ht="9.75" customHeight="1">
      <c r="A2803" s="503"/>
      <c r="B2803" s="503"/>
      <c r="C2803" s="1"/>
      <c r="D2803" s="108" t="s">
        <v>120</v>
      </c>
      <c r="E2803" s="108"/>
      <c r="F2803" s="91"/>
      <c r="G2803" s="91"/>
      <c r="H2803" s="91"/>
      <c r="I2803" s="91"/>
      <c r="J2803" s="91"/>
      <c r="K2803" s="91"/>
      <c r="L2803" s="91"/>
      <c r="M2803" s="91"/>
      <c r="N2803" s="91"/>
      <c r="O2803" s="108"/>
      <c r="P2803" s="91"/>
      <c r="Q2803" s="91"/>
      <c r="R2803" s="107"/>
      <c r="S2803" s="503"/>
    </row>
    <row r="2804" spans="1:19" ht="9.75" customHeight="1">
      <c r="A2804" s="503"/>
      <c r="B2804" s="503"/>
      <c r="C2804" s="1"/>
      <c r="D2804" s="108" t="s">
        <v>120</v>
      </c>
      <c r="E2804" s="108"/>
      <c r="F2804" s="91"/>
      <c r="G2804" s="91"/>
      <c r="H2804" s="91"/>
      <c r="I2804" s="91"/>
      <c r="J2804" s="91"/>
      <c r="K2804" s="91"/>
      <c r="L2804" s="91"/>
      <c r="M2804" s="91"/>
      <c r="N2804" s="91"/>
      <c r="O2804" s="108"/>
      <c r="P2804" s="91"/>
      <c r="Q2804" s="91"/>
      <c r="R2804" s="107"/>
      <c r="S2804" s="503"/>
    </row>
    <row r="2805" spans="1:19" ht="9.75" customHeight="1">
      <c r="A2805" s="503"/>
      <c r="B2805" s="503"/>
      <c r="C2805" s="1"/>
      <c r="D2805" s="108" t="s">
        <v>34</v>
      </c>
      <c r="E2805" s="108"/>
      <c r="F2805" s="91"/>
      <c r="G2805" s="91"/>
      <c r="H2805" s="91"/>
      <c r="I2805" s="91"/>
      <c r="J2805" s="91"/>
      <c r="K2805" s="91"/>
      <c r="L2805" s="91"/>
      <c r="M2805" s="91"/>
      <c r="N2805" s="91"/>
      <c r="O2805" s="108"/>
      <c r="P2805" s="91"/>
      <c r="Q2805" s="91"/>
      <c r="R2805" s="107"/>
      <c r="S2805" s="503"/>
    </row>
    <row r="2806" spans="1:19" ht="9.75" customHeight="1">
      <c r="A2806" s="503"/>
      <c r="B2806" s="503"/>
      <c r="C2806" s="1"/>
      <c r="D2806" s="108" t="s">
        <v>35</v>
      </c>
      <c r="E2806" s="108"/>
      <c r="F2806" s="91"/>
      <c r="G2806" s="91"/>
      <c r="H2806" s="91"/>
      <c r="I2806" s="91"/>
      <c r="J2806" s="91"/>
      <c r="K2806" s="91"/>
      <c r="L2806" s="91"/>
      <c r="M2806" s="91"/>
      <c r="N2806" s="91"/>
      <c r="O2806" s="108"/>
      <c r="P2806" s="91"/>
      <c r="Q2806" s="91"/>
      <c r="R2806" s="107"/>
      <c r="S2806" s="503"/>
    </row>
    <row r="2807" spans="1:19" ht="9.75" customHeight="1">
      <c r="A2807" s="503"/>
      <c r="B2807" s="503"/>
      <c r="C2807" s="1"/>
      <c r="D2807" s="108" t="s">
        <v>36</v>
      </c>
      <c r="E2807" s="108"/>
      <c r="F2807" s="91"/>
      <c r="G2807" s="91"/>
      <c r="H2807" s="91"/>
      <c r="I2807" s="91"/>
      <c r="J2807" s="91"/>
      <c r="K2807" s="91"/>
      <c r="L2807" s="91"/>
      <c r="M2807" s="91"/>
      <c r="N2807" s="91"/>
      <c r="O2807" s="108"/>
      <c r="P2807" s="91"/>
      <c r="Q2807" s="91"/>
      <c r="R2807" s="107"/>
      <c r="S2807" s="503"/>
    </row>
    <row r="2808" spans="1:19" ht="9.75" customHeight="1">
      <c r="A2808" s="503"/>
      <c r="B2808" s="503"/>
      <c r="C2808" s="1"/>
      <c r="D2808" s="113" t="s">
        <v>37</v>
      </c>
      <c r="E2808" s="113"/>
      <c r="F2808" s="112"/>
      <c r="G2808" s="112"/>
      <c r="H2808" s="112"/>
      <c r="I2808" s="112"/>
      <c r="J2808" s="112"/>
      <c r="K2808" s="112"/>
      <c r="L2808" s="112"/>
      <c r="M2808" s="112"/>
      <c r="N2808" s="112"/>
      <c r="O2808" s="113"/>
      <c r="P2808" s="112"/>
      <c r="Q2808" s="112"/>
      <c r="R2808" s="165"/>
      <c r="S2808" s="503"/>
    </row>
    <row r="2809" spans="1:19" ht="9.75" customHeight="1">
      <c r="A2809" s="503"/>
      <c r="B2809" s="503" t="s">
        <v>127</v>
      </c>
      <c r="C2809" s="25"/>
      <c r="D2809" s="5" t="s">
        <v>38</v>
      </c>
      <c r="E2809" s="166">
        <f t="shared" ref="E2809:O2809" si="538">SUM(E2793:E2808)</f>
        <v>39</v>
      </c>
      <c r="F2809" s="167">
        <f t="shared" si="538"/>
        <v>37</v>
      </c>
      <c r="G2809" s="167">
        <f t="shared" si="538"/>
        <v>37</v>
      </c>
      <c r="H2809" s="167">
        <f t="shared" si="538"/>
        <v>35</v>
      </c>
      <c r="I2809" s="167">
        <f t="shared" si="538"/>
        <v>35</v>
      </c>
      <c r="J2809" s="167">
        <f t="shared" si="538"/>
        <v>35</v>
      </c>
      <c r="K2809" s="167">
        <f t="shared" si="538"/>
        <v>35</v>
      </c>
      <c r="L2809" s="167">
        <f t="shared" si="538"/>
        <v>34</v>
      </c>
      <c r="M2809" s="167">
        <f t="shared" si="538"/>
        <v>37</v>
      </c>
      <c r="N2809" s="167">
        <f t="shared" si="538"/>
        <v>38</v>
      </c>
      <c r="O2809" s="166">
        <f t="shared" si="538"/>
        <v>38</v>
      </c>
      <c r="P2809" s="167">
        <f>MIN(F2809:O2809)</f>
        <v>34</v>
      </c>
      <c r="Q2809" s="167">
        <f>E2809-P2809</f>
        <v>5</v>
      </c>
      <c r="R2809" s="168">
        <f>Q2809/E2809</f>
        <v>0.12820512820512819</v>
      </c>
      <c r="S2809" s="503"/>
    </row>
    <row r="2810" spans="1:19" ht="9.75" customHeight="1">
      <c r="A2810" s="503"/>
      <c r="B2810" s="503"/>
      <c r="C2810" s="1" t="s">
        <v>412</v>
      </c>
      <c r="D2810" s="108" t="s">
        <v>23</v>
      </c>
      <c r="E2810" s="108"/>
      <c r="F2810" s="91"/>
      <c r="G2810" s="91"/>
      <c r="H2810" s="91"/>
      <c r="I2810" s="91"/>
      <c r="J2810" s="91"/>
      <c r="K2810" s="91"/>
      <c r="L2810" s="91"/>
      <c r="M2810" s="91"/>
      <c r="N2810" s="91"/>
      <c r="O2810" s="108"/>
      <c r="P2810" s="91"/>
      <c r="Q2810" s="91"/>
      <c r="R2810" s="107"/>
      <c r="S2810" s="503"/>
    </row>
    <row r="2811" spans="1:19" ht="9.75" customHeight="1">
      <c r="A2811" s="503"/>
      <c r="B2811" s="503"/>
      <c r="C2811" s="13"/>
      <c r="D2811" s="108" t="s">
        <v>25</v>
      </c>
      <c r="E2811" s="108"/>
      <c r="F2811" s="91"/>
      <c r="G2811" s="91"/>
      <c r="H2811" s="91"/>
      <c r="I2811" s="91"/>
      <c r="J2811" s="91"/>
      <c r="K2811" s="91"/>
      <c r="L2811" s="91"/>
      <c r="M2811" s="91"/>
      <c r="N2811" s="91"/>
      <c r="O2811" s="108"/>
      <c r="P2811" s="91"/>
      <c r="Q2811" s="91"/>
      <c r="R2811" s="107"/>
      <c r="S2811" s="503"/>
    </row>
    <row r="2812" spans="1:19" ht="9.75" customHeight="1">
      <c r="A2812" s="503"/>
      <c r="B2812" s="503"/>
      <c r="C2812" s="13"/>
      <c r="D2812" s="108" t="s">
        <v>27</v>
      </c>
      <c r="E2812" s="108"/>
      <c r="F2812" s="91"/>
      <c r="G2812" s="91"/>
      <c r="H2812" s="91"/>
      <c r="I2812" s="91"/>
      <c r="J2812" s="91"/>
      <c r="K2812" s="91"/>
      <c r="L2812" s="91"/>
      <c r="M2812" s="91"/>
      <c r="N2812" s="91"/>
      <c r="O2812" s="108"/>
      <c r="P2812" s="91"/>
      <c r="Q2812" s="91"/>
      <c r="R2812" s="107"/>
      <c r="S2812" s="503"/>
    </row>
    <row r="2813" spans="1:19" ht="9.75" customHeight="1">
      <c r="A2813" s="503"/>
      <c r="B2813" s="503"/>
      <c r="C2813" s="13"/>
      <c r="D2813" s="108" t="s">
        <v>173</v>
      </c>
      <c r="E2813" s="136">
        <v>39</v>
      </c>
      <c r="F2813" s="11">
        <v>30</v>
      </c>
      <c r="G2813" s="11">
        <v>26</v>
      </c>
      <c r="H2813" s="11">
        <v>27</v>
      </c>
      <c r="I2813" s="11">
        <v>22</v>
      </c>
      <c r="J2813" s="11">
        <v>21</v>
      </c>
      <c r="K2813" s="11">
        <v>20</v>
      </c>
      <c r="L2813" s="11">
        <v>19</v>
      </c>
      <c r="M2813" s="11">
        <v>22</v>
      </c>
      <c r="N2813" s="11">
        <v>25</v>
      </c>
      <c r="O2813" s="136">
        <v>29</v>
      </c>
      <c r="P2813" s="11">
        <f>MIN(F2813:O2813)</f>
        <v>19</v>
      </c>
      <c r="Q2813" s="11">
        <f>E2813-P2813</f>
        <v>20</v>
      </c>
      <c r="R2813" s="122">
        <f>Q2813/E2813</f>
        <v>0.51282051282051277</v>
      </c>
      <c r="S2813" s="503"/>
    </row>
    <row r="2814" spans="1:19" ht="9.75" customHeight="1">
      <c r="A2814" s="503"/>
      <c r="B2814" s="503"/>
      <c r="C2814" s="1"/>
      <c r="D2814" s="108" t="s">
        <v>115</v>
      </c>
      <c r="E2814" s="108"/>
      <c r="F2814" s="91"/>
      <c r="G2814" s="91"/>
      <c r="H2814" s="91"/>
      <c r="I2814" s="91"/>
      <c r="J2814" s="91"/>
      <c r="K2814" s="91"/>
      <c r="L2814" s="91"/>
      <c r="M2814" s="91"/>
      <c r="N2814" s="91"/>
      <c r="O2814" s="108"/>
      <c r="P2814" s="91"/>
      <c r="Q2814" s="91"/>
      <c r="R2814" s="107"/>
      <c r="S2814" s="503"/>
    </row>
    <row r="2815" spans="1:19" ht="9.75" customHeight="1">
      <c r="A2815" s="503"/>
      <c r="B2815" s="503"/>
      <c r="C2815" s="1"/>
      <c r="D2815" s="108" t="s">
        <v>32</v>
      </c>
      <c r="E2815" s="108"/>
      <c r="F2815" s="91"/>
      <c r="G2815" s="91"/>
      <c r="H2815" s="91"/>
      <c r="I2815" s="91"/>
      <c r="J2815" s="91"/>
      <c r="K2815" s="91"/>
      <c r="L2815" s="91"/>
      <c r="M2815" s="91"/>
      <c r="N2815" s="91"/>
      <c r="O2815" s="108"/>
      <c r="P2815" s="91"/>
      <c r="Q2815" s="91"/>
      <c r="R2815" s="107"/>
      <c r="S2815" s="503"/>
    </row>
    <row r="2816" spans="1:19" ht="9.75" customHeight="1">
      <c r="A2816" s="503"/>
      <c r="B2816" s="503"/>
      <c r="C2816" s="1"/>
      <c r="D2816" s="108" t="s">
        <v>120</v>
      </c>
      <c r="E2816" s="108"/>
      <c r="F2816" s="91"/>
      <c r="G2816" s="91"/>
      <c r="H2816" s="91"/>
      <c r="I2816" s="91"/>
      <c r="J2816" s="91"/>
      <c r="K2816" s="91"/>
      <c r="L2816" s="91"/>
      <c r="M2816" s="91"/>
      <c r="N2816" s="91"/>
      <c r="O2816" s="108"/>
      <c r="P2816" s="91"/>
      <c r="Q2816" s="91"/>
      <c r="R2816" s="107"/>
      <c r="S2816" s="503"/>
    </row>
    <row r="2817" spans="1:19" ht="9.75" customHeight="1">
      <c r="A2817" s="503"/>
      <c r="B2817" s="503"/>
      <c r="C2817" s="1"/>
      <c r="D2817" s="108" t="s">
        <v>120</v>
      </c>
      <c r="E2817" s="108"/>
      <c r="F2817" s="91"/>
      <c r="G2817" s="91"/>
      <c r="H2817" s="91"/>
      <c r="I2817" s="91"/>
      <c r="J2817" s="91"/>
      <c r="K2817" s="91"/>
      <c r="L2817" s="91"/>
      <c r="M2817" s="91"/>
      <c r="N2817" s="91"/>
      <c r="O2817" s="108"/>
      <c r="P2817" s="91"/>
      <c r="Q2817" s="91"/>
      <c r="R2817" s="107"/>
      <c r="S2817" s="503"/>
    </row>
    <row r="2818" spans="1:19" ht="9.75" customHeight="1">
      <c r="A2818" s="503"/>
      <c r="B2818" s="503"/>
      <c r="C2818" s="1"/>
      <c r="D2818" s="108" t="s">
        <v>120</v>
      </c>
      <c r="E2818" s="108"/>
      <c r="F2818" s="91"/>
      <c r="G2818" s="91"/>
      <c r="H2818" s="91"/>
      <c r="I2818" s="91"/>
      <c r="J2818" s="91"/>
      <c r="K2818" s="91"/>
      <c r="L2818" s="91"/>
      <c r="M2818" s="91"/>
      <c r="N2818" s="91"/>
      <c r="O2818" s="108"/>
      <c r="P2818" s="91"/>
      <c r="Q2818" s="91"/>
      <c r="R2818" s="107"/>
      <c r="S2818" s="503"/>
    </row>
    <row r="2819" spans="1:19" ht="9.75" customHeight="1">
      <c r="A2819" s="503"/>
      <c r="B2819" s="503"/>
      <c r="C2819" s="1"/>
      <c r="D2819" s="108" t="s">
        <v>120</v>
      </c>
      <c r="E2819" s="108"/>
      <c r="F2819" s="91"/>
      <c r="G2819" s="91"/>
      <c r="H2819" s="91"/>
      <c r="I2819" s="91"/>
      <c r="J2819" s="91"/>
      <c r="K2819" s="91"/>
      <c r="L2819" s="91"/>
      <c r="M2819" s="91"/>
      <c r="N2819" s="91"/>
      <c r="O2819" s="108"/>
      <c r="P2819" s="91"/>
      <c r="Q2819" s="91"/>
      <c r="R2819" s="107"/>
      <c r="S2819" s="503"/>
    </row>
    <row r="2820" spans="1:19" ht="9.75" customHeight="1">
      <c r="A2820" s="503"/>
      <c r="B2820" s="503"/>
      <c r="C2820" s="1"/>
      <c r="D2820" s="108" t="s">
        <v>120</v>
      </c>
      <c r="E2820" s="108"/>
      <c r="F2820" s="91"/>
      <c r="G2820" s="91"/>
      <c r="H2820" s="91"/>
      <c r="I2820" s="91"/>
      <c r="J2820" s="91"/>
      <c r="K2820" s="91"/>
      <c r="L2820" s="91"/>
      <c r="M2820" s="91"/>
      <c r="N2820" s="91"/>
      <c r="O2820" s="108"/>
      <c r="P2820" s="91"/>
      <c r="Q2820" s="91"/>
      <c r="R2820" s="107"/>
      <c r="S2820" s="503"/>
    </row>
    <row r="2821" spans="1:19" ht="9.75" customHeight="1">
      <c r="A2821" s="503"/>
      <c r="B2821" s="503"/>
      <c r="C2821" s="1"/>
      <c r="D2821" s="108" t="s">
        <v>120</v>
      </c>
      <c r="E2821" s="108"/>
      <c r="F2821" s="91"/>
      <c r="G2821" s="91"/>
      <c r="H2821" s="91"/>
      <c r="I2821" s="91"/>
      <c r="J2821" s="91"/>
      <c r="K2821" s="91"/>
      <c r="L2821" s="91"/>
      <c r="M2821" s="91"/>
      <c r="N2821" s="91"/>
      <c r="O2821" s="108"/>
      <c r="P2821" s="91"/>
      <c r="Q2821" s="91"/>
      <c r="R2821" s="107"/>
      <c r="S2821" s="503"/>
    </row>
    <row r="2822" spans="1:19" ht="9.75" customHeight="1">
      <c r="A2822" s="503"/>
      <c r="B2822" s="503"/>
      <c r="C2822" s="1"/>
      <c r="D2822" s="108" t="s">
        <v>34</v>
      </c>
      <c r="E2822" s="108"/>
      <c r="F2822" s="91"/>
      <c r="G2822" s="91"/>
      <c r="H2822" s="91"/>
      <c r="I2822" s="91"/>
      <c r="J2822" s="91"/>
      <c r="K2822" s="91"/>
      <c r="L2822" s="91"/>
      <c r="M2822" s="91"/>
      <c r="N2822" s="91"/>
      <c r="O2822" s="108"/>
      <c r="P2822" s="91"/>
      <c r="Q2822" s="91"/>
      <c r="R2822" s="107"/>
      <c r="S2822" s="503"/>
    </row>
    <row r="2823" spans="1:19" ht="9.75" customHeight="1">
      <c r="A2823" s="503"/>
      <c r="B2823" s="503"/>
      <c r="C2823" s="1"/>
      <c r="D2823" s="108" t="s">
        <v>35</v>
      </c>
      <c r="E2823" s="108"/>
      <c r="F2823" s="91"/>
      <c r="G2823" s="91"/>
      <c r="H2823" s="91"/>
      <c r="I2823" s="91"/>
      <c r="J2823" s="91"/>
      <c r="K2823" s="91"/>
      <c r="L2823" s="91"/>
      <c r="M2823" s="91"/>
      <c r="N2823" s="91"/>
      <c r="O2823" s="108"/>
      <c r="P2823" s="91"/>
      <c r="Q2823" s="91"/>
      <c r="R2823" s="107"/>
      <c r="S2823" s="503"/>
    </row>
    <row r="2824" spans="1:19" ht="9.75" customHeight="1">
      <c r="A2824" s="503"/>
      <c r="B2824" s="503"/>
      <c r="C2824" s="1"/>
      <c r="D2824" s="108" t="s">
        <v>36</v>
      </c>
      <c r="E2824" s="108"/>
      <c r="F2824" s="91"/>
      <c r="G2824" s="91"/>
      <c r="H2824" s="91"/>
      <c r="I2824" s="91"/>
      <c r="J2824" s="91"/>
      <c r="K2824" s="91"/>
      <c r="L2824" s="91"/>
      <c r="M2824" s="91"/>
      <c r="N2824" s="91"/>
      <c r="O2824" s="108"/>
      <c r="P2824" s="91"/>
      <c r="Q2824" s="91"/>
      <c r="R2824" s="107"/>
      <c r="S2824" s="503"/>
    </row>
    <row r="2825" spans="1:19" ht="9.75" customHeight="1">
      <c r="A2825" s="503"/>
      <c r="B2825" s="503"/>
      <c r="C2825" s="1"/>
      <c r="D2825" s="113" t="s">
        <v>37</v>
      </c>
      <c r="E2825" s="113"/>
      <c r="F2825" s="112"/>
      <c r="G2825" s="112"/>
      <c r="H2825" s="112"/>
      <c r="I2825" s="112"/>
      <c r="J2825" s="112"/>
      <c r="K2825" s="112"/>
      <c r="L2825" s="112"/>
      <c r="M2825" s="112"/>
      <c r="N2825" s="112"/>
      <c r="O2825" s="113"/>
      <c r="P2825" s="112"/>
      <c r="Q2825" s="112"/>
      <c r="R2825" s="165"/>
      <c r="S2825" s="503"/>
    </row>
    <row r="2826" spans="1:19" ht="9.75" customHeight="1">
      <c r="A2826" s="503"/>
      <c r="B2826" s="503" t="s">
        <v>127</v>
      </c>
      <c r="C2826" s="25"/>
      <c r="D2826" s="5" t="s">
        <v>38</v>
      </c>
      <c r="E2826" s="166">
        <f t="shared" ref="E2826:O2826" si="539">SUM(E2810:E2825)</f>
        <v>39</v>
      </c>
      <c r="F2826" s="167">
        <f t="shared" si="539"/>
        <v>30</v>
      </c>
      <c r="G2826" s="167">
        <f t="shared" si="539"/>
        <v>26</v>
      </c>
      <c r="H2826" s="167">
        <f t="shared" si="539"/>
        <v>27</v>
      </c>
      <c r="I2826" s="167">
        <f t="shared" si="539"/>
        <v>22</v>
      </c>
      <c r="J2826" s="167">
        <f t="shared" si="539"/>
        <v>21</v>
      </c>
      <c r="K2826" s="167">
        <f t="shared" si="539"/>
        <v>20</v>
      </c>
      <c r="L2826" s="167">
        <f t="shared" si="539"/>
        <v>19</v>
      </c>
      <c r="M2826" s="167">
        <f t="shared" si="539"/>
        <v>22</v>
      </c>
      <c r="N2826" s="167">
        <f t="shared" si="539"/>
        <v>25</v>
      </c>
      <c r="O2826" s="166">
        <f t="shared" si="539"/>
        <v>29</v>
      </c>
      <c r="P2826" s="167">
        <f>MIN(F2826:O2826)</f>
        <v>19</v>
      </c>
      <c r="Q2826" s="167">
        <f>E2826-P2826</f>
        <v>20</v>
      </c>
      <c r="R2826" s="168">
        <f>Q2826/E2826</f>
        <v>0.51282051282051277</v>
      </c>
      <c r="S2826" s="503"/>
    </row>
    <row r="2827" spans="1:19" ht="9.75" customHeight="1">
      <c r="A2827" s="503"/>
      <c r="B2827" s="503"/>
      <c r="C2827" s="1" t="s">
        <v>413</v>
      </c>
      <c r="D2827" s="108" t="s">
        <v>23</v>
      </c>
      <c r="E2827" s="108"/>
      <c r="F2827" s="91"/>
      <c r="G2827" s="91"/>
      <c r="H2827" s="91"/>
      <c r="I2827" s="91"/>
      <c r="J2827" s="91"/>
      <c r="K2827" s="91"/>
      <c r="L2827" s="91"/>
      <c r="M2827" s="91"/>
      <c r="N2827" s="91"/>
      <c r="O2827" s="108"/>
      <c r="P2827" s="91"/>
      <c r="Q2827" s="91"/>
      <c r="R2827" s="107"/>
      <c r="S2827" s="503"/>
    </row>
    <row r="2828" spans="1:19" ht="9.75" customHeight="1">
      <c r="A2828" s="503"/>
      <c r="B2828" s="503"/>
      <c r="C2828" s="13"/>
      <c r="D2828" s="108" t="s">
        <v>25</v>
      </c>
      <c r="E2828" s="108"/>
      <c r="F2828" s="91"/>
      <c r="G2828" s="91"/>
      <c r="H2828" s="91"/>
      <c r="I2828" s="91"/>
      <c r="J2828" s="91"/>
      <c r="K2828" s="91"/>
      <c r="L2828" s="91"/>
      <c r="M2828" s="91"/>
      <c r="N2828" s="91"/>
      <c r="O2828" s="108"/>
      <c r="P2828" s="91"/>
      <c r="Q2828" s="91"/>
      <c r="R2828" s="107"/>
      <c r="S2828" s="503"/>
    </row>
    <row r="2829" spans="1:19" ht="9.75" customHeight="1">
      <c r="A2829" s="503"/>
      <c r="B2829" s="503"/>
      <c r="C2829" s="13"/>
      <c r="D2829" s="108" t="s">
        <v>27</v>
      </c>
      <c r="E2829" s="108"/>
      <c r="F2829" s="91"/>
      <c r="G2829" s="91"/>
      <c r="H2829" s="91"/>
      <c r="I2829" s="91"/>
      <c r="J2829" s="91"/>
      <c r="K2829" s="91"/>
      <c r="L2829" s="91"/>
      <c r="M2829" s="91"/>
      <c r="N2829" s="91"/>
      <c r="O2829" s="108"/>
      <c r="P2829" s="91"/>
      <c r="Q2829" s="91"/>
      <c r="R2829" s="107"/>
      <c r="S2829" s="503"/>
    </row>
    <row r="2830" spans="1:19" ht="9.75" customHeight="1">
      <c r="A2830" s="503"/>
      <c r="B2830" s="503"/>
      <c r="C2830" s="13"/>
      <c r="D2830" s="108" t="s">
        <v>173</v>
      </c>
      <c r="E2830" s="136">
        <v>39</v>
      </c>
      <c r="F2830" s="11">
        <v>20</v>
      </c>
      <c r="G2830" s="11">
        <v>10</v>
      </c>
      <c r="H2830" s="11">
        <v>9</v>
      </c>
      <c r="I2830" s="11">
        <v>8</v>
      </c>
      <c r="J2830" s="11">
        <v>9</v>
      </c>
      <c r="K2830" s="11">
        <v>12</v>
      </c>
      <c r="L2830" s="11">
        <v>15</v>
      </c>
      <c r="M2830" s="11">
        <v>17</v>
      </c>
      <c r="N2830" s="11">
        <v>30</v>
      </c>
      <c r="O2830" s="136">
        <v>31</v>
      </c>
      <c r="P2830" s="11">
        <f>MIN(F2830:O2830)</f>
        <v>8</v>
      </c>
      <c r="Q2830" s="11">
        <f>E2830-P2830</f>
        <v>31</v>
      </c>
      <c r="R2830" s="122">
        <f>Q2830/E2830</f>
        <v>0.79487179487179482</v>
      </c>
      <c r="S2830" s="503"/>
    </row>
    <row r="2831" spans="1:19" ht="9.75" customHeight="1">
      <c r="A2831" s="503"/>
      <c r="B2831" s="503"/>
      <c r="C2831" s="1"/>
      <c r="D2831" s="108" t="s">
        <v>115</v>
      </c>
      <c r="E2831" s="108"/>
      <c r="F2831" s="91"/>
      <c r="G2831" s="91"/>
      <c r="H2831" s="91"/>
      <c r="I2831" s="91"/>
      <c r="J2831" s="91"/>
      <c r="K2831" s="91"/>
      <c r="L2831" s="91"/>
      <c r="M2831" s="91"/>
      <c r="N2831" s="91"/>
      <c r="O2831" s="108"/>
      <c r="P2831" s="91"/>
      <c r="Q2831" s="91"/>
      <c r="R2831" s="107"/>
      <c r="S2831" s="503"/>
    </row>
    <row r="2832" spans="1:19" ht="9.75" customHeight="1">
      <c r="A2832" s="503"/>
      <c r="B2832" s="503"/>
      <c r="C2832" s="1"/>
      <c r="D2832" s="108" t="s">
        <v>32</v>
      </c>
      <c r="E2832" s="108"/>
      <c r="F2832" s="91"/>
      <c r="G2832" s="91"/>
      <c r="H2832" s="91"/>
      <c r="I2832" s="91"/>
      <c r="J2832" s="91"/>
      <c r="K2832" s="91"/>
      <c r="L2832" s="91"/>
      <c r="M2832" s="91"/>
      <c r="N2832" s="91"/>
      <c r="O2832" s="108"/>
      <c r="P2832" s="91"/>
      <c r="Q2832" s="91"/>
      <c r="R2832" s="107"/>
      <c r="S2832" s="503"/>
    </row>
    <row r="2833" spans="1:19" ht="9.75" customHeight="1">
      <c r="A2833" s="503"/>
      <c r="B2833" s="503"/>
      <c r="C2833" s="1"/>
      <c r="D2833" s="108" t="s">
        <v>120</v>
      </c>
      <c r="E2833" s="108"/>
      <c r="F2833" s="91"/>
      <c r="G2833" s="91"/>
      <c r="H2833" s="91"/>
      <c r="I2833" s="91"/>
      <c r="J2833" s="91"/>
      <c r="K2833" s="91"/>
      <c r="L2833" s="91"/>
      <c r="M2833" s="91"/>
      <c r="N2833" s="91"/>
      <c r="O2833" s="108"/>
      <c r="P2833" s="91"/>
      <c r="Q2833" s="91"/>
      <c r="R2833" s="107"/>
      <c r="S2833" s="503"/>
    </row>
    <row r="2834" spans="1:19" ht="9.75" customHeight="1">
      <c r="A2834" s="503"/>
      <c r="B2834" s="503"/>
      <c r="C2834" s="1"/>
      <c r="D2834" s="108" t="s">
        <v>120</v>
      </c>
      <c r="E2834" s="108"/>
      <c r="F2834" s="91"/>
      <c r="G2834" s="91"/>
      <c r="H2834" s="91"/>
      <c r="I2834" s="91"/>
      <c r="J2834" s="91"/>
      <c r="K2834" s="91"/>
      <c r="L2834" s="91"/>
      <c r="M2834" s="91"/>
      <c r="N2834" s="91"/>
      <c r="O2834" s="108"/>
      <c r="P2834" s="91"/>
      <c r="Q2834" s="91"/>
      <c r="R2834" s="107"/>
      <c r="S2834" s="503"/>
    </row>
    <row r="2835" spans="1:19" ht="9.75" customHeight="1">
      <c r="A2835" s="503"/>
      <c r="B2835" s="503"/>
      <c r="C2835" s="1"/>
      <c r="D2835" s="108" t="s">
        <v>120</v>
      </c>
      <c r="E2835" s="108"/>
      <c r="F2835" s="91"/>
      <c r="G2835" s="91"/>
      <c r="H2835" s="91"/>
      <c r="I2835" s="91"/>
      <c r="J2835" s="91"/>
      <c r="K2835" s="91"/>
      <c r="L2835" s="91"/>
      <c r="M2835" s="91"/>
      <c r="N2835" s="91"/>
      <c r="O2835" s="108"/>
      <c r="P2835" s="91"/>
      <c r="Q2835" s="91"/>
      <c r="R2835" s="107"/>
      <c r="S2835" s="503"/>
    </row>
    <row r="2836" spans="1:19" ht="9.75" customHeight="1">
      <c r="A2836" s="503"/>
      <c r="B2836" s="503"/>
      <c r="C2836" s="1"/>
      <c r="D2836" s="108" t="s">
        <v>120</v>
      </c>
      <c r="E2836" s="108"/>
      <c r="F2836" s="91"/>
      <c r="G2836" s="91"/>
      <c r="H2836" s="91"/>
      <c r="I2836" s="91"/>
      <c r="J2836" s="91"/>
      <c r="K2836" s="91"/>
      <c r="L2836" s="91"/>
      <c r="M2836" s="91"/>
      <c r="N2836" s="91"/>
      <c r="O2836" s="108"/>
      <c r="P2836" s="91"/>
      <c r="Q2836" s="91"/>
      <c r="R2836" s="107"/>
      <c r="S2836" s="503"/>
    </row>
    <row r="2837" spans="1:19" ht="9.75" customHeight="1">
      <c r="A2837" s="503"/>
      <c r="B2837" s="503"/>
      <c r="C2837" s="1"/>
      <c r="D2837" s="108" t="s">
        <v>120</v>
      </c>
      <c r="E2837" s="108"/>
      <c r="F2837" s="91"/>
      <c r="G2837" s="91"/>
      <c r="H2837" s="91"/>
      <c r="I2837" s="91"/>
      <c r="J2837" s="91"/>
      <c r="K2837" s="91"/>
      <c r="L2837" s="91"/>
      <c r="M2837" s="91"/>
      <c r="N2837" s="91"/>
      <c r="O2837" s="108"/>
      <c r="P2837" s="91"/>
      <c r="Q2837" s="91"/>
      <c r="R2837" s="107"/>
      <c r="S2837" s="503"/>
    </row>
    <row r="2838" spans="1:19" ht="9.75" customHeight="1">
      <c r="A2838" s="503"/>
      <c r="B2838" s="503"/>
      <c r="C2838" s="1"/>
      <c r="D2838" s="108" t="s">
        <v>120</v>
      </c>
      <c r="E2838" s="108"/>
      <c r="F2838" s="91"/>
      <c r="G2838" s="91"/>
      <c r="H2838" s="91"/>
      <c r="I2838" s="91"/>
      <c r="J2838" s="91"/>
      <c r="K2838" s="91"/>
      <c r="L2838" s="91"/>
      <c r="M2838" s="91"/>
      <c r="N2838" s="91"/>
      <c r="O2838" s="108"/>
      <c r="P2838" s="91"/>
      <c r="Q2838" s="91"/>
      <c r="R2838" s="107"/>
      <c r="S2838" s="503"/>
    </row>
    <row r="2839" spans="1:19" ht="9.75" customHeight="1">
      <c r="A2839" s="503"/>
      <c r="B2839" s="503"/>
      <c r="C2839" s="1"/>
      <c r="D2839" s="108" t="s">
        <v>34</v>
      </c>
      <c r="E2839" s="108"/>
      <c r="F2839" s="91"/>
      <c r="G2839" s="91"/>
      <c r="H2839" s="91"/>
      <c r="I2839" s="91"/>
      <c r="J2839" s="91"/>
      <c r="K2839" s="91"/>
      <c r="L2839" s="91"/>
      <c r="M2839" s="91"/>
      <c r="N2839" s="91"/>
      <c r="O2839" s="108"/>
      <c r="P2839" s="91"/>
      <c r="Q2839" s="91"/>
      <c r="R2839" s="107"/>
      <c r="S2839" s="503"/>
    </row>
    <row r="2840" spans="1:19" ht="9.75" customHeight="1">
      <c r="A2840" s="503"/>
      <c r="B2840" s="503"/>
      <c r="C2840" s="1"/>
      <c r="D2840" s="108" t="s">
        <v>35</v>
      </c>
      <c r="E2840" s="108"/>
      <c r="F2840" s="91"/>
      <c r="G2840" s="91"/>
      <c r="H2840" s="91"/>
      <c r="I2840" s="91"/>
      <c r="J2840" s="91"/>
      <c r="K2840" s="91"/>
      <c r="L2840" s="91"/>
      <c r="M2840" s="91"/>
      <c r="N2840" s="91"/>
      <c r="O2840" s="108"/>
      <c r="P2840" s="91"/>
      <c r="Q2840" s="91"/>
      <c r="R2840" s="107"/>
      <c r="S2840" s="503"/>
    </row>
    <row r="2841" spans="1:19" ht="9.75" customHeight="1">
      <c r="A2841" s="503"/>
      <c r="B2841" s="503"/>
      <c r="C2841" s="1"/>
      <c r="D2841" s="108" t="s">
        <v>36</v>
      </c>
      <c r="E2841" s="108"/>
      <c r="F2841" s="91"/>
      <c r="G2841" s="91"/>
      <c r="H2841" s="91"/>
      <c r="I2841" s="91"/>
      <c r="J2841" s="91"/>
      <c r="K2841" s="91"/>
      <c r="L2841" s="91"/>
      <c r="M2841" s="91"/>
      <c r="N2841" s="91"/>
      <c r="O2841" s="108"/>
      <c r="P2841" s="91"/>
      <c r="Q2841" s="91"/>
      <c r="R2841" s="107"/>
      <c r="S2841" s="503"/>
    </row>
    <row r="2842" spans="1:19" ht="9.75" customHeight="1">
      <c r="A2842" s="503"/>
      <c r="B2842" s="503"/>
      <c r="C2842" s="1"/>
      <c r="D2842" s="113" t="s">
        <v>37</v>
      </c>
      <c r="E2842" s="113"/>
      <c r="F2842" s="112"/>
      <c r="G2842" s="112"/>
      <c r="H2842" s="112"/>
      <c r="I2842" s="112"/>
      <c r="J2842" s="112"/>
      <c r="K2842" s="112"/>
      <c r="L2842" s="112"/>
      <c r="M2842" s="112"/>
      <c r="N2842" s="112"/>
      <c r="O2842" s="113"/>
      <c r="P2842" s="112"/>
      <c r="Q2842" s="112"/>
      <c r="R2842" s="165"/>
      <c r="S2842" s="503"/>
    </row>
    <row r="2843" spans="1:19" ht="9.75" customHeight="1">
      <c r="A2843" s="503"/>
      <c r="B2843" s="503" t="s">
        <v>127</v>
      </c>
      <c r="C2843" s="25"/>
      <c r="D2843" s="5" t="s">
        <v>38</v>
      </c>
      <c r="E2843" s="166">
        <f t="shared" ref="E2843:O2843" si="540">SUM(E2827:E2842)</f>
        <v>39</v>
      </c>
      <c r="F2843" s="167">
        <f t="shared" si="540"/>
        <v>20</v>
      </c>
      <c r="G2843" s="167">
        <f t="shared" si="540"/>
        <v>10</v>
      </c>
      <c r="H2843" s="167">
        <f t="shared" si="540"/>
        <v>9</v>
      </c>
      <c r="I2843" s="167">
        <f t="shared" si="540"/>
        <v>8</v>
      </c>
      <c r="J2843" s="167">
        <f t="shared" si="540"/>
        <v>9</v>
      </c>
      <c r="K2843" s="167">
        <f t="shared" si="540"/>
        <v>12</v>
      </c>
      <c r="L2843" s="167">
        <f t="shared" si="540"/>
        <v>15</v>
      </c>
      <c r="M2843" s="167">
        <f t="shared" si="540"/>
        <v>17</v>
      </c>
      <c r="N2843" s="167">
        <f t="shared" si="540"/>
        <v>30</v>
      </c>
      <c r="O2843" s="166">
        <f t="shared" si="540"/>
        <v>31</v>
      </c>
      <c r="P2843" s="167">
        <f>MIN(F2843:O2843)</f>
        <v>8</v>
      </c>
      <c r="Q2843" s="167">
        <f>E2843-P2843</f>
        <v>31</v>
      </c>
      <c r="R2843" s="168">
        <f>Q2843/E2843</f>
        <v>0.79487179487179482</v>
      </c>
      <c r="S2843" s="503"/>
    </row>
    <row r="2844" spans="1:19" ht="9.75" customHeight="1">
      <c r="A2844" s="503"/>
      <c r="B2844" s="503"/>
      <c r="C2844" s="1" t="s">
        <v>414</v>
      </c>
      <c r="D2844" s="108" t="s">
        <v>23</v>
      </c>
      <c r="E2844" s="108"/>
      <c r="F2844" s="91"/>
      <c r="G2844" s="91"/>
      <c r="H2844" s="91"/>
      <c r="I2844" s="91"/>
      <c r="J2844" s="91"/>
      <c r="K2844" s="91"/>
      <c r="L2844" s="91"/>
      <c r="M2844" s="91"/>
      <c r="N2844" s="91"/>
      <c r="O2844" s="108"/>
      <c r="P2844" s="91"/>
      <c r="Q2844" s="91"/>
      <c r="R2844" s="107"/>
      <c r="S2844" s="503"/>
    </row>
    <row r="2845" spans="1:19" ht="9.75" customHeight="1">
      <c r="A2845" s="503"/>
      <c r="B2845" s="503"/>
      <c r="C2845" s="13"/>
      <c r="D2845" s="108" t="s">
        <v>25</v>
      </c>
      <c r="E2845" s="108"/>
      <c r="F2845" s="91"/>
      <c r="G2845" s="91"/>
      <c r="H2845" s="91"/>
      <c r="I2845" s="91"/>
      <c r="J2845" s="91"/>
      <c r="K2845" s="91"/>
      <c r="L2845" s="91"/>
      <c r="M2845" s="91"/>
      <c r="N2845" s="91"/>
      <c r="O2845" s="108"/>
      <c r="P2845" s="91"/>
      <c r="Q2845" s="91"/>
      <c r="R2845" s="107"/>
      <c r="S2845" s="503"/>
    </row>
    <row r="2846" spans="1:19" ht="9.75" customHeight="1">
      <c r="A2846" s="503"/>
      <c r="B2846" s="503"/>
      <c r="C2846" s="13"/>
      <c r="D2846" s="108" t="s">
        <v>27</v>
      </c>
      <c r="E2846" s="108"/>
      <c r="F2846" s="91"/>
      <c r="G2846" s="91"/>
      <c r="H2846" s="91"/>
      <c r="I2846" s="91"/>
      <c r="J2846" s="91"/>
      <c r="K2846" s="91"/>
      <c r="L2846" s="91"/>
      <c r="M2846" s="91"/>
      <c r="N2846" s="91"/>
      <c r="O2846" s="108"/>
      <c r="P2846" s="91"/>
      <c r="Q2846" s="91"/>
      <c r="R2846" s="107"/>
      <c r="S2846" s="503"/>
    </row>
    <row r="2847" spans="1:19" ht="9.75" customHeight="1">
      <c r="A2847" s="503"/>
      <c r="B2847" s="503"/>
      <c r="C2847" s="13"/>
      <c r="D2847" s="108" t="s">
        <v>173</v>
      </c>
      <c r="E2847" s="136">
        <v>39</v>
      </c>
      <c r="F2847" s="11">
        <v>0</v>
      </c>
      <c r="G2847" s="11">
        <v>0</v>
      </c>
      <c r="H2847" s="11">
        <v>0</v>
      </c>
      <c r="I2847" s="11">
        <v>0</v>
      </c>
      <c r="J2847" s="11">
        <v>0</v>
      </c>
      <c r="K2847" s="11">
        <v>5</v>
      </c>
      <c r="L2847" s="11">
        <v>10</v>
      </c>
      <c r="M2847" s="11">
        <v>17</v>
      </c>
      <c r="N2847" s="11">
        <v>23</v>
      </c>
      <c r="O2847" s="136">
        <v>25</v>
      </c>
      <c r="P2847" s="11">
        <f>MIN(F2847:O2847)</f>
        <v>0</v>
      </c>
      <c r="Q2847" s="11">
        <f>E2847-P2847</f>
        <v>39</v>
      </c>
      <c r="R2847" s="122">
        <f>Q2847/E2847</f>
        <v>1</v>
      </c>
      <c r="S2847" s="503"/>
    </row>
    <row r="2848" spans="1:19" ht="9.75" customHeight="1">
      <c r="A2848" s="503"/>
      <c r="B2848" s="503"/>
      <c r="C2848" s="1"/>
      <c r="D2848" s="108" t="s">
        <v>115</v>
      </c>
      <c r="E2848" s="108"/>
      <c r="F2848" s="91"/>
      <c r="G2848" s="91"/>
      <c r="H2848" s="91"/>
      <c r="I2848" s="91"/>
      <c r="J2848" s="91"/>
      <c r="K2848" s="91"/>
      <c r="L2848" s="91"/>
      <c r="M2848" s="91"/>
      <c r="N2848" s="91"/>
      <c r="O2848" s="108"/>
      <c r="P2848" s="91"/>
      <c r="Q2848" s="91"/>
      <c r="R2848" s="107"/>
      <c r="S2848" s="503"/>
    </row>
    <row r="2849" spans="1:19" ht="9.75" customHeight="1">
      <c r="A2849" s="503"/>
      <c r="B2849" s="503"/>
      <c r="C2849" s="1"/>
      <c r="D2849" s="108" t="s">
        <v>32</v>
      </c>
      <c r="E2849" s="108"/>
      <c r="F2849" s="91"/>
      <c r="G2849" s="91"/>
      <c r="H2849" s="91"/>
      <c r="I2849" s="91"/>
      <c r="J2849" s="91"/>
      <c r="K2849" s="91"/>
      <c r="L2849" s="91"/>
      <c r="M2849" s="91"/>
      <c r="N2849" s="91"/>
      <c r="O2849" s="108"/>
      <c r="P2849" s="91"/>
      <c r="Q2849" s="91"/>
      <c r="R2849" s="107"/>
      <c r="S2849" s="503"/>
    </row>
    <row r="2850" spans="1:19" ht="9.75" customHeight="1">
      <c r="A2850" s="503"/>
      <c r="B2850" s="503"/>
      <c r="C2850" s="1"/>
      <c r="D2850" s="108" t="s">
        <v>120</v>
      </c>
      <c r="E2850" s="108"/>
      <c r="F2850" s="91"/>
      <c r="G2850" s="91"/>
      <c r="H2850" s="91"/>
      <c r="I2850" s="91"/>
      <c r="J2850" s="91"/>
      <c r="K2850" s="91"/>
      <c r="L2850" s="91"/>
      <c r="M2850" s="91"/>
      <c r="N2850" s="91"/>
      <c r="O2850" s="108"/>
      <c r="P2850" s="91"/>
      <c r="Q2850" s="91"/>
      <c r="R2850" s="107"/>
      <c r="S2850" s="503"/>
    </row>
    <row r="2851" spans="1:19" ht="9.75" customHeight="1">
      <c r="A2851" s="503"/>
      <c r="B2851" s="503"/>
      <c r="C2851" s="1"/>
      <c r="D2851" s="108" t="s">
        <v>120</v>
      </c>
      <c r="E2851" s="108"/>
      <c r="F2851" s="91"/>
      <c r="G2851" s="91"/>
      <c r="H2851" s="91"/>
      <c r="I2851" s="91"/>
      <c r="J2851" s="91"/>
      <c r="K2851" s="91"/>
      <c r="L2851" s="91"/>
      <c r="M2851" s="91"/>
      <c r="N2851" s="91"/>
      <c r="O2851" s="108"/>
      <c r="P2851" s="91"/>
      <c r="Q2851" s="91"/>
      <c r="R2851" s="107"/>
      <c r="S2851" s="503"/>
    </row>
    <row r="2852" spans="1:19" ht="9.75" customHeight="1">
      <c r="A2852" s="503"/>
      <c r="B2852" s="503"/>
      <c r="C2852" s="1"/>
      <c r="D2852" s="108" t="s">
        <v>120</v>
      </c>
      <c r="E2852" s="108"/>
      <c r="F2852" s="91"/>
      <c r="G2852" s="91"/>
      <c r="H2852" s="91"/>
      <c r="I2852" s="91"/>
      <c r="J2852" s="91"/>
      <c r="K2852" s="91"/>
      <c r="L2852" s="91"/>
      <c r="M2852" s="91"/>
      <c r="N2852" s="91"/>
      <c r="O2852" s="108"/>
      <c r="P2852" s="91"/>
      <c r="Q2852" s="91"/>
      <c r="R2852" s="107"/>
      <c r="S2852" s="503"/>
    </row>
    <row r="2853" spans="1:19" ht="9.75" customHeight="1">
      <c r="A2853" s="503"/>
      <c r="B2853" s="503"/>
      <c r="C2853" s="1"/>
      <c r="D2853" s="108" t="s">
        <v>120</v>
      </c>
      <c r="E2853" s="108"/>
      <c r="F2853" s="91"/>
      <c r="G2853" s="91"/>
      <c r="H2853" s="91"/>
      <c r="I2853" s="91"/>
      <c r="J2853" s="91"/>
      <c r="K2853" s="91"/>
      <c r="L2853" s="91"/>
      <c r="M2853" s="91"/>
      <c r="N2853" s="91"/>
      <c r="O2853" s="108"/>
      <c r="P2853" s="91"/>
      <c r="Q2853" s="91"/>
      <c r="R2853" s="107"/>
      <c r="S2853" s="503"/>
    </row>
    <row r="2854" spans="1:19" ht="9.75" customHeight="1">
      <c r="A2854" s="503"/>
      <c r="B2854" s="503"/>
      <c r="C2854" s="1"/>
      <c r="D2854" s="108" t="s">
        <v>120</v>
      </c>
      <c r="E2854" s="108"/>
      <c r="F2854" s="91"/>
      <c r="G2854" s="91"/>
      <c r="H2854" s="91"/>
      <c r="I2854" s="91"/>
      <c r="J2854" s="91"/>
      <c r="K2854" s="91"/>
      <c r="L2854" s="91"/>
      <c r="M2854" s="91"/>
      <c r="N2854" s="91"/>
      <c r="O2854" s="108"/>
      <c r="P2854" s="91"/>
      <c r="Q2854" s="91"/>
      <c r="R2854" s="107"/>
      <c r="S2854" s="503"/>
    </row>
    <row r="2855" spans="1:19" ht="9.75" customHeight="1">
      <c r="A2855" s="503"/>
      <c r="B2855" s="503"/>
      <c r="C2855" s="1"/>
      <c r="D2855" s="108" t="s">
        <v>120</v>
      </c>
      <c r="E2855" s="108"/>
      <c r="F2855" s="91"/>
      <c r="G2855" s="91"/>
      <c r="H2855" s="91"/>
      <c r="I2855" s="91"/>
      <c r="J2855" s="91"/>
      <c r="K2855" s="91"/>
      <c r="L2855" s="91"/>
      <c r="M2855" s="91"/>
      <c r="N2855" s="91"/>
      <c r="O2855" s="108"/>
      <c r="P2855" s="91"/>
      <c r="Q2855" s="91"/>
      <c r="R2855" s="107"/>
      <c r="S2855" s="503"/>
    </row>
    <row r="2856" spans="1:19" ht="9.75" customHeight="1">
      <c r="A2856" s="503"/>
      <c r="B2856" s="503"/>
      <c r="C2856" s="1"/>
      <c r="D2856" s="108" t="s">
        <v>34</v>
      </c>
      <c r="E2856" s="108"/>
      <c r="F2856" s="91"/>
      <c r="G2856" s="91"/>
      <c r="H2856" s="91"/>
      <c r="I2856" s="91"/>
      <c r="J2856" s="91"/>
      <c r="K2856" s="91"/>
      <c r="L2856" s="91"/>
      <c r="M2856" s="91"/>
      <c r="N2856" s="91"/>
      <c r="O2856" s="108"/>
      <c r="P2856" s="91"/>
      <c r="Q2856" s="91"/>
      <c r="R2856" s="107"/>
      <c r="S2856" s="503"/>
    </row>
    <row r="2857" spans="1:19" ht="9.75" customHeight="1">
      <c r="A2857" s="503"/>
      <c r="B2857" s="503"/>
      <c r="C2857" s="1"/>
      <c r="D2857" s="108" t="s">
        <v>35</v>
      </c>
      <c r="E2857" s="108"/>
      <c r="F2857" s="91"/>
      <c r="G2857" s="91"/>
      <c r="H2857" s="91"/>
      <c r="I2857" s="91"/>
      <c r="J2857" s="91"/>
      <c r="K2857" s="91"/>
      <c r="L2857" s="91"/>
      <c r="M2857" s="91"/>
      <c r="N2857" s="91"/>
      <c r="O2857" s="108"/>
      <c r="P2857" s="91"/>
      <c r="Q2857" s="91"/>
      <c r="R2857" s="107"/>
      <c r="S2857" s="503"/>
    </row>
    <row r="2858" spans="1:19" ht="9.75" customHeight="1">
      <c r="A2858" s="503"/>
      <c r="B2858" s="503"/>
      <c r="C2858" s="1"/>
      <c r="D2858" s="108" t="s">
        <v>36</v>
      </c>
      <c r="E2858" s="108"/>
      <c r="F2858" s="91"/>
      <c r="G2858" s="91"/>
      <c r="H2858" s="91"/>
      <c r="I2858" s="91"/>
      <c r="J2858" s="91"/>
      <c r="K2858" s="91"/>
      <c r="L2858" s="91"/>
      <c r="M2858" s="91"/>
      <c r="N2858" s="91"/>
      <c r="O2858" s="108"/>
      <c r="P2858" s="91"/>
      <c r="Q2858" s="91"/>
      <c r="R2858" s="107"/>
      <c r="S2858" s="503"/>
    </row>
    <row r="2859" spans="1:19" ht="9.75" customHeight="1">
      <c r="A2859" s="503"/>
      <c r="B2859" s="503"/>
      <c r="C2859" s="1"/>
      <c r="D2859" s="113" t="s">
        <v>37</v>
      </c>
      <c r="E2859" s="113"/>
      <c r="F2859" s="112"/>
      <c r="G2859" s="112"/>
      <c r="H2859" s="112"/>
      <c r="I2859" s="112"/>
      <c r="J2859" s="112"/>
      <c r="K2859" s="112"/>
      <c r="L2859" s="112"/>
      <c r="M2859" s="112"/>
      <c r="N2859" s="112"/>
      <c r="O2859" s="113"/>
      <c r="P2859" s="112"/>
      <c r="Q2859" s="112"/>
      <c r="R2859" s="165"/>
      <c r="S2859" s="503"/>
    </row>
    <row r="2860" spans="1:19" ht="9.75" customHeight="1">
      <c r="A2860" s="503"/>
      <c r="B2860" s="503" t="s">
        <v>127</v>
      </c>
      <c r="C2860" s="25"/>
      <c r="D2860" s="5" t="s">
        <v>38</v>
      </c>
      <c r="E2860" s="166">
        <f t="shared" ref="E2860:O2860" si="541">SUM(E2844:E2859)</f>
        <v>39</v>
      </c>
      <c r="F2860" s="167">
        <f t="shared" si="541"/>
        <v>0</v>
      </c>
      <c r="G2860" s="167">
        <f t="shared" si="541"/>
        <v>0</v>
      </c>
      <c r="H2860" s="167">
        <f t="shared" si="541"/>
        <v>0</v>
      </c>
      <c r="I2860" s="167">
        <f t="shared" si="541"/>
        <v>0</v>
      </c>
      <c r="J2860" s="167">
        <f t="shared" si="541"/>
        <v>0</v>
      </c>
      <c r="K2860" s="167">
        <f t="shared" si="541"/>
        <v>5</v>
      </c>
      <c r="L2860" s="167">
        <f t="shared" si="541"/>
        <v>10</v>
      </c>
      <c r="M2860" s="167">
        <f t="shared" si="541"/>
        <v>17</v>
      </c>
      <c r="N2860" s="167">
        <f t="shared" si="541"/>
        <v>23</v>
      </c>
      <c r="O2860" s="166">
        <f t="shared" si="541"/>
        <v>25</v>
      </c>
      <c r="P2860" s="167">
        <f>MIN(F2860:O2860)</f>
        <v>0</v>
      </c>
      <c r="Q2860" s="167">
        <f>E2860-P2860</f>
        <v>39</v>
      </c>
      <c r="R2860" s="168">
        <f>Q2860/E2860</f>
        <v>1</v>
      </c>
      <c r="S2860" s="503"/>
    </row>
    <row r="2861" spans="1:19" ht="9.75" customHeight="1">
      <c r="A2861" s="503"/>
      <c r="B2861" s="503"/>
      <c r="C2861" s="1" t="s">
        <v>415</v>
      </c>
      <c r="D2861" s="108" t="s">
        <v>23</v>
      </c>
      <c r="E2861" s="108"/>
      <c r="F2861" s="91"/>
      <c r="G2861" s="91"/>
      <c r="H2861" s="91"/>
      <c r="I2861" s="91"/>
      <c r="J2861" s="91"/>
      <c r="K2861" s="91"/>
      <c r="L2861" s="91"/>
      <c r="M2861" s="91"/>
      <c r="N2861" s="91"/>
      <c r="O2861" s="108"/>
      <c r="P2861" s="91"/>
      <c r="Q2861" s="91"/>
      <c r="R2861" s="107"/>
      <c r="S2861" s="503"/>
    </row>
    <row r="2862" spans="1:19" ht="9.75" customHeight="1">
      <c r="A2862" s="503"/>
      <c r="B2862" s="503"/>
      <c r="C2862" s="13"/>
      <c r="D2862" s="108" t="s">
        <v>25</v>
      </c>
      <c r="E2862" s="108"/>
      <c r="F2862" s="91"/>
      <c r="G2862" s="91"/>
      <c r="H2862" s="91"/>
      <c r="I2862" s="91"/>
      <c r="J2862" s="91"/>
      <c r="K2862" s="91"/>
      <c r="L2862" s="91"/>
      <c r="M2862" s="91"/>
      <c r="N2862" s="91"/>
      <c r="O2862" s="108"/>
      <c r="P2862" s="91"/>
      <c r="Q2862" s="91"/>
      <c r="R2862" s="107"/>
      <c r="S2862" s="503"/>
    </row>
    <row r="2863" spans="1:19" ht="9.75" customHeight="1">
      <c r="A2863" s="503"/>
      <c r="B2863" s="503"/>
      <c r="C2863" s="13"/>
      <c r="D2863" s="108" t="s">
        <v>27</v>
      </c>
      <c r="E2863" s="108"/>
      <c r="F2863" s="91"/>
      <c r="G2863" s="91"/>
      <c r="H2863" s="91"/>
      <c r="I2863" s="91"/>
      <c r="J2863" s="91"/>
      <c r="K2863" s="91"/>
      <c r="L2863" s="91"/>
      <c r="M2863" s="91"/>
      <c r="N2863" s="91"/>
      <c r="O2863" s="108"/>
      <c r="P2863" s="91"/>
      <c r="Q2863" s="91"/>
      <c r="R2863" s="107"/>
      <c r="S2863" s="503"/>
    </row>
    <row r="2864" spans="1:19" ht="9.75" customHeight="1">
      <c r="A2864" s="503"/>
      <c r="B2864" s="503"/>
      <c r="C2864" s="13"/>
      <c r="D2864" s="108" t="s">
        <v>173</v>
      </c>
      <c r="E2864" s="136">
        <v>35</v>
      </c>
      <c r="F2864" s="11">
        <v>0</v>
      </c>
      <c r="G2864" s="11">
        <v>0</v>
      </c>
      <c r="H2864" s="11">
        <v>1</v>
      </c>
      <c r="I2864" s="11">
        <v>2</v>
      </c>
      <c r="J2864" s="11">
        <v>5</v>
      </c>
      <c r="K2864" s="11">
        <v>6</v>
      </c>
      <c r="L2864" s="11">
        <v>12</v>
      </c>
      <c r="M2864" s="11">
        <v>15</v>
      </c>
      <c r="N2864" s="11">
        <v>17</v>
      </c>
      <c r="O2864" s="136">
        <v>19</v>
      </c>
      <c r="P2864" s="11">
        <f>MIN(F2864:O2864)</f>
        <v>0</v>
      </c>
      <c r="Q2864" s="11">
        <f>E2864-P2864</f>
        <v>35</v>
      </c>
      <c r="R2864" s="122">
        <f>Q2864/E2864</f>
        <v>1</v>
      </c>
      <c r="S2864" s="503"/>
    </row>
    <row r="2865" spans="1:19" ht="9.75" customHeight="1">
      <c r="A2865" s="503"/>
      <c r="B2865" s="503"/>
      <c r="C2865" s="1"/>
      <c r="D2865" s="108" t="s">
        <v>115</v>
      </c>
      <c r="E2865" s="108"/>
      <c r="F2865" s="91"/>
      <c r="G2865" s="91"/>
      <c r="H2865" s="91"/>
      <c r="I2865" s="91"/>
      <c r="J2865" s="91"/>
      <c r="K2865" s="91"/>
      <c r="L2865" s="91"/>
      <c r="M2865" s="91"/>
      <c r="N2865" s="91"/>
      <c r="O2865" s="108"/>
      <c r="P2865" s="91"/>
      <c r="Q2865" s="91"/>
      <c r="R2865" s="107"/>
      <c r="S2865" s="503"/>
    </row>
    <row r="2866" spans="1:19" ht="9.75" customHeight="1">
      <c r="A2866" s="503"/>
      <c r="B2866" s="503"/>
      <c r="C2866" s="1"/>
      <c r="D2866" s="108" t="s">
        <v>32</v>
      </c>
      <c r="E2866" s="108"/>
      <c r="F2866" s="91"/>
      <c r="G2866" s="91"/>
      <c r="H2866" s="91"/>
      <c r="I2866" s="91"/>
      <c r="J2866" s="91"/>
      <c r="K2866" s="91"/>
      <c r="L2866" s="91"/>
      <c r="M2866" s="91"/>
      <c r="N2866" s="91"/>
      <c r="O2866" s="108"/>
      <c r="P2866" s="91"/>
      <c r="Q2866" s="91"/>
      <c r="R2866" s="107"/>
      <c r="S2866" s="503"/>
    </row>
    <row r="2867" spans="1:19" ht="9.75" customHeight="1">
      <c r="A2867" s="503"/>
      <c r="B2867" s="503"/>
      <c r="C2867" s="1"/>
      <c r="D2867" s="108" t="s">
        <v>416</v>
      </c>
      <c r="E2867" s="136">
        <v>4</v>
      </c>
      <c r="F2867" s="11">
        <v>4</v>
      </c>
      <c r="G2867" s="11">
        <v>4</v>
      </c>
      <c r="H2867" s="11">
        <v>4</v>
      </c>
      <c r="I2867" s="11">
        <v>2</v>
      </c>
      <c r="J2867" s="11">
        <v>2</v>
      </c>
      <c r="K2867" s="11">
        <v>2</v>
      </c>
      <c r="L2867" s="11">
        <v>1</v>
      </c>
      <c r="M2867" s="11">
        <v>1</v>
      </c>
      <c r="N2867" s="11">
        <v>3</v>
      </c>
      <c r="O2867" s="136">
        <v>3</v>
      </c>
      <c r="P2867" s="11">
        <f>MIN(F2867:O2867)</f>
        <v>1</v>
      </c>
      <c r="Q2867" s="11">
        <f>E2867-P2867</f>
        <v>3</v>
      </c>
      <c r="R2867" s="122">
        <f>Q2867/E2867</f>
        <v>0.75</v>
      </c>
      <c r="S2867" s="503"/>
    </row>
    <row r="2868" spans="1:19" ht="9.75" customHeight="1">
      <c r="A2868" s="503"/>
      <c r="B2868" s="503"/>
      <c r="C2868" s="1"/>
      <c r="D2868" s="108" t="s">
        <v>120</v>
      </c>
      <c r="E2868" s="108"/>
      <c r="F2868" s="91"/>
      <c r="G2868" s="91"/>
      <c r="H2868" s="91"/>
      <c r="I2868" s="91"/>
      <c r="J2868" s="91"/>
      <c r="K2868" s="91"/>
      <c r="L2868" s="91"/>
      <c r="M2868" s="91"/>
      <c r="N2868" s="91"/>
      <c r="O2868" s="108"/>
      <c r="P2868" s="91"/>
      <c r="Q2868" s="91"/>
      <c r="R2868" s="107"/>
      <c r="S2868" s="503"/>
    </row>
    <row r="2869" spans="1:19" ht="9.75" customHeight="1">
      <c r="A2869" s="503"/>
      <c r="B2869" s="503"/>
      <c r="C2869" s="1"/>
      <c r="D2869" s="108" t="s">
        <v>120</v>
      </c>
      <c r="E2869" s="108"/>
      <c r="F2869" s="91"/>
      <c r="G2869" s="91"/>
      <c r="H2869" s="91"/>
      <c r="I2869" s="91"/>
      <c r="J2869" s="91"/>
      <c r="K2869" s="91"/>
      <c r="L2869" s="91"/>
      <c r="M2869" s="91"/>
      <c r="N2869" s="91"/>
      <c r="O2869" s="108"/>
      <c r="P2869" s="91"/>
      <c r="Q2869" s="91"/>
      <c r="R2869" s="107"/>
      <c r="S2869" s="503"/>
    </row>
    <row r="2870" spans="1:19" ht="9.75" customHeight="1">
      <c r="A2870" s="503"/>
      <c r="B2870" s="503"/>
      <c r="C2870" s="1"/>
      <c r="D2870" s="108" t="s">
        <v>120</v>
      </c>
      <c r="E2870" s="108"/>
      <c r="F2870" s="91"/>
      <c r="G2870" s="91"/>
      <c r="H2870" s="91"/>
      <c r="I2870" s="91"/>
      <c r="J2870" s="91"/>
      <c r="K2870" s="91"/>
      <c r="L2870" s="91"/>
      <c r="M2870" s="91"/>
      <c r="N2870" s="91"/>
      <c r="O2870" s="108"/>
      <c r="P2870" s="91"/>
      <c r="Q2870" s="91"/>
      <c r="R2870" s="107"/>
      <c r="S2870" s="503"/>
    </row>
    <row r="2871" spans="1:19" ht="9.75" customHeight="1">
      <c r="A2871" s="503"/>
      <c r="B2871" s="503"/>
      <c r="C2871" s="1"/>
      <c r="D2871" s="108" t="s">
        <v>120</v>
      </c>
      <c r="E2871" s="108"/>
      <c r="F2871" s="91"/>
      <c r="G2871" s="91"/>
      <c r="H2871" s="91"/>
      <c r="I2871" s="91"/>
      <c r="J2871" s="91"/>
      <c r="K2871" s="91"/>
      <c r="L2871" s="91"/>
      <c r="M2871" s="91"/>
      <c r="N2871" s="91"/>
      <c r="O2871" s="108"/>
      <c r="P2871" s="91"/>
      <c r="Q2871" s="91"/>
      <c r="R2871" s="107"/>
      <c r="S2871" s="503"/>
    </row>
    <row r="2872" spans="1:19" ht="9.75" customHeight="1">
      <c r="A2872" s="503"/>
      <c r="B2872" s="503"/>
      <c r="C2872" s="1"/>
      <c r="D2872" s="108" t="s">
        <v>120</v>
      </c>
      <c r="E2872" s="108"/>
      <c r="F2872" s="91"/>
      <c r="G2872" s="91"/>
      <c r="H2872" s="91"/>
      <c r="I2872" s="91"/>
      <c r="J2872" s="91"/>
      <c r="K2872" s="91"/>
      <c r="L2872" s="91"/>
      <c r="M2872" s="91"/>
      <c r="N2872" s="91"/>
      <c r="O2872" s="108"/>
      <c r="P2872" s="91"/>
      <c r="Q2872" s="91"/>
      <c r="R2872" s="107"/>
      <c r="S2872" s="503"/>
    </row>
    <row r="2873" spans="1:19" ht="9.75" customHeight="1">
      <c r="A2873" s="503"/>
      <c r="B2873" s="503"/>
      <c r="C2873" s="1"/>
      <c r="D2873" s="108" t="s">
        <v>34</v>
      </c>
      <c r="E2873" s="108"/>
      <c r="F2873" s="91"/>
      <c r="G2873" s="91"/>
      <c r="H2873" s="91"/>
      <c r="I2873" s="91"/>
      <c r="J2873" s="91"/>
      <c r="K2873" s="91"/>
      <c r="L2873" s="91"/>
      <c r="M2873" s="91"/>
      <c r="N2873" s="91"/>
      <c r="O2873" s="108"/>
      <c r="P2873" s="91"/>
      <c r="Q2873" s="91"/>
      <c r="R2873" s="107"/>
      <c r="S2873" s="503"/>
    </row>
    <row r="2874" spans="1:19" ht="9.75" customHeight="1">
      <c r="A2874" s="503"/>
      <c r="B2874" s="503"/>
      <c r="C2874" s="1"/>
      <c r="D2874" s="108" t="s">
        <v>35</v>
      </c>
      <c r="E2874" s="108"/>
      <c r="F2874" s="91"/>
      <c r="G2874" s="91"/>
      <c r="H2874" s="91"/>
      <c r="I2874" s="91"/>
      <c r="J2874" s="91"/>
      <c r="K2874" s="91"/>
      <c r="L2874" s="91"/>
      <c r="M2874" s="91"/>
      <c r="N2874" s="91"/>
      <c r="O2874" s="108"/>
      <c r="P2874" s="91"/>
      <c r="Q2874" s="91"/>
      <c r="R2874" s="107"/>
      <c r="S2874" s="503"/>
    </row>
    <row r="2875" spans="1:19" ht="9.75" customHeight="1">
      <c r="A2875" s="503"/>
      <c r="B2875" s="503"/>
      <c r="C2875" s="1"/>
      <c r="D2875" s="108" t="s">
        <v>36</v>
      </c>
      <c r="E2875" s="108"/>
      <c r="F2875" s="91"/>
      <c r="G2875" s="91"/>
      <c r="H2875" s="91"/>
      <c r="I2875" s="91"/>
      <c r="J2875" s="91"/>
      <c r="K2875" s="91"/>
      <c r="L2875" s="91"/>
      <c r="M2875" s="91"/>
      <c r="N2875" s="91"/>
      <c r="O2875" s="108"/>
      <c r="P2875" s="91"/>
      <c r="Q2875" s="91"/>
      <c r="R2875" s="107"/>
      <c r="S2875" s="503"/>
    </row>
    <row r="2876" spans="1:19" ht="9.75" customHeight="1">
      <c r="A2876" s="503"/>
      <c r="B2876" s="503"/>
      <c r="C2876" s="1"/>
      <c r="D2876" s="113" t="s">
        <v>37</v>
      </c>
      <c r="E2876" s="113"/>
      <c r="F2876" s="112"/>
      <c r="G2876" s="112"/>
      <c r="H2876" s="112"/>
      <c r="I2876" s="112"/>
      <c r="J2876" s="112"/>
      <c r="K2876" s="112"/>
      <c r="L2876" s="112"/>
      <c r="M2876" s="112"/>
      <c r="N2876" s="112"/>
      <c r="O2876" s="113"/>
      <c r="P2876" s="112"/>
      <c r="Q2876" s="112"/>
      <c r="R2876" s="165"/>
      <c r="S2876" s="503"/>
    </row>
    <row r="2877" spans="1:19" ht="9.75" customHeight="1">
      <c r="A2877" s="503"/>
      <c r="B2877" s="503" t="s">
        <v>127</v>
      </c>
      <c r="C2877" s="25"/>
      <c r="D2877" s="5" t="s">
        <v>38</v>
      </c>
      <c r="E2877" s="166">
        <f t="shared" ref="E2877:O2877" si="542">SUM(E2861:E2876)</f>
        <v>39</v>
      </c>
      <c r="F2877" s="167">
        <f t="shared" si="542"/>
        <v>4</v>
      </c>
      <c r="G2877" s="167">
        <f t="shared" si="542"/>
        <v>4</v>
      </c>
      <c r="H2877" s="167">
        <f t="shared" si="542"/>
        <v>5</v>
      </c>
      <c r="I2877" s="167">
        <f t="shared" si="542"/>
        <v>4</v>
      </c>
      <c r="J2877" s="167">
        <f t="shared" si="542"/>
        <v>7</v>
      </c>
      <c r="K2877" s="167">
        <f t="shared" si="542"/>
        <v>8</v>
      </c>
      <c r="L2877" s="167">
        <f t="shared" si="542"/>
        <v>13</v>
      </c>
      <c r="M2877" s="167">
        <f t="shared" si="542"/>
        <v>16</v>
      </c>
      <c r="N2877" s="167">
        <f t="shared" si="542"/>
        <v>20</v>
      </c>
      <c r="O2877" s="166">
        <f t="shared" si="542"/>
        <v>22</v>
      </c>
      <c r="P2877" s="167">
        <f>MIN(F2877:O2877)</f>
        <v>4</v>
      </c>
      <c r="Q2877" s="167">
        <f>E2877-P2877</f>
        <v>35</v>
      </c>
      <c r="R2877" s="168">
        <f>Q2877/E2877</f>
        <v>0.89743589743589747</v>
      </c>
      <c r="S2877" s="503"/>
    </row>
    <row r="2878" spans="1:19" ht="9.75" customHeight="1">
      <c r="A2878" s="503"/>
      <c r="B2878" s="503"/>
      <c r="C2878" s="1" t="s">
        <v>417</v>
      </c>
      <c r="D2878" s="108" t="s">
        <v>23</v>
      </c>
      <c r="E2878" s="108"/>
      <c r="F2878" s="91"/>
      <c r="G2878" s="91"/>
      <c r="H2878" s="91"/>
      <c r="I2878" s="91"/>
      <c r="J2878" s="91"/>
      <c r="K2878" s="91"/>
      <c r="L2878" s="91"/>
      <c r="M2878" s="91"/>
      <c r="N2878" s="91"/>
      <c r="O2878" s="108"/>
      <c r="P2878" s="91"/>
      <c r="Q2878" s="91"/>
      <c r="R2878" s="107"/>
      <c r="S2878" s="503"/>
    </row>
    <row r="2879" spans="1:19" ht="9.75" customHeight="1">
      <c r="A2879" s="503"/>
      <c r="B2879" s="503"/>
      <c r="C2879" s="13"/>
      <c r="D2879" s="108" t="s">
        <v>25</v>
      </c>
      <c r="E2879" s="108"/>
      <c r="F2879" s="91"/>
      <c r="G2879" s="91"/>
      <c r="H2879" s="91"/>
      <c r="I2879" s="91"/>
      <c r="J2879" s="91"/>
      <c r="K2879" s="91"/>
      <c r="L2879" s="91"/>
      <c r="M2879" s="91"/>
      <c r="N2879" s="91"/>
      <c r="O2879" s="108"/>
      <c r="P2879" s="91"/>
      <c r="Q2879" s="91"/>
      <c r="R2879" s="107"/>
      <c r="S2879" s="503"/>
    </row>
    <row r="2880" spans="1:19" ht="9.75" customHeight="1">
      <c r="A2880" s="503"/>
      <c r="B2880" s="503"/>
      <c r="C2880" s="13"/>
      <c r="D2880" s="108" t="s">
        <v>27</v>
      </c>
      <c r="E2880" s="108"/>
      <c r="F2880" s="91"/>
      <c r="G2880" s="91"/>
      <c r="H2880" s="91"/>
      <c r="I2880" s="91"/>
      <c r="J2880" s="91"/>
      <c r="K2880" s="91"/>
      <c r="L2880" s="91"/>
      <c r="M2880" s="91"/>
      <c r="N2880" s="91"/>
      <c r="O2880" s="108"/>
      <c r="P2880" s="91"/>
      <c r="Q2880" s="91"/>
      <c r="R2880" s="107"/>
      <c r="S2880" s="503"/>
    </row>
    <row r="2881" spans="1:19" ht="9.75" customHeight="1">
      <c r="A2881" s="503"/>
      <c r="B2881" s="503"/>
      <c r="C2881" s="13"/>
      <c r="D2881" s="108" t="s">
        <v>115</v>
      </c>
      <c r="E2881" s="108"/>
      <c r="F2881" s="91"/>
      <c r="G2881" s="91"/>
      <c r="H2881" s="91"/>
      <c r="I2881" s="91"/>
      <c r="J2881" s="91"/>
      <c r="K2881" s="91"/>
      <c r="L2881" s="91"/>
      <c r="M2881" s="91"/>
      <c r="N2881" s="91"/>
      <c r="O2881" s="108"/>
      <c r="P2881" s="91"/>
      <c r="Q2881" s="91"/>
      <c r="R2881" s="107"/>
      <c r="S2881" s="503"/>
    </row>
    <row r="2882" spans="1:19" ht="9.75" customHeight="1">
      <c r="A2882" s="503"/>
      <c r="B2882" s="503"/>
      <c r="C2882" s="1"/>
      <c r="D2882" s="108" t="s">
        <v>115</v>
      </c>
      <c r="E2882" s="108"/>
      <c r="F2882" s="91"/>
      <c r="G2882" s="91"/>
      <c r="H2882" s="91"/>
      <c r="I2882" s="91"/>
      <c r="J2882" s="91"/>
      <c r="K2882" s="91"/>
      <c r="L2882" s="91"/>
      <c r="M2882" s="91"/>
      <c r="N2882" s="91"/>
      <c r="O2882" s="108"/>
      <c r="P2882" s="91"/>
      <c r="Q2882" s="91"/>
      <c r="R2882" s="107"/>
      <c r="S2882" s="503"/>
    </row>
    <row r="2883" spans="1:19" ht="9.75" customHeight="1">
      <c r="A2883" s="503"/>
      <c r="B2883" s="503"/>
      <c r="C2883" s="1"/>
      <c r="D2883" s="108" t="s">
        <v>32</v>
      </c>
      <c r="E2883" s="108"/>
      <c r="F2883" s="11"/>
      <c r="G2883" s="11"/>
      <c r="H2883" s="11"/>
      <c r="I2883" s="11"/>
      <c r="J2883" s="11"/>
      <c r="K2883" s="11"/>
      <c r="L2883" s="11"/>
      <c r="M2883" s="11"/>
      <c r="N2883" s="11"/>
      <c r="O2883" s="136"/>
      <c r="P2883" s="91"/>
      <c r="Q2883" s="91"/>
      <c r="R2883" s="107"/>
      <c r="S2883" s="503"/>
    </row>
    <row r="2884" spans="1:19" ht="9.75" customHeight="1">
      <c r="A2884" s="503"/>
      <c r="B2884" s="503"/>
      <c r="C2884" s="1"/>
      <c r="D2884" s="108" t="s">
        <v>209</v>
      </c>
      <c r="E2884" s="136">
        <v>2</v>
      </c>
      <c r="F2884" s="11">
        <v>0</v>
      </c>
      <c r="G2884" s="11">
        <v>0</v>
      </c>
      <c r="H2884" s="11">
        <v>0</v>
      </c>
      <c r="I2884" s="11">
        <v>0</v>
      </c>
      <c r="J2884" s="11">
        <v>0</v>
      </c>
      <c r="K2884" s="11">
        <v>0</v>
      </c>
      <c r="L2884" s="11">
        <v>0</v>
      </c>
      <c r="M2884" s="11">
        <v>0</v>
      </c>
      <c r="N2884" s="11">
        <v>0</v>
      </c>
      <c r="O2884" s="136">
        <v>0</v>
      </c>
      <c r="P2884" s="11">
        <f>MIN(F2884:O2884)</f>
        <v>0</v>
      </c>
      <c r="Q2884" s="11">
        <f>E2884-P2884</f>
        <v>2</v>
      </c>
      <c r="R2884" s="122">
        <f>Q2884/E2884</f>
        <v>1</v>
      </c>
      <c r="S2884" s="503"/>
    </row>
    <row r="2885" spans="1:19" ht="9.75" customHeight="1">
      <c r="A2885" s="503"/>
      <c r="B2885" s="503"/>
      <c r="C2885" s="1"/>
      <c r="D2885" s="108" t="s">
        <v>120</v>
      </c>
      <c r="E2885" s="108"/>
      <c r="F2885" s="91"/>
      <c r="G2885" s="91"/>
      <c r="H2885" s="91"/>
      <c r="I2885" s="91"/>
      <c r="J2885" s="91"/>
      <c r="K2885" s="91"/>
      <c r="L2885" s="91"/>
      <c r="M2885" s="91"/>
      <c r="N2885" s="91"/>
      <c r="O2885" s="108"/>
      <c r="P2885" s="91"/>
      <c r="Q2885" s="91"/>
      <c r="R2885" s="107"/>
      <c r="S2885" s="503"/>
    </row>
    <row r="2886" spans="1:19" ht="9.75" customHeight="1">
      <c r="A2886" s="503"/>
      <c r="B2886" s="503"/>
      <c r="C2886" s="1"/>
      <c r="D2886" s="108" t="s">
        <v>120</v>
      </c>
      <c r="E2886" s="108"/>
      <c r="F2886" s="91"/>
      <c r="G2886" s="91"/>
      <c r="H2886" s="91"/>
      <c r="I2886" s="91"/>
      <c r="J2886" s="91"/>
      <c r="K2886" s="91"/>
      <c r="L2886" s="91"/>
      <c r="M2886" s="91"/>
      <c r="N2886" s="91"/>
      <c r="O2886" s="108"/>
      <c r="P2886" s="91"/>
      <c r="Q2886" s="91"/>
      <c r="R2886" s="107"/>
      <c r="S2886" s="503"/>
    </row>
    <row r="2887" spans="1:19" ht="9.75" customHeight="1">
      <c r="A2887" s="503"/>
      <c r="B2887" s="503"/>
      <c r="C2887" s="1"/>
      <c r="D2887" s="108" t="s">
        <v>120</v>
      </c>
      <c r="E2887" s="108"/>
      <c r="F2887" s="91"/>
      <c r="G2887" s="91"/>
      <c r="H2887" s="91"/>
      <c r="I2887" s="91"/>
      <c r="J2887" s="91"/>
      <c r="K2887" s="91"/>
      <c r="L2887" s="91"/>
      <c r="M2887" s="91"/>
      <c r="N2887" s="91"/>
      <c r="O2887" s="108"/>
      <c r="P2887" s="91"/>
      <c r="Q2887" s="91"/>
      <c r="R2887" s="107"/>
      <c r="S2887" s="503"/>
    </row>
    <row r="2888" spans="1:19" ht="9.75" customHeight="1">
      <c r="A2888" s="503"/>
      <c r="B2888" s="503"/>
      <c r="C2888" s="1"/>
      <c r="D2888" s="108" t="s">
        <v>120</v>
      </c>
      <c r="E2888" s="108"/>
      <c r="F2888" s="91"/>
      <c r="G2888" s="91"/>
      <c r="H2888" s="91"/>
      <c r="I2888" s="91"/>
      <c r="J2888" s="91"/>
      <c r="K2888" s="91"/>
      <c r="L2888" s="91"/>
      <c r="M2888" s="91"/>
      <c r="N2888" s="91"/>
      <c r="O2888" s="108"/>
      <c r="P2888" s="91"/>
      <c r="Q2888" s="91"/>
      <c r="R2888" s="107"/>
      <c r="S2888" s="503"/>
    </row>
    <row r="2889" spans="1:19" ht="9.75" customHeight="1">
      <c r="A2889" s="503"/>
      <c r="B2889" s="503"/>
      <c r="C2889" s="1"/>
      <c r="D2889" s="108" t="s">
        <v>120</v>
      </c>
      <c r="E2889" s="108"/>
      <c r="F2889" s="91"/>
      <c r="G2889" s="91"/>
      <c r="H2889" s="91"/>
      <c r="I2889" s="91"/>
      <c r="J2889" s="91"/>
      <c r="K2889" s="91"/>
      <c r="L2889" s="91"/>
      <c r="M2889" s="91"/>
      <c r="N2889" s="91"/>
      <c r="O2889" s="108"/>
      <c r="P2889" s="91"/>
      <c r="Q2889" s="91"/>
      <c r="R2889" s="107"/>
      <c r="S2889" s="503"/>
    </row>
    <row r="2890" spans="1:19" ht="9.75" customHeight="1">
      <c r="A2890" s="503"/>
      <c r="B2890" s="503"/>
      <c r="C2890" s="1"/>
      <c r="D2890" s="108" t="s">
        <v>34</v>
      </c>
      <c r="E2890" s="136">
        <v>10</v>
      </c>
      <c r="F2890" s="11">
        <v>0</v>
      </c>
      <c r="G2890" s="11">
        <v>0</v>
      </c>
      <c r="H2890" s="11">
        <v>0</v>
      </c>
      <c r="I2890" s="11">
        <v>0</v>
      </c>
      <c r="J2890" s="11">
        <v>0</v>
      </c>
      <c r="K2890" s="11">
        <v>2</v>
      </c>
      <c r="L2890" s="11">
        <v>5</v>
      </c>
      <c r="M2890" s="11">
        <v>5</v>
      </c>
      <c r="N2890" s="11">
        <v>5</v>
      </c>
      <c r="O2890" s="136">
        <v>6</v>
      </c>
      <c r="P2890" s="11">
        <f t="shared" ref="P2890:P2891" si="543">MIN(F2890:O2890)</f>
        <v>0</v>
      </c>
      <c r="Q2890" s="11">
        <f t="shared" ref="Q2890:Q2891" si="544">E2890-P2890</f>
        <v>10</v>
      </c>
      <c r="R2890" s="122">
        <f t="shared" ref="R2890:R2891" si="545">Q2890/E2890</f>
        <v>1</v>
      </c>
      <c r="S2890" s="503"/>
    </row>
    <row r="2891" spans="1:19" ht="9.75" customHeight="1">
      <c r="A2891" s="503"/>
      <c r="B2891" s="503"/>
      <c r="C2891" s="1"/>
      <c r="D2891" s="108" t="s">
        <v>35</v>
      </c>
      <c r="E2891" s="136">
        <v>2</v>
      </c>
      <c r="F2891" s="11">
        <v>2</v>
      </c>
      <c r="G2891" s="11">
        <v>2</v>
      </c>
      <c r="H2891" s="11">
        <v>2</v>
      </c>
      <c r="I2891" s="11">
        <v>1</v>
      </c>
      <c r="J2891" s="11">
        <v>1</v>
      </c>
      <c r="K2891" s="11">
        <v>1</v>
      </c>
      <c r="L2891" s="11">
        <v>1</v>
      </c>
      <c r="M2891" s="11">
        <v>2</v>
      </c>
      <c r="N2891" s="11">
        <v>2</v>
      </c>
      <c r="O2891" s="136">
        <v>2</v>
      </c>
      <c r="P2891" s="11">
        <f t="shared" si="543"/>
        <v>1</v>
      </c>
      <c r="Q2891" s="11">
        <f t="shared" si="544"/>
        <v>1</v>
      </c>
      <c r="R2891" s="122">
        <f t="shared" si="545"/>
        <v>0.5</v>
      </c>
      <c r="S2891" s="503"/>
    </row>
    <row r="2892" spans="1:19" ht="9.75" customHeight="1">
      <c r="A2892" s="503"/>
      <c r="B2892" s="503"/>
      <c r="C2892" s="1"/>
      <c r="D2892" s="108" t="s">
        <v>36</v>
      </c>
      <c r="E2892" s="108"/>
      <c r="F2892" s="91"/>
      <c r="G2892" s="91"/>
      <c r="H2892" s="91"/>
      <c r="I2892" s="91"/>
      <c r="J2892" s="91"/>
      <c r="K2892" s="91"/>
      <c r="L2892" s="91"/>
      <c r="M2892" s="91"/>
      <c r="N2892" s="91"/>
      <c r="O2892" s="108"/>
      <c r="P2892" s="91"/>
      <c r="Q2892" s="91"/>
      <c r="R2892" s="107"/>
      <c r="S2892" s="503"/>
    </row>
    <row r="2893" spans="1:19" ht="9.75" customHeight="1">
      <c r="A2893" s="503"/>
      <c r="B2893" s="503"/>
      <c r="C2893" s="1"/>
      <c r="D2893" s="113" t="s">
        <v>37</v>
      </c>
      <c r="E2893" s="113"/>
      <c r="F2893" s="112"/>
      <c r="G2893" s="112"/>
      <c r="H2893" s="112"/>
      <c r="I2893" s="112"/>
      <c r="J2893" s="112"/>
      <c r="K2893" s="112"/>
      <c r="L2893" s="112"/>
      <c r="M2893" s="112"/>
      <c r="N2893" s="112"/>
      <c r="O2893" s="113"/>
      <c r="P2893" s="112"/>
      <c r="Q2893" s="112"/>
      <c r="R2893" s="165"/>
      <c r="S2893" s="503"/>
    </row>
    <row r="2894" spans="1:19" ht="9.75" customHeight="1">
      <c r="A2894" s="503"/>
      <c r="B2894" s="503" t="s">
        <v>127</v>
      </c>
      <c r="C2894" s="25"/>
      <c r="D2894" s="5" t="s">
        <v>38</v>
      </c>
      <c r="E2894" s="166">
        <f t="shared" ref="E2894:O2894" si="546">SUM(E2878:E2893)</f>
        <v>14</v>
      </c>
      <c r="F2894" s="167">
        <f t="shared" si="546"/>
        <v>2</v>
      </c>
      <c r="G2894" s="167">
        <f t="shared" si="546"/>
        <v>2</v>
      </c>
      <c r="H2894" s="167">
        <f t="shared" si="546"/>
        <v>2</v>
      </c>
      <c r="I2894" s="167">
        <f t="shared" si="546"/>
        <v>1</v>
      </c>
      <c r="J2894" s="167">
        <f t="shared" si="546"/>
        <v>1</v>
      </c>
      <c r="K2894" s="167">
        <f t="shared" si="546"/>
        <v>3</v>
      </c>
      <c r="L2894" s="167">
        <f t="shared" si="546"/>
        <v>6</v>
      </c>
      <c r="M2894" s="167">
        <f t="shared" si="546"/>
        <v>7</v>
      </c>
      <c r="N2894" s="167">
        <f t="shared" si="546"/>
        <v>7</v>
      </c>
      <c r="O2894" s="166">
        <f t="shared" si="546"/>
        <v>8</v>
      </c>
      <c r="P2894" s="167">
        <f>MIN(F2894:O2894)</f>
        <v>1</v>
      </c>
      <c r="Q2894" s="167">
        <f>E2894-P2894</f>
        <v>13</v>
      </c>
      <c r="R2894" s="168">
        <f>Q2894/E2894</f>
        <v>0.9285714285714286</v>
      </c>
      <c r="S2894" s="503"/>
    </row>
    <row r="2895" spans="1:19" ht="9.75" customHeight="1">
      <c r="A2895" s="503"/>
      <c r="B2895" s="503"/>
      <c r="C2895" s="1" t="s">
        <v>418</v>
      </c>
      <c r="D2895" s="108" t="s">
        <v>23</v>
      </c>
      <c r="E2895" s="108"/>
      <c r="F2895" s="91"/>
      <c r="G2895" s="91"/>
      <c r="H2895" s="91"/>
      <c r="I2895" s="91"/>
      <c r="J2895" s="91"/>
      <c r="K2895" s="91"/>
      <c r="L2895" s="91"/>
      <c r="M2895" s="91"/>
      <c r="N2895" s="91"/>
      <c r="O2895" s="108"/>
      <c r="P2895" s="91"/>
      <c r="Q2895" s="91"/>
      <c r="R2895" s="107"/>
      <c r="S2895" s="503"/>
    </row>
    <row r="2896" spans="1:19" ht="9.75" customHeight="1">
      <c r="A2896" s="503"/>
      <c r="B2896" s="503"/>
      <c r="C2896" s="13"/>
      <c r="D2896" s="108" t="s">
        <v>25</v>
      </c>
      <c r="E2896" s="108"/>
      <c r="F2896" s="91"/>
      <c r="G2896" s="91"/>
      <c r="H2896" s="91"/>
      <c r="I2896" s="91"/>
      <c r="J2896" s="91"/>
      <c r="K2896" s="91"/>
      <c r="L2896" s="91"/>
      <c r="M2896" s="91"/>
      <c r="N2896" s="91"/>
      <c r="O2896" s="108"/>
      <c r="P2896" s="91"/>
      <c r="Q2896" s="91"/>
      <c r="R2896" s="107"/>
      <c r="S2896" s="503"/>
    </row>
    <row r="2897" spans="1:19" ht="9.75" customHeight="1">
      <c r="A2897" s="503"/>
      <c r="B2897" s="503"/>
      <c r="C2897" s="13"/>
      <c r="D2897" s="108" t="s">
        <v>27</v>
      </c>
      <c r="E2897" s="108"/>
      <c r="F2897" s="91"/>
      <c r="G2897" s="91"/>
      <c r="H2897" s="91"/>
      <c r="I2897" s="91"/>
      <c r="J2897" s="91"/>
      <c r="K2897" s="91"/>
      <c r="L2897" s="91"/>
      <c r="M2897" s="91"/>
      <c r="N2897" s="91"/>
      <c r="O2897" s="108"/>
      <c r="P2897" s="91"/>
      <c r="Q2897" s="91"/>
      <c r="R2897" s="107"/>
      <c r="S2897" s="503"/>
    </row>
    <row r="2898" spans="1:19" ht="9.75" customHeight="1">
      <c r="A2898" s="503"/>
      <c r="B2898" s="503"/>
      <c r="C2898" s="13"/>
      <c r="D2898" s="108" t="s">
        <v>115</v>
      </c>
      <c r="E2898" s="108"/>
      <c r="F2898" s="91"/>
      <c r="G2898" s="91"/>
      <c r="H2898" s="91"/>
      <c r="I2898" s="91"/>
      <c r="J2898" s="91"/>
      <c r="K2898" s="91"/>
      <c r="L2898" s="91"/>
      <c r="M2898" s="91"/>
      <c r="N2898" s="91"/>
      <c r="O2898" s="108"/>
      <c r="P2898" s="91"/>
      <c r="Q2898" s="91"/>
      <c r="R2898" s="107"/>
      <c r="S2898" s="503"/>
    </row>
    <row r="2899" spans="1:19" ht="9.75" customHeight="1">
      <c r="A2899" s="503"/>
      <c r="B2899" s="503"/>
      <c r="C2899" s="1"/>
      <c r="D2899" s="108" t="s">
        <v>115</v>
      </c>
      <c r="E2899" s="108"/>
      <c r="F2899" s="153"/>
      <c r="G2899" s="91"/>
      <c r="H2899" s="91"/>
      <c r="I2899" s="91"/>
      <c r="J2899" s="91"/>
      <c r="K2899" s="91"/>
      <c r="L2899" s="91"/>
      <c r="M2899" s="91"/>
      <c r="N2899" s="91"/>
      <c r="O2899" s="108"/>
      <c r="P2899" s="91"/>
      <c r="Q2899" s="91"/>
      <c r="R2899" s="107"/>
      <c r="S2899" s="503"/>
    </row>
    <row r="2900" spans="1:19" ht="9.75" customHeight="1">
      <c r="A2900" s="503"/>
      <c r="B2900" s="503"/>
      <c r="C2900" s="1"/>
      <c r="D2900" s="108" t="s">
        <v>32</v>
      </c>
      <c r="E2900" s="136">
        <v>19</v>
      </c>
      <c r="F2900" s="11">
        <v>18</v>
      </c>
      <c r="G2900" s="11">
        <v>18</v>
      </c>
      <c r="H2900" s="11">
        <v>17</v>
      </c>
      <c r="I2900" s="11">
        <v>17</v>
      </c>
      <c r="J2900" s="11">
        <v>19</v>
      </c>
      <c r="K2900" s="11">
        <v>18</v>
      </c>
      <c r="L2900" s="11">
        <v>18</v>
      </c>
      <c r="M2900" s="11">
        <v>18</v>
      </c>
      <c r="N2900" s="11">
        <v>18</v>
      </c>
      <c r="O2900" s="136">
        <v>17</v>
      </c>
      <c r="P2900" s="11">
        <f t="shared" ref="P2900:P2901" si="547">MIN(F2900:O2900)</f>
        <v>17</v>
      </c>
      <c r="Q2900" s="11">
        <f t="shared" ref="Q2900:Q2901" si="548">E2900-P2900</f>
        <v>2</v>
      </c>
      <c r="R2900" s="122">
        <f t="shared" ref="R2900:R2901" si="549">Q2900/E2900</f>
        <v>0.10526315789473684</v>
      </c>
      <c r="S2900" s="503"/>
    </row>
    <row r="2901" spans="1:19" ht="9.75" customHeight="1">
      <c r="A2901" s="503"/>
      <c r="B2901" s="503"/>
      <c r="C2901" s="1"/>
      <c r="D2901" s="108" t="s">
        <v>118</v>
      </c>
      <c r="E2901" s="136">
        <v>12</v>
      </c>
      <c r="F2901" s="11">
        <v>7</v>
      </c>
      <c r="G2901" s="11">
        <v>7</v>
      </c>
      <c r="H2901" s="11">
        <v>8</v>
      </c>
      <c r="I2901" s="11">
        <v>8</v>
      </c>
      <c r="J2901" s="11">
        <v>6</v>
      </c>
      <c r="K2901" s="11">
        <v>5</v>
      </c>
      <c r="L2901" s="11">
        <v>5</v>
      </c>
      <c r="M2901" s="11">
        <v>5</v>
      </c>
      <c r="N2901" s="11">
        <v>5</v>
      </c>
      <c r="O2901" s="136">
        <v>9</v>
      </c>
      <c r="P2901" s="11">
        <f t="shared" si="547"/>
        <v>5</v>
      </c>
      <c r="Q2901" s="11">
        <f t="shared" si="548"/>
        <v>7</v>
      </c>
      <c r="R2901" s="122">
        <f t="shared" si="549"/>
        <v>0.58333333333333337</v>
      </c>
      <c r="S2901" s="503"/>
    </row>
    <row r="2902" spans="1:19" ht="9.75" customHeight="1">
      <c r="A2902" s="503"/>
      <c r="B2902" s="503"/>
      <c r="C2902" s="1"/>
      <c r="D2902" s="108" t="s">
        <v>120</v>
      </c>
      <c r="E2902" s="108"/>
      <c r="F2902" s="91"/>
      <c r="G2902" s="91"/>
      <c r="H2902" s="91"/>
      <c r="I2902" s="91"/>
      <c r="J2902" s="91"/>
      <c r="K2902" s="91"/>
      <c r="L2902" s="91"/>
      <c r="M2902" s="91"/>
      <c r="N2902" s="91"/>
      <c r="O2902" s="108"/>
      <c r="P2902" s="91"/>
      <c r="Q2902" s="91"/>
      <c r="R2902" s="107"/>
      <c r="S2902" s="503"/>
    </row>
    <row r="2903" spans="1:19" ht="9.75" customHeight="1">
      <c r="A2903" s="503"/>
      <c r="B2903" s="503"/>
      <c r="C2903" s="1"/>
      <c r="D2903" s="108" t="s">
        <v>120</v>
      </c>
      <c r="E2903" s="108"/>
      <c r="F2903" s="91"/>
      <c r="G2903" s="91"/>
      <c r="H2903" s="91"/>
      <c r="I2903" s="91"/>
      <c r="J2903" s="91"/>
      <c r="K2903" s="91"/>
      <c r="L2903" s="91"/>
      <c r="M2903" s="91"/>
      <c r="N2903" s="91"/>
      <c r="O2903" s="108"/>
      <c r="P2903" s="91"/>
      <c r="Q2903" s="91"/>
      <c r="R2903" s="107"/>
      <c r="S2903" s="503"/>
    </row>
    <row r="2904" spans="1:19" ht="9.75" customHeight="1">
      <c r="A2904" s="503"/>
      <c r="B2904" s="503"/>
      <c r="C2904" s="1"/>
      <c r="D2904" s="108" t="s">
        <v>120</v>
      </c>
      <c r="E2904" s="108"/>
      <c r="F2904" s="91"/>
      <c r="G2904" s="91"/>
      <c r="H2904" s="91"/>
      <c r="I2904" s="91"/>
      <c r="J2904" s="91"/>
      <c r="K2904" s="91"/>
      <c r="L2904" s="91"/>
      <c r="M2904" s="91"/>
      <c r="N2904" s="91"/>
      <c r="O2904" s="108"/>
      <c r="P2904" s="91"/>
      <c r="Q2904" s="91"/>
      <c r="R2904" s="107"/>
      <c r="S2904" s="503"/>
    </row>
    <row r="2905" spans="1:19" ht="9.75" customHeight="1">
      <c r="A2905" s="503"/>
      <c r="B2905" s="503"/>
      <c r="C2905" s="1"/>
      <c r="D2905" s="108" t="s">
        <v>120</v>
      </c>
      <c r="E2905" s="108"/>
      <c r="F2905" s="91"/>
      <c r="G2905" s="91"/>
      <c r="H2905" s="91"/>
      <c r="I2905" s="91"/>
      <c r="J2905" s="91"/>
      <c r="K2905" s="91"/>
      <c r="L2905" s="91"/>
      <c r="M2905" s="91"/>
      <c r="N2905" s="91"/>
      <c r="O2905" s="108"/>
      <c r="P2905" s="91"/>
      <c r="Q2905" s="91"/>
      <c r="R2905" s="107"/>
      <c r="S2905" s="503"/>
    </row>
    <row r="2906" spans="1:19" ht="9.75" customHeight="1">
      <c r="A2906" s="503"/>
      <c r="B2906" s="503"/>
      <c r="C2906" s="1"/>
      <c r="D2906" s="108" t="s">
        <v>120</v>
      </c>
      <c r="E2906" s="108"/>
      <c r="F2906" s="91"/>
      <c r="G2906" s="91"/>
      <c r="H2906" s="91"/>
      <c r="I2906" s="91"/>
      <c r="J2906" s="91"/>
      <c r="K2906" s="91"/>
      <c r="L2906" s="91"/>
      <c r="M2906" s="91"/>
      <c r="N2906" s="91"/>
      <c r="O2906" s="108"/>
      <c r="P2906" s="91"/>
      <c r="Q2906" s="91"/>
      <c r="R2906" s="107"/>
      <c r="S2906" s="503"/>
    </row>
    <row r="2907" spans="1:19" ht="9.75" customHeight="1">
      <c r="A2907" s="503"/>
      <c r="B2907" s="503"/>
      <c r="C2907" s="1"/>
      <c r="D2907" s="108" t="s">
        <v>34</v>
      </c>
      <c r="E2907" s="108"/>
      <c r="F2907" s="91"/>
      <c r="G2907" s="91"/>
      <c r="H2907" s="91"/>
      <c r="I2907" s="91"/>
      <c r="J2907" s="91"/>
      <c r="K2907" s="91"/>
      <c r="L2907" s="91"/>
      <c r="M2907" s="91"/>
      <c r="N2907" s="91"/>
      <c r="O2907" s="108"/>
      <c r="P2907" s="91"/>
      <c r="Q2907" s="91"/>
      <c r="R2907" s="107"/>
      <c r="S2907" s="503"/>
    </row>
    <row r="2908" spans="1:19" ht="9.75" customHeight="1">
      <c r="A2908" s="503"/>
      <c r="B2908" s="503"/>
      <c r="C2908" s="1"/>
      <c r="D2908" s="108" t="s">
        <v>35</v>
      </c>
      <c r="E2908" s="108"/>
      <c r="F2908" s="91"/>
      <c r="G2908" s="91"/>
      <c r="H2908" s="91"/>
      <c r="I2908" s="91"/>
      <c r="J2908" s="91"/>
      <c r="K2908" s="91"/>
      <c r="L2908" s="91"/>
      <c r="M2908" s="91"/>
      <c r="N2908" s="91"/>
      <c r="O2908" s="108"/>
      <c r="P2908" s="91"/>
      <c r="Q2908" s="91"/>
      <c r="R2908" s="107"/>
      <c r="S2908" s="503"/>
    </row>
    <row r="2909" spans="1:19" ht="9.75" customHeight="1">
      <c r="A2909" s="503"/>
      <c r="B2909" s="503"/>
      <c r="C2909" s="1"/>
      <c r="D2909" s="108" t="s">
        <v>36</v>
      </c>
      <c r="E2909" s="108"/>
      <c r="F2909" s="91"/>
      <c r="G2909" s="91"/>
      <c r="H2909" s="91"/>
      <c r="I2909" s="91"/>
      <c r="J2909" s="91"/>
      <c r="K2909" s="91"/>
      <c r="L2909" s="91"/>
      <c r="M2909" s="91"/>
      <c r="N2909" s="91"/>
      <c r="O2909" s="108"/>
      <c r="P2909" s="91"/>
      <c r="Q2909" s="91"/>
      <c r="R2909" s="107"/>
      <c r="S2909" s="503"/>
    </row>
    <row r="2910" spans="1:19" ht="9.75" customHeight="1">
      <c r="A2910" s="503"/>
      <c r="B2910" s="503"/>
      <c r="C2910" s="1"/>
      <c r="D2910" s="113" t="s">
        <v>37</v>
      </c>
      <c r="E2910" s="113"/>
      <c r="F2910" s="112"/>
      <c r="G2910" s="112"/>
      <c r="H2910" s="112"/>
      <c r="I2910" s="112"/>
      <c r="J2910" s="112"/>
      <c r="K2910" s="112"/>
      <c r="L2910" s="112"/>
      <c r="M2910" s="112"/>
      <c r="N2910" s="112"/>
      <c r="O2910" s="113"/>
      <c r="P2910" s="112"/>
      <c r="Q2910" s="112"/>
      <c r="R2910" s="165"/>
      <c r="S2910" s="503"/>
    </row>
    <row r="2911" spans="1:19" ht="9.75" customHeight="1">
      <c r="A2911" s="503"/>
      <c r="B2911" s="503" t="s">
        <v>127</v>
      </c>
      <c r="C2911" s="25"/>
      <c r="D2911" s="5" t="s">
        <v>38</v>
      </c>
      <c r="E2911" s="166">
        <f t="shared" ref="E2911:O2911" si="550">SUM(E2895:E2910)</f>
        <v>31</v>
      </c>
      <c r="F2911" s="167">
        <f t="shared" si="550"/>
        <v>25</v>
      </c>
      <c r="G2911" s="167">
        <f t="shared" si="550"/>
        <v>25</v>
      </c>
      <c r="H2911" s="167">
        <f t="shared" si="550"/>
        <v>25</v>
      </c>
      <c r="I2911" s="167">
        <f t="shared" si="550"/>
        <v>25</v>
      </c>
      <c r="J2911" s="167">
        <f t="shared" si="550"/>
        <v>25</v>
      </c>
      <c r="K2911" s="167">
        <f t="shared" si="550"/>
        <v>23</v>
      </c>
      <c r="L2911" s="167">
        <f t="shared" si="550"/>
        <v>23</v>
      </c>
      <c r="M2911" s="167">
        <f t="shared" si="550"/>
        <v>23</v>
      </c>
      <c r="N2911" s="167">
        <f t="shared" si="550"/>
        <v>23</v>
      </c>
      <c r="O2911" s="166">
        <f t="shared" si="550"/>
        <v>26</v>
      </c>
      <c r="P2911" s="167">
        <f t="shared" ref="P2911:P2912" si="551">MIN(F2911:O2911)</f>
        <v>23</v>
      </c>
      <c r="Q2911" s="167">
        <f t="shared" ref="Q2911:Q2912" si="552">E2911-P2911</f>
        <v>8</v>
      </c>
      <c r="R2911" s="168">
        <f t="shared" ref="R2911:R2912" si="553">Q2911/E2911</f>
        <v>0.25806451612903225</v>
      </c>
      <c r="S2911" s="503"/>
    </row>
    <row r="2912" spans="1:19" ht="9.75" customHeight="1">
      <c r="A2912" s="503"/>
      <c r="B2912" s="503"/>
      <c r="C2912" s="1" t="s">
        <v>419</v>
      </c>
      <c r="D2912" s="108" t="s">
        <v>23</v>
      </c>
      <c r="E2912" s="136">
        <v>44</v>
      </c>
      <c r="F2912" s="11">
        <v>0</v>
      </c>
      <c r="G2912" s="11">
        <v>0</v>
      </c>
      <c r="H2912" s="11">
        <v>2</v>
      </c>
      <c r="I2912" s="11">
        <v>5</v>
      </c>
      <c r="J2912" s="11">
        <v>10</v>
      </c>
      <c r="K2912" s="11">
        <v>12</v>
      </c>
      <c r="L2912" s="11">
        <v>5</v>
      </c>
      <c r="M2912" s="11">
        <v>6</v>
      </c>
      <c r="N2912" s="11">
        <v>21</v>
      </c>
      <c r="O2912" s="136">
        <v>27</v>
      </c>
      <c r="P2912" s="11">
        <f t="shared" si="551"/>
        <v>0</v>
      </c>
      <c r="Q2912" s="11">
        <f t="shared" si="552"/>
        <v>44</v>
      </c>
      <c r="R2912" s="122">
        <f t="shared" si="553"/>
        <v>1</v>
      </c>
      <c r="S2912" s="503"/>
    </row>
    <row r="2913" spans="1:19" ht="9.75" customHeight="1">
      <c r="A2913" s="503"/>
      <c r="B2913" s="503"/>
      <c r="C2913" s="13"/>
      <c r="D2913" s="108" t="s">
        <v>25</v>
      </c>
      <c r="E2913" s="108"/>
      <c r="F2913" s="91"/>
      <c r="G2913" s="91"/>
      <c r="H2913" s="91"/>
      <c r="I2913" s="91"/>
      <c r="J2913" s="91"/>
      <c r="K2913" s="91"/>
      <c r="L2913" s="91"/>
      <c r="M2913" s="91"/>
      <c r="N2913" s="91"/>
      <c r="O2913" s="108"/>
      <c r="P2913" s="91"/>
      <c r="Q2913" s="91"/>
      <c r="R2913" s="107"/>
      <c r="S2913" s="503"/>
    </row>
    <row r="2914" spans="1:19" ht="9.75" customHeight="1">
      <c r="A2914" s="503"/>
      <c r="B2914" s="503"/>
      <c r="C2914" s="13"/>
      <c r="D2914" s="108" t="s">
        <v>27</v>
      </c>
      <c r="E2914" s="108"/>
      <c r="F2914" s="91"/>
      <c r="G2914" s="91"/>
      <c r="H2914" s="91"/>
      <c r="I2914" s="91"/>
      <c r="J2914" s="91"/>
      <c r="K2914" s="91"/>
      <c r="L2914" s="91"/>
      <c r="M2914" s="91"/>
      <c r="N2914" s="91"/>
      <c r="O2914" s="108"/>
      <c r="P2914" s="91"/>
      <c r="Q2914" s="91"/>
      <c r="R2914" s="107"/>
      <c r="S2914" s="503"/>
    </row>
    <row r="2915" spans="1:19" ht="9.75" customHeight="1">
      <c r="A2915" s="503"/>
      <c r="B2915" s="503"/>
      <c r="C2915" s="13"/>
      <c r="D2915" s="108" t="s">
        <v>115</v>
      </c>
      <c r="E2915" s="108"/>
      <c r="F2915" s="91"/>
      <c r="G2915" s="91"/>
      <c r="H2915" s="91"/>
      <c r="I2915" s="91"/>
      <c r="J2915" s="91"/>
      <c r="K2915" s="91"/>
      <c r="L2915" s="91"/>
      <c r="M2915" s="91"/>
      <c r="N2915" s="91"/>
      <c r="O2915" s="108"/>
      <c r="P2915" s="91"/>
      <c r="Q2915" s="91"/>
      <c r="R2915" s="107"/>
      <c r="S2915" s="503"/>
    </row>
    <row r="2916" spans="1:19" ht="9.75" customHeight="1">
      <c r="A2916" s="503"/>
      <c r="B2916" s="503"/>
      <c r="C2916" s="1"/>
      <c r="D2916" s="108" t="s">
        <v>115</v>
      </c>
      <c r="E2916" s="108"/>
      <c r="F2916" s="91"/>
      <c r="G2916" s="91"/>
      <c r="H2916" s="91"/>
      <c r="I2916" s="91"/>
      <c r="J2916" s="91"/>
      <c r="K2916" s="91"/>
      <c r="L2916" s="91"/>
      <c r="M2916" s="91"/>
      <c r="N2916" s="91"/>
      <c r="O2916" s="108"/>
      <c r="P2916" s="91"/>
      <c r="Q2916" s="91"/>
      <c r="R2916" s="107"/>
      <c r="S2916" s="503"/>
    </row>
    <row r="2917" spans="1:19" ht="9.75" customHeight="1">
      <c r="A2917" s="503"/>
      <c r="B2917" s="503"/>
      <c r="C2917" s="1"/>
      <c r="D2917" s="108" t="s">
        <v>32</v>
      </c>
      <c r="E2917" s="108"/>
      <c r="F2917" s="91"/>
      <c r="G2917" s="91"/>
      <c r="H2917" s="91"/>
      <c r="I2917" s="91"/>
      <c r="J2917" s="91"/>
      <c r="K2917" s="91"/>
      <c r="L2917" s="91"/>
      <c r="M2917" s="91"/>
      <c r="N2917" s="91"/>
      <c r="O2917" s="108"/>
      <c r="P2917" s="91"/>
      <c r="Q2917" s="91"/>
      <c r="R2917" s="107"/>
      <c r="S2917" s="503"/>
    </row>
    <row r="2918" spans="1:19" ht="9.75" customHeight="1">
      <c r="A2918" s="503"/>
      <c r="B2918" s="503"/>
      <c r="C2918" s="1"/>
      <c r="D2918" s="108" t="s">
        <v>120</v>
      </c>
      <c r="E2918" s="108"/>
      <c r="F2918" s="91"/>
      <c r="G2918" s="91"/>
      <c r="H2918" s="91"/>
      <c r="I2918" s="91"/>
      <c r="J2918" s="91"/>
      <c r="K2918" s="91"/>
      <c r="L2918" s="91"/>
      <c r="M2918" s="91"/>
      <c r="N2918" s="91"/>
      <c r="O2918" s="108"/>
      <c r="P2918" s="91"/>
      <c r="Q2918" s="91"/>
      <c r="R2918" s="107"/>
      <c r="S2918" s="503"/>
    </row>
    <row r="2919" spans="1:19" ht="9.75" customHeight="1">
      <c r="A2919" s="503"/>
      <c r="B2919" s="503"/>
      <c r="C2919" s="1"/>
      <c r="D2919" s="108" t="s">
        <v>120</v>
      </c>
      <c r="E2919" s="108"/>
      <c r="F2919" s="91"/>
      <c r="G2919" s="91"/>
      <c r="H2919" s="91"/>
      <c r="I2919" s="91"/>
      <c r="J2919" s="91"/>
      <c r="K2919" s="91"/>
      <c r="L2919" s="91"/>
      <c r="M2919" s="91"/>
      <c r="N2919" s="91"/>
      <c r="O2919" s="108"/>
      <c r="P2919" s="91"/>
      <c r="Q2919" s="91"/>
      <c r="R2919" s="107"/>
      <c r="S2919" s="503"/>
    </row>
    <row r="2920" spans="1:19" ht="9.75" customHeight="1">
      <c r="A2920" s="503"/>
      <c r="B2920" s="503"/>
      <c r="C2920" s="1"/>
      <c r="D2920" s="108" t="s">
        <v>120</v>
      </c>
      <c r="E2920" s="108"/>
      <c r="F2920" s="91"/>
      <c r="G2920" s="91"/>
      <c r="H2920" s="91"/>
      <c r="I2920" s="91"/>
      <c r="J2920" s="91"/>
      <c r="K2920" s="91"/>
      <c r="L2920" s="91"/>
      <c r="M2920" s="91"/>
      <c r="N2920" s="91"/>
      <c r="O2920" s="108"/>
      <c r="P2920" s="91"/>
      <c r="Q2920" s="91"/>
      <c r="R2920" s="107"/>
      <c r="S2920" s="503"/>
    </row>
    <row r="2921" spans="1:19" ht="9.75" customHeight="1">
      <c r="A2921" s="503"/>
      <c r="B2921" s="503"/>
      <c r="C2921" s="1"/>
      <c r="D2921" s="108" t="s">
        <v>120</v>
      </c>
      <c r="E2921" s="108"/>
      <c r="F2921" s="91"/>
      <c r="G2921" s="91"/>
      <c r="H2921" s="91"/>
      <c r="I2921" s="91"/>
      <c r="J2921" s="91"/>
      <c r="K2921" s="91"/>
      <c r="L2921" s="91"/>
      <c r="M2921" s="91"/>
      <c r="N2921" s="91"/>
      <c r="O2921" s="108"/>
      <c r="P2921" s="91"/>
      <c r="Q2921" s="91"/>
      <c r="R2921" s="107"/>
      <c r="S2921" s="503"/>
    </row>
    <row r="2922" spans="1:19" ht="9.75" customHeight="1">
      <c r="A2922" s="503"/>
      <c r="B2922" s="503"/>
      <c r="C2922" s="1"/>
      <c r="D2922" s="108" t="s">
        <v>120</v>
      </c>
      <c r="E2922" s="108"/>
      <c r="F2922" s="91"/>
      <c r="G2922" s="91"/>
      <c r="H2922" s="91"/>
      <c r="I2922" s="91"/>
      <c r="J2922" s="91"/>
      <c r="K2922" s="91"/>
      <c r="L2922" s="91"/>
      <c r="M2922" s="91"/>
      <c r="N2922" s="91"/>
      <c r="O2922" s="108"/>
      <c r="P2922" s="91"/>
      <c r="Q2922" s="91"/>
      <c r="R2922" s="107"/>
      <c r="S2922" s="503"/>
    </row>
    <row r="2923" spans="1:19" ht="9.75" customHeight="1">
      <c r="A2923" s="503"/>
      <c r="B2923" s="503"/>
      <c r="C2923" s="1"/>
      <c r="D2923" s="108" t="s">
        <v>120</v>
      </c>
      <c r="E2923" s="108"/>
      <c r="F2923" s="91"/>
      <c r="G2923" s="91"/>
      <c r="H2923" s="91"/>
      <c r="I2923" s="91"/>
      <c r="J2923" s="91"/>
      <c r="K2923" s="91"/>
      <c r="L2923" s="91"/>
      <c r="M2923" s="91"/>
      <c r="N2923" s="91"/>
      <c r="O2923" s="108"/>
      <c r="P2923" s="91"/>
      <c r="Q2923" s="91"/>
      <c r="R2923" s="107"/>
      <c r="S2923" s="503"/>
    </row>
    <row r="2924" spans="1:19" ht="9.75" customHeight="1">
      <c r="A2924" s="503"/>
      <c r="B2924" s="503"/>
      <c r="C2924" s="1"/>
      <c r="D2924" s="108" t="s">
        <v>34</v>
      </c>
      <c r="E2924" s="136">
        <v>3</v>
      </c>
      <c r="F2924" s="11">
        <v>1</v>
      </c>
      <c r="G2924" s="11">
        <v>1</v>
      </c>
      <c r="H2924" s="11">
        <v>1</v>
      </c>
      <c r="I2924" s="11">
        <v>2</v>
      </c>
      <c r="J2924" s="11">
        <v>2</v>
      </c>
      <c r="K2924" s="11">
        <v>1</v>
      </c>
      <c r="L2924" s="11">
        <v>1</v>
      </c>
      <c r="M2924" s="11">
        <v>1</v>
      </c>
      <c r="N2924" s="11">
        <v>2</v>
      </c>
      <c r="O2924" s="136">
        <v>2</v>
      </c>
      <c r="P2924" s="11">
        <f>MIN(F2924:O2924)</f>
        <v>1</v>
      </c>
      <c r="Q2924" s="11">
        <f>E2924-P2924</f>
        <v>2</v>
      </c>
      <c r="R2924" s="122">
        <f>Q2924/E2924</f>
        <v>0.66666666666666663</v>
      </c>
      <c r="S2924" s="503"/>
    </row>
    <row r="2925" spans="1:19" ht="9.75" customHeight="1">
      <c r="A2925" s="503"/>
      <c r="B2925" s="503"/>
      <c r="C2925" s="1"/>
      <c r="D2925" s="108" t="s">
        <v>35</v>
      </c>
      <c r="E2925" s="108"/>
      <c r="F2925" s="91"/>
      <c r="G2925" s="91"/>
      <c r="H2925" s="91"/>
      <c r="I2925" s="91"/>
      <c r="J2925" s="91"/>
      <c r="K2925" s="91"/>
      <c r="L2925" s="91"/>
      <c r="M2925" s="91"/>
      <c r="N2925" s="91"/>
      <c r="O2925" s="108"/>
      <c r="P2925" s="91"/>
      <c r="Q2925" s="91"/>
      <c r="R2925" s="107"/>
      <c r="S2925" s="503"/>
    </row>
    <row r="2926" spans="1:19" ht="9.75" customHeight="1">
      <c r="A2926" s="503"/>
      <c r="B2926" s="503"/>
      <c r="C2926" s="1"/>
      <c r="D2926" s="108" t="s">
        <v>36</v>
      </c>
      <c r="E2926" s="108"/>
      <c r="F2926" s="91"/>
      <c r="G2926" s="91"/>
      <c r="H2926" s="91"/>
      <c r="I2926" s="91"/>
      <c r="J2926" s="91"/>
      <c r="K2926" s="91"/>
      <c r="L2926" s="91"/>
      <c r="M2926" s="91"/>
      <c r="N2926" s="91"/>
      <c r="O2926" s="108"/>
      <c r="P2926" s="91"/>
      <c r="Q2926" s="91"/>
      <c r="R2926" s="107"/>
      <c r="S2926" s="503"/>
    </row>
    <row r="2927" spans="1:19" ht="9.75" customHeight="1">
      <c r="A2927" s="503"/>
      <c r="B2927" s="503"/>
      <c r="C2927" s="1"/>
      <c r="D2927" s="113" t="s">
        <v>37</v>
      </c>
      <c r="E2927" s="113"/>
      <c r="F2927" s="112"/>
      <c r="G2927" s="112"/>
      <c r="H2927" s="112"/>
      <c r="I2927" s="112"/>
      <c r="J2927" s="112"/>
      <c r="K2927" s="112"/>
      <c r="L2927" s="112"/>
      <c r="M2927" s="112"/>
      <c r="N2927" s="112"/>
      <c r="O2927" s="113"/>
      <c r="P2927" s="112"/>
      <c r="Q2927" s="112"/>
      <c r="R2927" s="165"/>
      <c r="S2927" s="503"/>
    </row>
    <row r="2928" spans="1:19" ht="9.75" customHeight="1">
      <c r="A2928" s="503"/>
      <c r="B2928" s="503" t="s">
        <v>127</v>
      </c>
      <c r="C2928" s="25"/>
      <c r="D2928" s="5" t="s">
        <v>38</v>
      </c>
      <c r="E2928" s="166">
        <f t="shared" ref="E2928:O2928" si="554">SUM(E2912:E2927)</f>
        <v>47</v>
      </c>
      <c r="F2928" s="167">
        <f t="shared" si="554"/>
        <v>1</v>
      </c>
      <c r="G2928" s="167">
        <f t="shared" si="554"/>
        <v>1</v>
      </c>
      <c r="H2928" s="167">
        <f t="shared" si="554"/>
        <v>3</v>
      </c>
      <c r="I2928" s="167">
        <f t="shared" si="554"/>
        <v>7</v>
      </c>
      <c r="J2928" s="167">
        <f t="shared" si="554"/>
        <v>12</v>
      </c>
      <c r="K2928" s="167">
        <f t="shared" si="554"/>
        <v>13</v>
      </c>
      <c r="L2928" s="167">
        <f t="shared" si="554"/>
        <v>6</v>
      </c>
      <c r="M2928" s="167">
        <f t="shared" si="554"/>
        <v>7</v>
      </c>
      <c r="N2928" s="167">
        <f t="shared" si="554"/>
        <v>23</v>
      </c>
      <c r="O2928" s="166">
        <f t="shared" si="554"/>
        <v>29</v>
      </c>
      <c r="P2928" s="167">
        <f t="shared" ref="P2928:P2929" si="555">MIN(F2928:O2928)</f>
        <v>1</v>
      </c>
      <c r="Q2928" s="167">
        <f t="shared" ref="Q2928:Q2929" si="556">E2928-P2928</f>
        <v>46</v>
      </c>
      <c r="R2928" s="168">
        <f t="shared" ref="R2928:R2929" si="557">Q2928/E2928</f>
        <v>0.97872340425531912</v>
      </c>
      <c r="S2928" s="503"/>
    </row>
    <row r="2929" spans="1:19" ht="9.75" customHeight="1">
      <c r="A2929" s="503"/>
      <c r="B2929" s="503"/>
      <c r="C2929" s="1" t="s">
        <v>420</v>
      </c>
      <c r="D2929" s="108" t="s">
        <v>23</v>
      </c>
      <c r="E2929" s="136">
        <v>47</v>
      </c>
      <c r="F2929" s="11">
        <v>12</v>
      </c>
      <c r="G2929" s="11">
        <v>10</v>
      </c>
      <c r="H2929" s="11">
        <v>5</v>
      </c>
      <c r="I2929" s="11">
        <v>5</v>
      </c>
      <c r="J2929" s="11">
        <v>2</v>
      </c>
      <c r="K2929" s="11">
        <v>4</v>
      </c>
      <c r="L2929" s="11">
        <v>5</v>
      </c>
      <c r="M2929" s="11">
        <v>17</v>
      </c>
      <c r="N2929" s="11">
        <v>22</v>
      </c>
      <c r="O2929" s="136">
        <v>29</v>
      </c>
      <c r="P2929" s="11">
        <f t="shared" si="555"/>
        <v>2</v>
      </c>
      <c r="Q2929" s="11">
        <f t="shared" si="556"/>
        <v>45</v>
      </c>
      <c r="R2929" s="122">
        <f t="shared" si="557"/>
        <v>0.95744680851063835</v>
      </c>
      <c r="S2929" s="503"/>
    </row>
    <row r="2930" spans="1:19" ht="9.75" customHeight="1">
      <c r="A2930" s="503"/>
      <c r="B2930" s="503"/>
      <c r="C2930" s="13"/>
      <c r="D2930" s="108" t="s">
        <v>25</v>
      </c>
      <c r="E2930" s="108"/>
      <c r="F2930" s="91"/>
      <c r="G2930" s="91"/>
      <c r="H2930" s="91"/>
      <c r="I2930" s="91"/>
      <c r="J2930" s="91"/>
      <c r="K2930" s="91"/>
      <c r="L2930" s="91"/>
      <c r="M2930" s="91"/>
      <c r="N2930" s="91"/>
      <c r="O2930" s="108"/>
      <c r="P2930" s="91"/>
      <c r="Q2930" s="91"/>
      <c r="R2930" s="107"/>
      <c r="S2930" s="503"/>
    </row>
    <row r="2931" spans="1:19" ht="9.75" customHeight="1">
      <c r="A2931" s="503"/>
      <c r="B2931" s="503"/>
      <c r="C2931" s="13"/>
      <c r="D2931" s="108" t="s">
        <v>27</v>
      </c>
      <c r="E2931" s="108"/>
      <c r="F2931" s="91"/>
      <c r="G2931" s="91"/>
      <c r="H2931" s="91"/>
      <c r="I2931" s="91"/>
      <c r="J2931" s="91"/>
      <c r="K2931" s="91"/>
      <c r="L2931" s="91"/>
      <c r="M2931" s="91"/>
      <c r="N2931" s="91"/>
      <c r="O2931" s="108"/>
      <c r="P2931" s="91"/>
      <c r="Q2931" s="91"/>
      <c r="R2931" s="107"/>
      <c r="S2931" s="503"/>
    </row>
    <row r="2932" spans="1:19" ht="9.75" customHeight="1">
      <c r="A2932" s="503"/>
      <c r="B2932" s="503"/>
      <c r="C2932" s="13"/>
      <c r="D2932" s="108" t="s">
        <v>115</v>
      </c>
      <c r="E2932" s="108"/>
      <c r="F2932" s="91"/>
      <c r="G2932" s="91"/>
      <c r="H2932" s="91"/>
      <c r="I2932" s="91"/>
      <c r="J2932" s="91"/>
      <c r="K2932" s="91"/>
      <c r="L2932" s="91"/>
      <c r="M2932" s="91"/>
      <c r="N2932" s="91"/>
      <c r="O2932" s="108"/>
      <c r="P2932" s="91"/>
      <c r="Q2932" s="91"/>
      <c r="R2932" s="107"/>
      <c r="S2932" s="503"/>
    </row>
    <row r="2933" spans="1:19" ht="9.75" customHeight="1">
      <c r="A2933" s="503"/>
      <c r="B2933" s="503"/>
      <c r="C2933" s="1"/>
      <c r="D2933" s="108" t="s">
        <v>115</v>
      </c>
      <c r="E2933" s="108"/>
      <c r="F2933" s="91"/>
      <c r="G2933" s="91"/>
      <c r="H2933" s="91"/>
      <c r="I2933" s="91"/>
      <c r="J2933" s="91"/>
      <c r="K2933" s="91"/>
      <c r="L2933" s="91"/>
      <c r="M2933" s="91"/>
      <c r="N2933" s="91"/>
      <c r="O2933" s="108"/>
      <c r="P2933" s="91"/>
      <c r="Q2933" s="91"/>
      <c r="R2933" s="107"/>
      <c r="S2933" s="503"/>
    </row>
    <row r="2934" spans="1:19" ht="9.75" customHeight="1">
      <c r="A2934" s="503"/>
      <c r="B2934" s="503"/>
      <c r="C2934" s="1"/>
      <c r="D2934" s="108" t="s">
        <v>32</v>
      </c>
      <c r="E2934" s="108"/>
      <c r="F2934" s="91"/>
      <c r="G2934" s="91"/>
      <c r="H2934" s="91"/>
      <c r="I2934" s="91"/>
      <c r="J2934" s="91"/>
      <c r="K2934" s="91"/>
      <c r="L2934" s="91"/>
      <c r="M2934" s="91"/>
      <c r="N2934" s="91"/>
      <c r="O2934" s="108"/>
      <c r="P2934" s="91"/>
      <c r="Q2934" s="91"/>
      <c r="R2934" s="107"/>
      <c r="S2934" s="503"/>
    </row>
    <row r="2935" spans="1:19" ht="9.75" customHeight="1">
      <c r="A2935" s="503"/>
      <c r="B2935" s="503"/>
      <c r="C2935" s="1"/>
      <c r="D2935" s="108" t="s">
        <v>120</v>
      </c>
      <c r="E2935" s="108"/>
      <c r="F2935" s="91"/>
      <c r="G2935" s="91"/>
      <c r="H2935" s="91"/>
      <c r="I2935" s="91"/>
      <c r="J2935" s="91"/>
      <c r="K2935" s="91"/>
      <c r="L2935" s="91"/>
      <c r="M2935" s="91"/>
      <c r="N2935" s="91"/>
      <c r="O2935" s="108"/>
      <c r="P2935" s="91"/>
      <c r="Q2935" s="91"/>
      <c r="R2935" s="107"/>
      <c r="S2935" s="503"/>
    </row>
    <row r="2936" spans="1:19" ht="9.75" customHeight="1">
      <c r="A2936" s="503"/>
      <c r="B2936" s="503"/>
      <c r="C2936" s="1"/>
      <c r="D2936" s="108" t="s">
        <v>120</v>
      </c>
      <c r="E2936" s="108"/>
      <c r="F2936" s="91"/>
      <c r="G2936" s="91"/>
      <c r="H2936" s="91"/>
      <c r="I2936" s="91"/>
      <c r="J2936" s="91"/>
      <c r="K2936" s="91"/>
      <c r="L2936" s="91"/>
      <c r="M2936" s="91"/>
      <c r="N2936" s="91"/>
      <c r="O2936" s="108"/>
      <c r="P2936" s="91"/>
      <c r="Q2936" s="91"/>
      <c r="R2936" s="107"/>
      <c r="S2936" s="503"/>
    </row>
    <row r="2937" spans="1:19" ht="9.75" customHeight="1">
      <c r="A2937" s="503"/>
      <c r="B2937" s="503"/>
      <c r="C2937" s="1"/>
      <c r="D2937" s="108" t="s">
        <v>120</v>
      </c>
      <c r="E2937" s="108"/>
      <c r="F2937" s="91"/>
      <c r="G2937" s="91"/>
      <c r="H2937" s="91"/>
      <c r="I2937" s="91"/>
      <c r="J2937" s="91"/>
      <c r="K2937" s="91"/>
      <c r="L2937" s="91"/>
      <c r="M2937" s="91"/>
      <c r="N2937" s="91"/>
      <c r="O2937" s="108"/>
      <c r="P2937" s="91"/>
      <c r="Q2937" s="91"/>
      <c r="R2937" s="107"/>
      <c r="S2937" s="503"/>
    </row>
    <row r="2938" spans="1:19" ht="9.75" customHeight="1">
      <c r="A2938" s="503"/>
      <c r="B2938" s="503"/>
      <c r="C2938" s="1"/>
      <c r="D2938" s="108" t="s">
        <v>120</v>
      </c>
      <c r="E2938" s="108"/>
      <c r="F2938" s="91"/>
      <c r="G2938" s="91"/>
      <c r="H2938" s="91"/>
      <c r="I2938" s="91"/>
      <c r="J2938" s="91"/>
      <c r="K2938" s="91"/>
      <c r="L2938" s="91"/>
      <c r="M2938" s="91"/>
      <c r="N2938" s="91"/>
      <c r="O2938" s="108"/>
      <c r="P2938" s="91"/>
      <c r="Q2938" s="91"/>
      <c r="R2938" s="107"/>
      <c r="S2938" s="503"/>
    </row>
    <row r="2939" spans="1:19" ht="9.75" customHeight="1">
      <c r="A2939" s="503"/>
      <c r="B2939" s="503"/>
      <c r="C2939" s="1"/>
      <c r="D2939" s="108" t="s">
        <v>120</v>
      </c>
      <c r="E2939" s="108"/>
      <c r="F2939" s="91"/>
      <c r="G2939" s="91"/>
      <c r="H2939" s="91"/>
      <c r="I2939" s="91"/>
      <c r="J2939" s="91"/>
      <c r="K2939" s="91"/>
      <c r="L2939" s="91"/>
      <c r="M2939" s="91"/>
      <c r="N2939" s="91"/>
      <c r="O2939" s="108"/>
      <c r="P2939" s="91"/>
      <c r="Q2939" s="91"/>
      <c r="R2939" s="107"/>
      <c r="S2939" s="503"/>
    </row>
    <row r="2940" spans="1:19" ht="9.75" customHeight="1">
      <c r="A2940" s="503"/>
      <c r="B2940" s="503"/>
      <c r="C2940" s="1"/>
      <c r="D2940" s="108" t="s">
        <v>120</v>
      </c>
      <c r="E2940" s="108"/>
      <c r="F2940" s="91"/>
      <c r="G2940" s="91"/>
      <c r="H2940" s="91"/>
      <c r="I2940" s="91"/>
      <c r="J2940" s="91"/>
      <c r="K2940" s="91"/>
      <c r="L2940" s="91"/>
      <c r="M2940" s="91"/>
      <c r="N2940" s="91"/>
      <c r="O2940" s="108"/>
      <c r="P2940" s="91"/>
      <c r="Q2940" s="91"/>
      <c r="R2940" s="107"/>
      <c r="S2940" s="503"/>
    </row>
    <row r="2941" spans="1:19" ht="9.75" customHeight="1">
      <c r="A2941" s="503"/>
      <c r="B2941" s="503"/>
      <c r="C2941" s="1"/>
      <c r="D2941" s="108" t="s">
        <v>34</v>
      </c>
      <c r="E2941" s="108"/>
      <c r="F2941" s="91"/>
      <c r="G2941" s="91"/>
      <c r="H2941" s="91"/>
      <c r="I2941" s="91"/>
      <c r="J2941" s="91"/>
      <c r="K2941" s="91"/>
      <c r="L2941" s="91"/>
      <c r="M2941" s="91"/>
      <c r="N2941" s="91"/>
      <c r="O2941" s="108"/>
      <c r="P2941" s="91"/>
      <c r="Q2941" s="91"/>
      <c r="R2941" s="107"/>
      <c r="S2941" s="503"/>
    </row>
    <row r="2942" spans="1:19" ht="9.75" customHeight="1">
      <c r="A2942" s="503"/>
      <c r="B2942" s="503"/>
      <c r="C2942" s="1"/>
      <c r="D2942" s="108" t="s">
        <v>35</v>
      </c>
      <c r="E2942" s="108"/>
      <c r="F2942" s="91"/>
      <c r="G2942" s="91"/>
      <c r="H2942" s="91"/>
      <c r="I2942" s="91"/>
      <c r="J2942" s="91"/>
      <c r="K2942" s="91"/>
      <c r="L2942" s="91"/>
      <c r="M2942" s="91"/>
      <c r="N2942" s="91"/>
      <c r="O2942" s="108"/>
      <c r="P2942" s="91"/>
      <c r="Q2942" s="91"/>
      <c r="R2942" s="107"/>
      <c r="S2942" s="503"/>
    </row>
    <row r="2943" spans="1:19" ht="9.75" customHeight="1">
      <c r="A2943" s="503"/>
      <c r="B2943" s="503"/>
      <c r="C2943" s="1"/>
      <c r="D2943" s="108" t="s">
        <v>36</v>
      </c>
      <c r="E2943" s="108"/>
      <c r="F2943" s="91"/>
      <c r="G2943" s="91"/>
      <c r="H2943" s="91"/>
      <c r="I2943" s="91"/>
      <c r="J2943" s="91"/>
      <c r="K2943" s="91"/>
      <c r="L2943" s="91"/>
      <c r="M2943" s="91"/>
      <c r="N2943" s="91"/>
      <c r="O2943" s="108"/>
      <c r="P2943" s="91"/>
      <c r="Q2943" s="91"/>
      <c r="R2943" s="107"/>
      <c r="S2943" s="503"/>
    </row>
    <row r="2944" spans="1:19" ht="9.75" customHeight="1">
      <c r="A2944" s="503"/>
      <c r="B2944" s="503"/>
      <c r="C2944" s="1"/>
      <c r="D2944" s="113" t="s">
        <v>37</v>
      </c>
      <c r="E2944" s="113"/>
      <c r="F2944" s="112"/>
      <c r="G2944" s="112"/>
      <c r="H2944" s="112"/>
      <c r="I2944" s="112"/>
      <c r="J2944" s="112"/>
      <c r="K2944" s="112"/>
      <c r="L2944" s="112"/>
      <c r="M2944" s="112"/>
      <c r="N2944" s="112"/>
      <c r="O2944" s="113"/>
      <c r="P2944" s="112"/>
      <c r="Q2944" s="112"/>
      <c r="R2944" s="165"/>
      <c r="S2944" s="503"/>
    </row>
    <row r="2945" spans="1:19" ht="9.75" customHeight="1">
      <c r="A2945" s="503"/>
      <c r="B2945" s="503" t="s">
        <v>127</v>
      </c>
      <c r="C2945" s="25"/>
      <c r="D2945" s="5" t="s">
        <v>38</v>
      </c>
      <c r="E2945" s="166">
        <f t="shared" ref="E2945:O2945" si="558">SUM(E2929:E2944)</f>
        <v>47</v>
      </c>
      <c r="F2945" s="167">
        <f t="shared" si="558"/>
        <v>12</v>
      </c>
      <c r="G2945" s="167">
        <f t="shared" si="558"/>
        <v>10</v>
      </c>
      <c r="H2945" s="167">
        <f t="shared" si="558"/>
        <v>5</v>
      </c>
      <c r="I2945" s="167">
        <f t="shared" si="558"/>
        <v>5</v>
      </c>
      <c r="J2945" s="167">
        <f t="shared" si="558"/>
        <v>2</v>
      </c>
      <c r="K2945" s="167">
        <f t="shared" si="558"/>
        <v>4</v>
      </c>
      <c r="L2945" s="167">
        <f t="shared" si="558"/>
        <v>5</v>
      </c>
      <c r="M2945" s="167">
        <f t="shared" si="558"/>
        <v>17</v>
      </c>
      <c r="N2945" s="167">
        <f t="shared" si="558"/>
        <v>22</v>
      </c>
      <c r="O2945" s="166">
        <f t="shared" si="558"/>
        <v>29</v>
      </c>
      <c r="P2945" s="167">
        <f t="shared" ref="P2945:P2946" si="559">MIN(F2945:O2945)</f>
        <v>2</v>
      </c>
      <c r="Q2945" s="167">
        <f t="shared" ref="Q2945:Q2946" si="560">E2945-P2945</f>
        <v>45</v>
      </c>
      <c r="R2945" s="168">
        <f t="shared" ref="R2945:R2946" si="561">Q2945/E2945</f>
        <v>0.95744680851063835</v>
      </c>
      <c r="S2945" s="503"/>
    </row>
    <row r="2946" spans="1:19" ht="9.75" customHeight="1">
      <c r="A2946" s="503"/>
      <c r="B2946" s="503"/>
      <c r="C2946" s="1" t="s">
        <v>421</v>
      </c>
      <c r="D2946" s="108" t="s">
        <v>23</v>
      </c>
      <c r="E2946" s="136">
        <v>45</v>
      </c>
      <c r="F2946" s="11">
        <v>25</v>
      </c>
      <c r="G2946" s="11">
        <v>21</v>
      </c>
      <c r="H2946" s="11">
        <v>10</v>
      </c>
      <c r="I2946" s="11">
        <v>9</v>
      </c>
      <c r="J2946" s="11">
        <v>5</v>
      </c>
      <c r="K2946" s="11">
        <v>5</v>
      </c>
      <c r="L2946" s="11">
        <v>2</v>
      </c>
      <c r="M2946" s="11">
        <v>10</v>
      </c>
      <c r="N2946" s="11">
        <v>27</v>
      </c>
      <c r="O2946" s="136">
        <v>30</v>
      </c>
      <c r="P2946" s="11">
        <f t="shared" si="559"/>
        <v>2</v>
      </c>
      <c r="Q2946" s="11">
        <f t="shared" si="560"/>
        <v>43</v>
      </c>
      <c r="R2946" s="122">
        <f t="shared" si="561"/>
        <v>0.9555555555555556</v>
      </c>
      <c r="S2946" s="503"/>
    </row>
    <row r="2947" spans="1:19" ht="9.75" customHeight="1">
      <c r="A2947" s="503"/>
      <c r="B2947" s="503"/>
      <c r="C2947" s="13"/>
      <c r="D2947" s="108" t="s">
        <v>25</v>
      </c>
      <c r="E2947" s="108"/>
      <c r="F2947" s="91"/>
      <c r="G2947" s="91"/>
      <c r="H2947" s="91"/>
      <c r="I2947" s="91"/>
      <c r="J2947" s="91"/>
      <c r="K2947" s="91"/>
      <c r="L2947" s="91"/>
      <c r="M2947" s="91"/>
      <c r="N2947" s="91"/>
      <c r="O2947" s="108"/>
      <c r="P2947" s="91"/>
      <c r="Q2947" s="91"/>
      <c r="R2947" s="107"/>
      <c r="S2947" s="503"/>
    </row>
    <row r="2948" spans="1:19" ht="9.75" customHeight="1">
      <c r="A2948" s="503"/>
      <c r="B2948" s="503"/>
      <c r="C2948" s="13"/>
      <c r="D2948" s="108" t="s">
        <v>27</v>
      </c>
      <c r="E2948" s="108"/>
      <c r="F2948" s="91"/>
      <c r="G2948" s="91"/>
      <c r="H2948" s="91"/>
      <c r="I2948" s="91"/>
      <c r="J2948" s="91"/>
      <c r="K2948" s="91"/>
      <c r="L2948" s="91"/>
      <c r="M2948" s="91"/>
      <c r="N2948" s="91"/>
      <c r="O2948" s="108"/>
      <c r="P2948" s="91"/>
      <c r="Q2948" s="91"/>
      <c r="R2948" s="107"/>
      <c r="S2948" s="503"/>
    </row>
    <row r="2949" spans="1:19" ht="9.75" customHeight="1">
      <c r="A2949" s="503"/>
      <c r="B2949" s="503"/>
      <c r="C2949" s="13"/>
      <c r="D2949" s="108" t="s">
        <v>115</v>
      </c>
      <c r="E2949" s="108"/>
      <c r="F2949" s="91"/>
      <c r="G2949" s="91"/>
      <c r="H2949" s="91"/>
      <c r="I2949" s="91"/>
      <c r="J2949" s="91"/>
      <c r="K2949" s="91"/>
      <c r="L2949" s="91"/>
      <c r="M2949" s="91"/>
      <c r="N2949" s="91"/>
      <c r="O2949" s="108"/>
      <c r="P2949" s="91"/>
      <c r="Q2949" s="91"/>
      <c r="R2949" s="107"/>
      <c r="S2949" s="503"/>
    </row>
    <row r="2950" spans="1:19" ht="9.75" customHeight="1">
      <c r="A2950" s="503"/>
      <c r="B2950" s="503"/>
      <c r="C2950" s="1"/>
      <c r="D2950" s="108" t="s">
        <v>115</v>
      </c>
      <c r="E2950" s="108"/>
      <c r="F2950" s="91"/>
      <c r="G2950" s="91"/>
      <c r="H2950" s="91"/>
      <c r="I2950" s="91"/>
      <c r="J2950" s="91"/>
      <c r="K2950" s="91"/>
      <c r="L2950" s="91"/>
      <c r="M2950" s="91"/>
      <c r="N2950" s="91"/>
      <c r="O2950" s="108"/>
      <c r="P2950" s="91"/>
      <c r="Q2950" s="91"/>
      <c r="R2950" s="107"/>
      <c r="S2950" s="503"/>
    </row>
    <row r="2951" spans="1:19" ht="9.75" customHeight="1">
      <c r="A2951" s="503"/>
      <c r="B2951" s="503"/>
      <c r="C2951" s="1"/>
      <c r="D2951" s="108" t="s">
        <v>32</v>
      </c>
      <c r="E2951" s="108"/>
      <c r="F2951" s="91"/>
      <c r="G2951" s="91"/>
      <c r="H2951" s="91"/>
      <c r="I2951" s="91"/>
      <c r="J2951" s="91"/>
      <c r="K2951" s="91"/>
      <c r="L2951" s="91"/>
      <c r="M2951" s="91"/>
      <c r="N2951" s="91"/>
      <c r="O2951" s="108"/>
      <c r="P2951" s="91"/>
      <c r="Q2951" s="91"/>
      <c r="R2951" s="107"/>
      <c r="S2951" s="503"/>
    </row>
    <row r="2952" spans="1:19" ht="9.75" customHeight="1">
      <c r="A2952" s="503"/>
      <c r="B2952" s="503"/>
      <c r="C2952" s="1"/>
      <c r="D2952" s="108" t="s">
        <v>120</v>
      </c>
      <c r="E2952" s="108"/>
      <c r="F2952" s="91"/>
      <c r="G2952" s="91"/>
      <c r="H2952" s="91"/>
      <c r="I2952" s="91"/>
      <c r="J2952" s="91"/>
      <c r="K2952" s="91"/>
      <c r="L2952" s="91"/>
      <c r="M2952" s="91"/>
      <c r="N2952" s="91"/>
      <c r="O2952" s="108"/>
      <c r="P2952" s="91"/>
      <c r="Q2952" s="91"/>
      <c r="R2952" s="107"/>
      <c r="S2952" s="503"/>
    </row>
    <row r="2953" spans="1:19" ht="9.75" customHeight="1">
      <c r="A2953" s="503"/>
      <c r="B2953" s="503"/>
      <c r="C2953" s="1"/>
      <c r="D2953" s="108" t="s">
        <v>120</v>
      </c>
      <c r="E2953" s="108"/>
      <c r="F2953" s="91"/>
      <c r="G2953" s="91"/>
      <c r="H2953" s="91"/>
      <c r="I2953" s="91"/>
      <c r="J2953" s="91"/>
      <c r="K2953" s="91"/>
      <c r="L2953" s="91"/>
      <c r="M2953" s="91"/>
      <c r="N2953" s="91"/>
      <c r="O2953" s="108"/>
      <c r="P2953" s="91"/>
      <c r="Q2953" s="91"/>
      <c r="R2953" s="107"/>
      <c r="S2953" s="503"/>
    </row>
    <row r="2954" spans="1:19" ht="9.75" customHeight="1">
      <c r="A2954" s="503"/>
      <c r="B2954" s="503"/>
      <c r="C2954" s="1"/>
      <c r="D2954" s="108" t="s">
        <v>120</v>
      </c>
      <c r="E2954" s="108"/>
      <c r="F2954" s="91"/>
      <c r="G2954" s="91"/>
      <c r="H2954" s="91"/>
      <c r="I2954" s="91"/>
      <c r="J2954" s="91"/>
      <c r="K2954" s="91"/>
      <c r="L2954" s="91"/>
      <c r="M2954" s="91"/>
      <c r="N2954" s="91"/>
      <c r="O2954" s="108"/>
      <c r="P2954" s="91"/>
      <c r="Q2954" s="91"/>
      <c r="R2954" s="107"/>
      <c r="S2954" s="503"/>
    </row>
    <row r="2955" spans="1:19" ht="9.75" customHeight="1">
      <c r="A2955" s="503"/>
      <c r="B2955" s="503"/>
      <c r="C2955" s="1"/>
      <c r="D2955" s="108" t="s">
        <v>120</v>
      </c>
      <c r="E2955" s="108"/>
      <c r="F2955" s="91"/>
      <c r="G2955" s="91"/>
      <c r="H2955" s="91"/>
      <c r="I2955" s="91"/>
      <c r="J2955" s="91"/>
      <c r="K2955" s="91"/>
      <c r="L2955" s="91"/>
      <c r="M2955" s="91"/>
      <c r="N2955" s="91"/>
      <c r="O2955" s="108"/>
      <c r="P2955" s="91"/>
      <c r="Q2955" s="91"/>
      <c r="R2955" s="107"/>
      <c r="S2955" s="503"/>
    </row>
    <row r="2956" spans="1:19" ht="9.75" customHeight="1">
      <c r="A2956" s="503"/>
      <c r="B2956" s="503"/>
      <c r="C2956" s="1"/>
      <c r="D2956" s="108" t="s">
        <v>120</v>
      </c>
      <c r="E2956" s="108"/>
      <c r="F2956" s="91"/>
      <c r="G2956" s="91"/>
      <c r="H2956" s="91"/>
      <c r="I2956" s="91"/>
      <c r="J2956" s="91"/>
      <c r="K2956" s="91"/>
      <c r="L2956" s="91"/>
      <c r="M2956" s="91"/>
      <c r="N2956" s="91"/>
      <c r="O2956" s="108"/>
      <c r="P2956" s="91"/>
      <c r="Q2956" s="91"/>
      <c r="R2956" s="107"/>
      <c r="S2956" s="503"/>
    </row>
    <row r="2957" spans="1:19" ht="9.75" customHeight="1">
      <c r="A2957" s="503"/>
      <c r="B2957" s="503"/>
      <c r="C2957" s="1"/>
      <c r="D2957" s="108" t="s">
        <v>120</v>
      </c>
      <c r="E2957" s="108"/>
      <c r="F2957" s="91"/>
      <c r="G2957" s="91"/>
      <c r="H2957" s="91"/>
      <c r="I2957" s="91"/>
      <c r="J2957" s="91"/>
      <c r="K2957" s="91"/>
      <c r="L2957" s="91"/>
      <c r="M2957" s="91"/>
      <c r="N2957" s="91"/>
      <c r="O2957" s="108"/>
      <c r="P2957" s="91"/>
      <c r="Q2957" s="91"/>
      <c r="R2957" s="107"/>
      <c r="S2957" s="503"/>
    </row>
    <row r="2958" spans="1:19" ht="9.75" customHeight="1">
      <c r="A2958" s="503"/>
      <c r="B2958" s="503"/>
      <c r="C2958" s="1"/>
      <c r="D2958" s="108" t="s">
        <v>34</v>
      </c>
      <c r="E2958" s="136">
        <v>1</v>
      </c>
      <c r="F2958" s="11">
        <v>1</v>
      </c>
      <c r="G2958" s="11">
        <v>1</v>
      </c>
      <c r="H2958" s="11">
        <v>1</v>
      </c>
      <c r="I2958" s="11">
        <v>1</v>
      </c>
      <c r="J2958" s="11">
        <v>1</v>
      </c>
      <c r="K2958" s="11">
        <v>1</v>
      </c>
      <c r="L2958" s="11">
        <v>1</v>
      </c>
      <c r="M2958" s="11">
        <v>1</v>
      </c>
      <c r="N2958" s="11">
        <v>1</v>
      </c>
      <c r="O2958" s="136">
        <v>1</v>
      </c>
      <c r="P2958" s="11">
        <f>MIN(F2958:O2958)</f>
        <v>1</v>
      </c>
      <c r="Q2958" s="11">
        <f>E2958-P2958</f>
        <v>0</v>
      </c>
      <c r="R2958" s="122">
        <f>Q2958/E2958</f>
        <v>0</v>
      </c>
      <c r="S2958" s="503"/>
    </row>
    <row r="2959" spans="1:19" ht="9.75" customHeight="1">
      <c r="A2959" s="503"/>
      <c r="B2959" s="503"/>
      <c r="C2959" s="1"/>
      <c r="D2959" s="108" t="s">
        <v>35</v>
      </c>
      <c r="E2959" s="108"/>
      <c r="F2959" s="91"/>
      <c r="G2959" s="91"/>
      <c r="H2959" s="91"/>
      <c r="I2959" s="91"/>
      <c r="J2959" s="91"/>
      <c r="K2959" s="91"/>
      <c r="L2959" s="91"/>
      <c r="M2959" s="91"/>
      <c r="N2959" s="91"/>
      <c r="O2959" s="108"/>
      <c r="P2959" s="91"/>
      <c r="Q2959" s="91"/>
      <c r="R2959" s="107"/>
      <c r="S2959" s="503"/>
    </row>
    <row r="2960" spans="1:19" ht="9.75" customHeight="1">
      <c r="A2960" s="503"/>
      <c r="B2960" s="503"/>
      <c r="C2960" s="1"/>
      <c r="D2960" s="108" t="s">
        <v>36</v>
      </c>
      <c r="E2960" s="108"/>
      <c r="F2960" s="91"/>
      <c r="G2960" s="91"/>
      <c r="H2960" s="91"/>
      <c r="I2960" s="91"/>
      <c r="J2960" s="91"/>
      <c r="K2960" s="91"/>
      <c r="L2960" s="91"/>
      <c r="M2960" s="91"/>
      <c r="N2960" s="91"/>
      <c r="O2960" s="108"/>
      <c r="P2960" s="91"/>
      <c r="Q2960" s="91"/>
      <c r="R2960" s="107"/>
      <c r="S2960" s="503"/>
    </row>
    <row r="2961" spans="1:19" ht="9.75" customHeight="1">
      <c r="A2961" s="503"/>
      <c r="B2961" s="503"/>
      <c r="C2961" s="1"/>
      <c r="D2961" s="113" t="s">
        <v>37</v>
      </c>
      <c r="E2961" s="113"/>
      <c r="F2961" s="112"/>
      <c r="G2961" s="112"/>
      <c r="H2961" s="112"/>
      <c r="I2961" s="112"/>
      <c r="J2961" s="112"/>
      <c r="K2961" s="112"/>
      <c r="L2961" s="112"/>
      <c r="M2961" s="112"/>
      <c r="N2961" s="112"/>
      <c r="O2961" s="113"/>
      <c r="P2961" s="112"/>
      <c r="Q2961" s="112"/>
      <c r="R2961" s="165"/>
      <c r="S2961" s="503"/>
    </row>
    <row r="2962" spans="1:19" ht="9.75" customHeight="1">
      <c r="A2962" s="503"/>
      <c r="B2962" s="503" t="s">
        <v>127</v>
      </c>
      <c r="C2962" s="25"/>
      <c r="D2962" s="5" t="s">
        <v>38</v>
      </c>
      <c r="E2962" s="166">
        <f t="shared" ref="E2962:O2962" si="562">SUM(E2946:E2961)</f>
        <v>46</v>
      </c>
      <c r="F2962" s="167">
        <f t="shared" si="562"/>
        <v>26</v>
      </c>
      <c r="G2962" s="167">
        <f t="shared" si="562"/>
        <v>22</v>
      </c>
      <c r="H2962" s="167">
        <f t="shared" si="562"/>
        <v>11</v>
      </c>
      <c r="I2962" s="167">
        <f t="shared" si="562"/>
        <v>10</v>
      </c>
      <c r="J2962" s="167">
        <f t="shared" si="562"/>
        <v>6</v>
      </c>
      <c r="K2962" s="167">
        <f t="shared" si="562"/>
        <v>6</v>
      </c>
      <c r="L2962" s="167">
        <f t="shared" si="562"/>
        <v>3</v>
      </c>
      <c r="M2962" s="167">
        <f t="shared" si="562"/>
        <v>11</v>
      </c>
      <c r="N2962" s="167">
        <f t="shared" si="562"/>
        <v>28</v>
      </c>
      <c r="O2962" s="166">
        <f t="shared" si="562"/>
        <v>31</v>
      </c>
      <c r="P2962" s="167">
        <f t="shared" ref="P2962:P2963" si="563">MIN(F2962:O2962)</f>
        <v>3</v>
      </c>
      <c r="Q2962" s="167">
        <f t="shared" ref="Q2962:Q2963" si="564">E2962-P2962</f>
        <v>43</v>
      </c>
      <c r="R2962" s="168">
        <f t="shared" ref="R2962:R2963" si="565">Q2962/E2962</f>
        <v>0.93478260869565222</v>
      </c>
      <c r="S2962" s="503"/>
    </row>
    <row r="2963" spans="1:19" ht="9.75" customHeight="1">
      <c r="A2963" s="503"/>
      <c r="B2963" s="503"/>
      <c r="C2963" s="1" t="s">
        <v>422</v>
      </c>
      <c r="D2963" s="108" t="s">
        <v>23</v>
      </c>
      <c r="E2963" s="136">
        <v>47</v>
      </c>
      <c r="F2963" s="11">
        <v>40</v>
      </c>
      <c r="G2963" s="11">
        <v>39</v>
      </c>
      <c r="H2963" s="11">
        <v>37</v>
      </c>
      <c r="I2963" s="11">
        <v>37</v>
      </c>
      <c r="J2963" s="11">
        <v>36</v>
      </c>
      <c r="K2963" s="11">
        <v>35</v>
      </c>
      <c r="L2963" s="11">
        <v>35</v>
      </c>
      <c r="M2963" s="11">
        <v>35</v>
      </c>
      <c r="N2963" s="11">
        <v>40</v>
      </c>
      <c r="O2963" s="136">
        <v>41</v>
      </c>
      <c r="P2963" s="11">
        <f t="shared" si="563"/>
        <v>35</v>
      </c>
      <c r="Q2963" s="11">
        <f t="shared" si="564"/>
        <v>12</v>
      </c>
      <c r="R2963" s="122">
        <f t="shared" si="565"/>
        <v>0.25531914893617019</v>
      </c>
      <c r="S2963" s="503"/>
    </row>
    <row r="2964" spans="1:19" ht="9.75" customHeight="1">
      <c r="A2964" s="503"/>
      <c r="B2964" s="503"/>
      <c r="C2964" s="13"/>
      <c r="D2964" s="108" t="s">
        <v>25</v>
      </c>
      <c r="E2964" s="108"/>
      <c r="F2964" s="91"/>
      <c r="G2964" s="91"/>
      <c r="H2964" s="91"/>
      <c r="I2964" s="91"/>
      <c r="J2964" s="91"/>
      <c r="K2964" s="91"/>
      <c r="L2964" s="91"/>
      <c r="M2964" s="91"/>
      <c r="N2964" s="91"/>
      <c r="O2964" s="108"/>
      <c r="P2964" s="91"/>
      <c r="Q2964" s="91"/>
      <c r="R2964" s="107"/>
      <c r="S2964" s="503"/>
    </row>
    <row r="2965" spans="1:19" ht="9.75" customHeight="1">
      <c r="A2965" s="503"/>
      <c r="B2965" s="503"/>
      <c r="C2965" s="13"/>
      <c r="D2965" s="108" t="s">
        <v>27</v>
      </c>
      <c r="E2965" s="108"/>
      <c r="F2965" s="91"/>
      <c r="G2965" s="91"/>
      <c r="H2965" s="91"/>
      <c r="I2965" s="91"/>
      <c r="J2965" s="91"/>
      <c r="K2965" s="91"/>
      <c r="L2965" s="91"/>
      <c r="M2965" s="91"/>
      <c r="N2965" s="91"/>
      <c r="O2965" s="108"/>
      <c r="P2965" s="91"/>
      <c r="Q2965" s="91"/>
      <c r="R2965" s="107"/>
      <c r="S2965" s="503"/>
    </row>
    <row r="2966" spans="1:19" ht="9.75" customHeight="1">
      <c r="A2966" s="503"/>
      <c r="B2966" s="503"/>
      <c r="C2966" s="13"/>
      <c r="D2966" s="108" t="s">
        <v>115</v>
      </c>
      <c r="E2966" s="108"/>
      <c r="F2966" s="91"/>
      <c r="G2966" s="91"/>
      <c r="H2966" s="91"/>
      <c r="I2966" s="91"/>
      <c r="J2966" s="91"/>
      <c r="K2966" s="91"/>
      <c r="L2966" s="91"/>
      <c r="M2966" s="91"/>
      <c r="N2966" s="91"/>
      <c r="O2966" s="108"/>
      <c r="P2966" s="91"/>
      <c r="Q2966" s="91"/>
      <c r="R2966" s="107"/>
      <c r="S2966" s="503"/>
    </row>
    <row r="2967" spans="1:19" ht="9.75" customHeight="1">
      <c r="A2967" s="503"/>
      <c r="B2967" s="503"/>
      <c r="C2967" s="1"/>
      <c r="D2967" s="108" t="s">
        <v>115</v>
      </c>
      <c r="E2967" s="108"/>
      <c r="F2967" s="91"/>
      <c r="G2967" s="91"/>
      <c r="H2967" s="91"/>
      <c r="I2967" s="91"/>
      <c r="J2967" s="91"/>
      <c r="K2967" s="91"/>
      <c r="L2967" s="91"/>
      <c r="M2967" s="91"/>
      <c r="N2967" s="91"/>
      <c r="O2967" s="108"/>
      <c r="P2967" s="91"/>
      <c r="Q2967" s="91"/>
      <c r="R2967" s="107"/>
      <c r="S2967" s="503"/>
    </row>
    <row r="2968" spans="1:19" ht="9.75" customHeight="1">
      <c r="A2968" s="503"/>
      <c r="B2968" s="503"/>
      <c r="C2968" s="1"/>
      <c r="D2968" s="108" t="s">
        <v>32</v>
      </c>
      <c r="E2968" s="108"/>
      <c r="F2968" s="91"/>
      <c r="G2968" s="91"/>
      <c r="H2968" s="91"/>
      <c r="I2968" s="91"/>
      <c r="J2968" s="91"/>
      <c r="K2968" s="91"/>
      <c r="L2968" s="91"/>
      <c r="M2968" s="91"/>
      <c r="N2968" s="91"/>
      <c r="O2968" s="108"/>
      <c r="P2968" s="91"/>
      <c r="Q2968" s="91"/>
      <c r="R2968" s="107"/>
      <c r="S2968" s="503"/>
    </row>
    <row r="2969" spans="1:19" ht="9.75" customHeight="1">
      <c r="A2969" s="503"/>
      <c r="B2969" s="503"/>
      <c r="C2969" s="1"/>
      <c r="D2969" s="108" t="s">
        <v>120</v>
      </c>
      <c r="E2969" s="108"/>
      <c r="F2969" s="91"/>
      <c r="G2969" s="91"/>
      <c r="H2969" s="91"/>
      <c r="I2969" s="91"/>
      <c r="J2969" s="91"/>
      <c r="K2969" s="91"/>
      <c r="L2969" s="91"/>
      <c r="M2969" s="91"/>
      <c r="N2969" s="91"/>
      <c r="O2969" s="108"/>
      <c r="P2969" s="91"/>
      <c r="Q2969" s="91"/>
      <c r="R2969" s="107"/>
      <c r="S2969" s="503"/>
    </row>
    <row r="2970" spans="1:19" ht="9.75" customHeight="1">
      <c r="A2970" s="503"/>
      <c r="B2970" s="503"/>
      <c r="C2970" s="1"/>
      <c r="D2970" s="108" t="s">
        <v>120</v>
      </c>
      <c r="E2970" s="108"/>
      <c r="F2970" s="91"/>
      <c r="G2970" s="91"/>
      <c r="H2970" s="91"/>
      <c r="I2970" s="91"/>
      <c r="J2970" s="91"/>
      <c r="K2970" s="91"/>
      <c r="L2970" s="91"/>
      <c r="M2970" s="91"/>
      <c r="N2970" s="91"/>
      <c r="O2970" s="108"/>
      <c r="P2970" s="91"/>
      <c r="Q2970" s="91"/>
      <c r="R2970" s="107"/>
      <c r="S2970" s="503"/>
    </row>
    <row r="2971" spans="1:19" ht="9.75" customHeight="1">
      <c r="A2971" s="503"/>
      <c r="B2971" s="503"/>
      <c r="C2971" s="1"/>
      <c r="D2971" s="108" t="s">
        <v>120</v>
      </c>
      <c r="E2971" s="108"/>
      <c r="F2971" s="91"/>
      <c r="G2971" s="91"/>
      <c r="H2971" s="91"/>
      <c r="I2971" s="91"/>
      <c r="J2971" s="91"/>
      <c r="K2971" s="91"/>
      <c r="L2971" s="91"/>
      <c r="M2971" s="91"/>
      <c r="N2971" s="91"/>
      <c r="O2971" s="108"/>
      <c r="P2971" s="91"/>
      <c r="Q2971" s="91"/>
      <c r="R2971" s="107"/>
      <c r="S2971" s="503"/>
    </row>
    <row r="2972" spans="1:19" ht="9.75" customHeight="1">
      <c r="A2972" s="503"/>
      <c r="B2972" s="503"/>
      <c r="C2972" s="1"/>
      <c r="D2972" s="108" t="s">
        <v>120</v>
      </c>
      <c r="E2972" s="108"/>
      <c r="F2972" s="91"/>
      <c r="G2972" s="91"/>
      <c r="H2972" s="91"/>
      <c r="I2972" s="91"/>
      <c r="J2972" s="91"/>
      <c r="K2972" s="91"/>
      <c r="L2972" s="91"/>
      <c r="M2972" s="91"/>
      <c r="N2972" s="91"/>
      <c r="O2972" s="108"/>
      <c r="P2972" s="91"/>
      <c r="Q2972" s="91"/>
      <c r="R2972" s="107"/>
      <c r="S2972" s="503"/>
    </row>
    <row r="2973" spans="1:19" ht="9.75" customHeight="1">
      <c r="A2973" s="503"/>
      <c r="B2973" s="503"/>
      <c r="C2973" s="1"/>
      <c r="D2973" s="108" t="s">
        <v>120</v>
      </c>
      <c r="E2973" s="108"/>
      <c r="F2973" s="91"/>
      <c r="G2973" s="91"/>
      <c r="H2973" s="91"/>
      <c r="I2973" s="91"/>
      <c r="J2973" s="91"/>
      <c r="K2973" s="91"/>
      <c r="L2973" s="91"/>
      <c r="M2973" s="91"/>
      <c r="N2973" s="91"/>
      <c r="O2973" s="108"/>
      <c r="P2973" s="91"/>
      <c r="Q2973" s="91"/>
      <c r="R2973" s="107"/>
      <c r="S2973" s="503"/>
    </row>
    <row r="2974" spans="1:19" ht="9.75" customHeight="1">
      <c r="A2974" s="503"/>
      <c r="B2974" s="503"/>
      <c r="C2974" s="1"/>
      <c r="D2974" s="108" t="s">
        <v>120</v>
      </c>
      <c r="E2974" s="108"/>
      <c r="F2974" s="91"/>
      <c r="G2974" s="91"/>
      <c r="H2974" s="91"/>
      <c r="I2974" s="91"/>
      <c r="J2974" s="91"/>
      <c r="K2974" s="91"/>
      <c r="L2974" s="91"/>
      <c r="M2974" s="91"/>
      <c r="N2974" s="91"/>
      <c r="O2974" s="108"/>
      <c r="P2974" s="91"/>
      <c r="Q2974" s="91"/>
      <c r="R2974" s="107"/>
      <c r="S2974" s="503"/>
    </row>
    <row r="2975" spans="1:19" ht="9.75" customHeight="1">
      <c r="A2975" s="503"/>
      <c r="B2975" s="503"/>
      <c r="C2975" s="1"/>
      <c r="D2975" s="108" t="s">
        <v>34</v>
      </c>
      <c r="E2975" s="108"/>
      <c r="F2975" s="91"/>
      <c r="G2975" s="91"/>
      <c r="H2975" s="91"/>
      <c r="I2975" s="91"/>
      <c r="J2975" s="91"/>
      <c r="K2975" s="91"/>
      <c r="L2975" s="91"/>
      <c r="M2975" s="91"/>
      <c r="N2975" s="91"/>
      <c r="O2975" s="108"/>
      <c r="P2975" s="91"/>
      <c r="Q2975" s="91"/>
      <c r="R2975" s="107"/>
      <c r="S2975" s="503"/>
    </row>
    <row r="2976" spans="1:19" ht="9.75" customHeight="1">
      <c r="A2976" s="503"/>
      <c r="B2976" s="503"/>
      <c r="C2976" s="1"/>
      <c r="D2976" s="108" t="s">
        <v>35</v>
      </c>
      <c r="E2976" s="108"/>
      <c r="F2976" s="91"/>
      <c r="G2976" s="91"/>
      <c r="H2976" s="91"/>
      <c r="I2976" s="91"/>
      <c r="J2976" s="91"/>
      <c r="K2976" s="91"/>
      <c r="L2976" s="91"/>
      <c r="M2976" s="91"/>
      <c r="N2976" s="91"/>
      <c r="O2976" s="108"/>
      <c r="P2976" s="91"/>
      <c r="Q2976" s="91"/>
      <c r="R2976" s="107"/>
      <c r="S2976" s="503"/>
    </row>
    <row r="2977" spans="1:19" ht="9.75" customHeight="1">
      <c r="A2977" s="503"/>
      <c r="B2977" s="503"/>
      <c r="C2977" s="1"/>
      <c r="D2977" s="108" t="s">
        <v>36</v>
      </c>
      <c r="E2977" s="108"/>
      <c r="F2977" s="91"/>
      <c r="G2977" s="91"/>
      <c r="H2977" s="91"/>
      <c r="I2977" s="91"/>
      <c r="J2977" s="91"/>
      <c r="K2977" s="91"/>
      <c r="L2977" s="91"/>
      <c r="M2977" s="91"/>
      <c r="N2977" s="91"/>
      <c r="O2977" s="108"/>
      <c r="P2977" s="91"/>
      <c r="Q2977" s="91"/>
      <c r="R2977" s="107"/>
      <c r="S2977" s="503"/>
    </row>
    <row r="2978" spans="1:19" ht="9.75" customHeight="1">
      <c r="A2978" s="503"/>
      <c r="B2978" s="503"/>
      <c r="C2978" s="1"/>
      <c r="D2978" s="113" t="s">
        <v>37</v>
      </c>
      <c r="E2978" s="113"/>
      <c r="F2978" s="112"/>
      <c r="G2978" s="112"/>
      <c r="H2978" s="112"/>
      <c r="I2978" s="112"/>
      <c r="J2978" s="112"/>
      <c r="K2978" s="112"/>
      <c r="L2978" s="112"/>
      <c r="M2978" s="112"/>
      <c r="N2978" s="112"/>
      <c r="O2978" s="113"/>
      <c r="P2978" s="112"/>
      <c r="Q2978" s="112"/>
      <c r="R2978" s="165"/>
      <c r="S2978" s="503"/>
    </row>
    <row r="2979" spans="1:19" ht="9.75" customHeight="1">
      <c r="A2979" s="503"/>
      <c r="B2979" s="503" t="s">
        <v>127</v>
      </c>
      <c r="C2979" s="25"/>
      <c r="D2979" s="5" t="s">
        <v>38</v>
      </c>
      <c r="E2979" s="166">
        <f t="shared" ref="E2979:O2979" si="566">SUM(E2963:E2978)</f>
        <v>47</v>
      </c>
      <c r="F2979" s="167">
        <f t="shared" si="566"/>
        <v>40</v>
      </c>
      <c r="G2979" s="167">
        <f t="shared" si="566"/>
        <v>39</v>
      </c>
      <c r="H2979" s="167">
        <f t="shared" si="566"/>
        <v>37</v>
      </c>
      <c r="I2979" s="167">
        <f t="shared" si="566"/>
        <v>37</v>
      </c>
      <c r="J2979" s="167">
        <f t="shared" si="566"/>
        <v>36</v>
      </c>
      <c r="K2979" s="167">
        <f t="shared" si="566"/>
        <v>35</v>
      </c>
      <c r="L2979" s="167">
        <f t="shared" si="566"/>
        <v>35</v>
      </c>
      <c r="M2979" s="167">
        <f t="shared" si="566"/>
        <v>35</v>
      </c>
      <c r="N2979" s="167">
        <f t="shared" si="566"/>
        <v>40</v>
      </c>
      <c r="O2979" s="166">
        <f t="shared" si="566"/>
        <v>41</v>
      </c>
      <c r="P2979" s="167">
        <f t="shared" ref="P2979" si="567">MIN(F2979:O2979)</f>
        <v>35</v>
      </c>
      <c r="Q2979" s="167">
        <f t="shared" ref="Q2979:Q2980" si="568">E2979-P2979</f>
        <v>12</v>
      </c>
      <c r="R2979" s="168">
        <f t="shared" ref="R2979:R2980" si="569">Q2979/E2979</f>
        <v>0.25531914893617019</v>
      </c>
      <c r="S2979" s="503"/>
    </row>
    <row r="2980" spans="1:19" ht="9.75" customHeight="1">
      <c r="A2980" s="503"/>
      <c r="B2980" s="503"/>
      <c r="C2980" s="1" t="s">
        <v>423</v>
      </c>
      <c r="D2980" s="108" t="s">
        <v>23</v>
      </c>
      <c r="E2980" s="136">
        <v>43</v>
      </c>
      <c r="F2980" s="91">
        <v>33</v>
      </c>
      <c r="G2980" s="11">
        <v>32</v>
      </c>
      <c r="H2980" s="11">
        <v>31</v>
      </c>
      <c r="I2980" s="11">
        <v>31</v>
      </c>
      <c r="J2980" s="11">
        <v>31</v>
      </c>
      <c r="K2980" s="11">
        <v>31</v>
      </c>
      <c r="L2980" s="11">
        <v>31</v>
      </c>
      <c r="M2980" s="11">
        <v>35</v>
      </c>
      <c r="N2980" s="11">
        <v>37</v>
      </c>
      <c r="O2980" s="136">
        <v>39</v>
      </c>
      <c r="P2980" s="11">
        <f>MIN(F2980:O2980)</f>
        <v>31</v>
      </c>
      <c r="Q2980" s="11">
        <f t="shared" si="568"/>
        <v>12</v>
      </c>
      <c r="R2980" s="122">
        <f t="shared" si="569"/>
        <v>0.27906976744186046</v>
      </c>
      <c r="S2980" s="503"/>
    </row>
    <row r="2981" spans="1:19" ht="9.75" customHeight="1">
      <c r="A2981" s="503"/>
      <c r="B2981" s="503"/>
      <c r="C2981" s="13"/>
      <c r="D2981" s="108" t="s">
        <v>25</v>
      </c>
      <c r="E2981" s="108"/>
      <c r="F2981" s="503"/>
      <c r="G2981" s="91"/>
      <c r="H2981" s="91"/>
      <c r="I2981" s="91"/>
      <c r="J2981" s="91"/>
      <c r="K2981" s="91"/>
      <c r="L2981" s="91"/>
      <c r="M2981" s="91"/>
      <c r="N2981" s="91"/>
      <c r="O2981" s="108"/>
      <c r="P2981" s="91"/>
      <c r="Q2981" s="91"/>
      <c r="R2981" s="107"/>
      <c r="S2981" s="503"/>
    </row>
    <row r="2982" spans="1:19" ht="9.75" customHeight="1">
      <c r="A2982" s="503"/>
      <c r="B2982" s="503"/>
      <c r="C2982" s="13"/>
      <c r="D2982" s="108" t="s">
        <v>27</v>
      </c>
      <c r="E2982" s="108"/>
      <c r="F2982" s="91"/>
      <c r="G2982" s="91"/>
      <c r="H2982" s="91"/>
      <c r="I2982" s="91"/>
      <c r="J2982" s="91"/>
      <c r="K2982" s="91"/>
      <c r="L2982" s="91"/>
      <c r="M2982" s="91"/>
      <c r="N2982" s="91"/>
      <c r="O2982" s="108"/>
      <c r="P2982" s="91"/>
      <c r="Q2982" s="91"/>
      <c r="R2982" s="107"/>
      <c r="S2982" s="503"/>
    </row>
    <row r="2983" spans="1:19" ht="9.75" customHeight="1">
      <c r="A2983" s="503"/>
      <c r="B2983" s="503"/>
      <c r="C2983" s="13"/>
      <c r="D2983" s="108" t="s">
        <v>115</v>
      </c>
      <c r="E2983" s="108"/>
      <c r="F2983" s="91"/>
      <c r="G2983" s="91"/>
      <c r="H2983" s="91"/>
      <c r="I2983" s="91"/>
      <c r="J2983" s="91"/>
      <c r="K2983" s="91"/>
      <c r="L2983" s="91"/>
      <c r="M2983" s="91"/>
      <c r="N2983" s="91"/>
      <c r="O2983" s="108"/>
      <c r="P2983" s="91"/>
      <c r="Q2983" s="91"/>
      <c r="R2983" s="107"/>
      <c r="S2983" s="503"/>
    </row>
    <row r="2984" spans="1:19" ht="9.75" customHeight="1">
      <c r="A2984" s="503"/>
      <c r="B2984" s="503"/>
      <c r="C2984" s="1"/>
      <c r="D2984" s="108" t="s">
        <v>115</v>
      </c>
      <c r="E2984" s="108"/>
      <c r="F2984" s="91"/>
      <c r="G2984" s="91"/>
      <c r="H2984" s="91"/>
      <c r="I2984" s="91"/>
      <c r="J2984" s="91"/>
      <c r="K2984" s="91"/>
      <c r="L2984" s="91"/>
      <c r="M2984" s="91"/>
      <c r="N2984" s="91"/>
      <c r="O2984" s="108"/>
      <c r="P2984" s="91"/>
      <c r="Q2984" s="91"/>
      <c r="R2984" s="107"/>
      <c r="S2984" s="503"/>
    </row>
    <row r="2985" spans="1:19" ht="9.75" customHeight="1">
      <c r="A2985" s="503"/>
      <c r="B2985" s="503"/>
      <c r="C2985" s="1"/>
      <c r="D2985" s="108" t="s">
        <v>32</v>
      </c>
      <c r="E2985" s="108"/>
      <c r="F2985" s="91"/>
      <c r="G2985" s="91"/>
      <c r="H2985" s="91"/>
      <c r="I2985" s="91"/>
      <c r="J2985" s="91"/>
      <c r="K2985" s="91"/>
      <c r="L2985" s="91"/>
      <c r="M2985" s="91"/>
      <c r="N2985" s="91"/>
      <c r="O2985" s="108"/>
      <c r="P2985" s="91"/>
      <c r="Q2985" s="91"/>
      <c r="R2985" s="107"/>
      <c r="S2985" s="503"/>
    </row>
    <row r="2986" spans="1:19" ht="9.75" customHeight="1">
      <c r="A2986" s="503"/>
      <c r="B2986" s="503"/>
      <c r="C2986" s="1"/>
      <c r="D2986" s="108" t="s">
        <v>120</v>
      </c>
      <c r="E2986" s="108"/>
      <c r="F2986" s="91"/>
      <c r="G2986" s="91"/>
      <c r="H2986" s="91"/>
      <c r="I2986" s="91"/>
      <c r="J2986" s="91"/>
      <c r="K2986" s="91"/>
      <c r="L2986" s="91"/>
      <c r="M2986" s="91"/>
      <c r="N2986" s="91"/>
      <c r="O2986" s="108"/>
      <c r="P2986" s="91"/>
      <c r="Q2986" s="91"/>
      <c r="R2986" s="107"/>
      <c r="S2986" s="503"/>
    </row>
    <row r="2987" spans="1:19" ht="9.75" customHeight="1">
      <c r="A2987" s="503"/>
      <c r="B2987" s="503"/>
      <c r="C2987" s="1"/>
      <c r="D2987" s="108" t="s">
        <v>120</v>
      </c>
      <c r="E2987" s="108"/>
      <c r="F2987" s="91"/>
      <c r="G2987" s="91"/>
      <c r="H2987" s="91"/>
      <c r="I2987" s="91"/>
      <c r="J2987" s="91"/>
      <c r="K2987" s="91"/>
      <c r="L2987" s="91"/>
      <c r="M2987" s="91"/>
      <c r="N2987" s="91"/>
      <c r="O2987" s="108"/>
      <c r="P2987" s="91"/>
      <c r="Q2987" s="91"/>
      <c r="R2987" s="107"/>
      <c r="S2987" s="503"/>
    </row>
    <row r="2988" spans="1:19" ht="9.75" customHeight="1">
      <c r="A2988" s="503"/>
      <c r="B2988" s="503"/>
      <c r="C2988" s="1"/>
      <c r="D2988" s="108" t="s">
        <v>120</v>
      </c>
      <c r="E2988" s="108"/>
      <c r="F2988" s="91"/>
      <c r="G2988" s="91"/>
      <c r="H2988" s="91"/>
      <c r="I2988" s="91"/>
      <c r="J2988" s="91"/>
      <c r="K2988" s="91"/>
      <c r="L2988" s="91"/>
      <c r="M2988" s="91"/>
      <c r="N2988" s="91"/>
      <c r="O2988" s="108"/>
      <c r="P2988" s="91"/>
      <c r="Q2988" s="91"/>
      <c r="R2988" s="107"/>
      <c r="S2988" s="503"/>
    </row>
    <row r="2989" spans="1:19" ht="9.75" customHeight="1">
      <c r="A2989" s="503"/>
      <c r="B2989" s="503"/>
      <c r="C2989" s="1"/>
      <c r="D2989" s="108" t="s">
        <v>120</v>
      </c>
      <c r="E2989" s="108"/>
      <c r="F2989" s="91"/>
      <c r="G2989" s="91"/>
      <c r="H2989" s="91"/>
      <c r="I2989" s="91"/>
      <c r="J2989" s="91"/>
      <c r="K2989" s="91"/>
      <c r="L2989" s="91"/>
      <c r="M2989" s="91"/>
      <c r="N2989" s="91"/>
      <c r="O2989" s="108"/>
      <c r="P2989" s="91"/>
      <c r="Q2989" s="91"/>
      <c r="R2989" s="107"/>
      <c r="S2989" s="503"/>
    </row>
    <row r="2990" spans="1:19" ht="9.75" customHeight="1">
      <c r="A2990" s="503"/>
      <c r="B2990" s="503"/>
      <c r="C2990" s="1"/>
      <c r="D2990" s="108" t="s">
        <v>120</v>
      </c>
      <c r="E2990" s="108"/>
      <c r="F2990" s="91"/>
      <c r="G2990" s="91"/>
      <c r="H2990" s="91"/>
      <c r="I2990" s="91"/>
      <c r="J2990" s="91"/>
      <c r="K2990" s="91"/>
      <c r="L2990" s="91"/>
      <c r="M2990" s="91"/>
      <c r="N2990" s="91"/>
      <c r="O2990" s="108"/>
      <c r="P2990" s="91"/>
      <c r="Q2990" s="91"/>
      <c r="R2990" s="107"/>
      <c r="S2990" s="503"/>
    </row>
    <row r="2991" spans="1:19" ht="9.75" customHeight="1">
      <c r="A2991" s="503"/>
      <c r="B2991" s="503"/>
      <c r="C2991" s="1"/>
      <c r="D2991" s="108" t="s">
        <v>120</v>
      </c>
      <c r="E2991" s="108"/>
      <c r="F2991" s="91"/>
      <c r="G2991" s="91"/>
      <c r="H2991" s="91"/>
      <c r="I2991" s="91"/>
      <c r="J2991" s="91"/>
      <c r="K2991" s="91"/>
      <c r="L2991" s="91"/>
      <c r="M2991" s="91"/>
      <c r="N2991" s="91"/>
      <c r="O2991" s="108"/>
      <c r="P2991" s="91"/>
      <c r="Q2991" s="91"/>
      <c r="R2991" s="107"/>
      <c r="S2991" s="503"/>
    </row>
    <row r="2992" spans="1:19" ht="9.75" customHeight="1">
      <c r="A2992" s="503"/>
      <c r="B2992" s="503"/>
      <c r="C2992" s="1"/>
      <c r="D2992" s="108" t="s">
        <v>34</v>
      </c>
      <c r="E2992" s="136">
        <v>1</v>
      </c>
      <c r="F2992" s="11">
        <v>1</v>
      </c>
      <c r="G2992" s="11">
        <v>1</v>
      </c>
      <c r="H2992" s="11">
        <v>1</v>
      </c>
      <c r="I2992" s="11">
        <v>1</v>
      </c>
      <c r="J2992" s="11">
        <v>1</v>
      </c>
      <c r="K2992" s="11">
        <v>1</v>
      </c>
      <c r="L2992" s="11">
        <v>1</v>
      </c>
      <c r="M2992" s="11">
        <v>1</v>
      </c>
      <c r="N2992" s="11">
        <v>1</v>
      </c>
      <c r="O2992" s="136">
        <v>1</v>
      </c>
      <c r="P2992" s="11">
        <f>MIN(F2992:O2992)</f>
        <v>1</v>
      </c>
      <c r="Q2992" s="11">
        <f>E2992-P2992</f>
        <v>0</v>
      </c>
      <c r="R2992" s="122">
        <f>Q2992/E2992</f>
        <v>0</v>
      </c>
      <c r="S2992" s="503"/>
    </row>
    <row r="2993" spans="1:19" ht="9.75" customHeight="1">
      <c r="A2993" s="503"/>
      <c r="B2993" s="503"/>
      <c r="C2993" s="1"/>
      <c r="D2993" s="108" t="s">
        <v>35</v>
      </c>
      <c r="E2993" s="108"/>
      <c r="F2993" s="91"/>
      <c r="G2993" s="91"/>
      <c r="H2993" s="91"/>
      <c r="I2993" s="91"/>
      <c r="J2993" s="91"/>
      <c r="K2993" s="91"/>
      <c r="L2993" s="91"/>
      <c r="M2993" s="91"/>
      <c r="N2993" s="91"/>
      <c r="O2993" s="108"/>
      <c r="P2993" s="91"/>
      <c r="Q2993" s="91"/>
      <c r="R2993" s="107"/>
      <c r="S2993" s="503"/>
    </row>
    <row r="2994" spans="1:19" ht="9.75" customHeight="1">
      <c r="A2994" s="503"/>
      <c r="B2994" s="503"/>
      <c r="C2994" s="1"/>
      <c r="D2994" s="108" t="s">
        <v>36</v>
      </c>
      <c r="E2994" s="108"/>
      <c r="F2994" s="91"/>
      <c r="G2994" s="91"/>
      <c r="H2994" s="91"/>
      <c r="I2994" s="91"/>
      <c r="J2994" s="91"/>
      <c r="K2994" s="91"/>
      <c r="L2994" s="91"/>
      <c r="M2994" s="91"/>
      <c r="N2994" s="91"/>
      <c r="O2994" s="108"/>
      <c r="P2994" s="91"/>
      <c r="Q2994" s="91"/>
      <c r="R2994" s="107"/>
      <c r="S2994" s="503"/>
    </row>
    <row r="2995" spans="1:19" ht="9.75" customHeight="1">
      <c r="A2995" s="503"/>
      <c r="B2995" s="503"/>
      <c r="C2995" s="1"/>
      <c r="D2995" s="113" t="s">
        <v>37</v>
      </c>
      <c r="E2995" s="113"/>
      <c r="F2995" s="112"/>
      <c r="G2995" s="112"/>
      <c r="H2995" s="112"/>
      <c r="I2995" s="112"/>
      <c r="J2995" s="112"/>
      <c r="K2995" s="112"/>
      <c r="L2995" s="112"/>
      <c r="M2995" s="112"/>
      <c r="N2995" s="112"/>
      <c r="O2995" s="113"/>
      <c r="P2995" s="112"/>
      <c r="Q2995" s="112"/>
      <c r="R2995" s="165"/>
      <c r="S2995" s="503"/>
    </row>
    <row r="2996" spans="1:19" ht="9.75" customHeight="1">
      <c r="A2996" s="503"/>
      <c r="B2996" s="503" t="s">
        <v>127</v>
      </c>
      <c r="C2996" s="25"/>
      <c r="D2996" s="5" t="s">
        <v>38</v>
      </c>
      <c r="E2996" s="166">
        <f t="shared" ref="E2996:O2996" si="570">SUM(E2980:E2995)</f>
        <v>44</v>
      </c>
      <c r="F2996" s="167">
        <f>SUM(F2980:F2995)</f>
        <v>34</v>
      </c>
      <c r="G2996" s="167">
        <f t="shared" si="570"/>
        <v>33</v>
      </c>
      <c r="H2996" s="167">
        <f t="shared" si="570"/>
        <v>32</v>
      </c>
      <c r="I2996" s="167">
        <f t="shared" si="570"/>
        <v>32</v>
      </c>
      <c r="J2996" s="167">
        <f t="shared" si="570"/>
        <v>32</v>
      </c>
      <c r="K2996" s="167">
        <f t="shared" si="570"/>
        <v>32</v>
      </c>
      <c r="L2996" s="167">
        <f t="shared" si="570"/>
        <v>32</v>
      </c>
      <c r="M2996" s="167">
        <f t="shared" si="570"/>
        <v>36</v>
      </c>
      <c r="N2996" s="167">
        <f t="shared" si="570"/>
        <v>38</v>
      </c>
      <c r="O2996" s="166">
        <f t="shared" si="570"/>
        <v>40</v>
      </c>
      <c r="P2996" s="167">
        <f>MIN(F2996:O2996)</f>
        <v>32</v>
      </c>
      <c r="Q2996" s="167">
        <f>E2996-P2996</f>
        <v>12</v>
      </c>
      <c r="R2996" s="168">
        <f>Q2996/E2996</f>
        <v>0.27272727272727271</v>
      </c>
      <c r="S2996" s="503"/>
    </row>
    <row r="2997" spans="1:19" ht="9.75" customHeight="1">
      <c r="A2997" s="503"/>
      <c r="B2997" s="503"/>
      <c r="C2997" s="1" t="s">
        <v>424</v>
      </c>
      <c r="D2997" s="108" t="s">
        <v>23</v>
      </c>
      <c r="E2997" s="108"/>
      <c r="F2997" s="91"/>
      <c r="G2997" s="91"/>
      <c r="H2997" s="91"/>
      <c r="I2997" s="91"/>
      <c r="J2997" s="91"/>
      <c r="K2997" s="91"/>
      <c r="L2997" s="91"/>
      <c r="M2997" s="91"/>
      <c r="N2997" s="91"/>
      <c r="O2997" s="108"/>
      <c r="P2997" s="91"/>
      <c r="Q2997" s="91"/>
      <c r="R2997" s="107"/>
      <c r="S2997" s="503"/>
    </row>
    <row r="2998" spans="1:19" ht="9.75" customHeight="1">
      <c r="A2998" s="503"/>
      <c r="B2998" s="503"/>
      <c r="C2998" s="13"/>
      <c r="D2998" s="108" t="s">
        <v>25</v>
      </c>
      <c r="E2998" s="136">
        <v>53</v>
      </c>
      <c r="F2998" s="11">
        <v>40</v>
      </c>
      <c r="G2998" s="11">
        <v>35</v>
      </c>
      <c r="H2998" s="11">
        <v>36</v>
      </c>
      <c r="I2998" s="11">
        <v>36</v>
      </c>
      <c r="J2998" s="11">
        <v>36</v>
      </c>
      <c r="K2998" s="11">
        <v>35</v>
      </c>
      <c r="L2998" s="11">
        <v>34</v>
      </c>
      <c r="M2998" s="11">
        <v>33</v>
      </c>
      <c r="N2998" s="11">
        <v>33</v>
      </c>
      <c r="O2998" s="136">
        <v>33</v>
      </c>
      <c r="P2998" s="11">
        <f>MIN(F2998:O2998)</f>
        <v>33</v>
      </c>
      <c r="Q2998" s="11">
        <f>E2998-P2998</f>
        <v>20</v>
      </c>
      <c r="R2998" s="122">
        <f>Q2998/E2998</f>
        <v>0.37735849056603776</v>
      </c>
      <c r="S2998" s="503"/>
    </row>
    <row r="2999" spans="1:19" ht="9.75" customHeight="1">
      <c r="A2999" s="503"/>
      <c r="B2999" s="503"/>
      <c r="C2999" s="13"/>
      <c r="D2999" s="108" t="s">
        <v>27</v>
      </c>
      <c r="E2999" s="108"/>
      <c r="F2999" s="91"/>
      <c r="G2999" s="91"/>
      <c r="H2999" s="91"/>
      <c r="I2999" s="91"/>
      <c r="J2999" s="91"/>
      <c r="K2999" s="91"/>
      <c r="L2999" s="91"/>
      <c r="M2999" s="91"/>
      <c r="N2999" s="91"/>
      <c r="O2999" s="108"/>
      <c r="P2999" s="91"/>
      <c r="Q2999" s="91"/>
      <c r="R2999" s="107"/>
      <c r="S2999" s="503"/>
    </row>
    <row r="3000" spans="1:19" ht="9.75" customHeight="1">
      <c r="A3000" s="503"/>
      <c r="B3000" s="503"/>
      <c r="C3000" s="13"/>
      <c r="D3000" s="108" t="s">
        <v>115</v>
      </c>
      <c r="E3000" s="108"/>
      <c r="F3000" s="91"/>
      <c r="G3000" s="91"/>
      <c r="H3000" s="91"/>
      <c r="I3000" s="91"/>
      <c r="J3000" s="91"/>
      <c r="K3000" s="91"/>
      <c r="L3000" s="91"/>
      <c r="M3000" s="91"/>
      <c r="N3000" s="91"/>
      <c r="O3000" s="108"/>
      <c r="P3000" s="91"/>
      <c r="Q3000" s="91"/>
      <c r="R3000" s="107"/>
      <c r="S3000" s="503"/>
    </row>
    <row r="3001" spans="1:19" ht="9.75" customHeight="1">
      <c r="A3001" s="503"/>
      <c r="B3001" s="503"/>
      <c r="C3001" s="1"/>
      <c r="D3001" s="108" t="s">
        <v>115</v>
      </c>
      <c r="E3001" s="108"/>
      <c r="F3001" s="91"/>
      <c r="G3001" s="91"/>
      <c r="H3001" s="91"/>
      <c r="I3001" s="91"/>
      <c r="J3001" s="91"/>
      <c r="K3001" s="91"/>
      <c r="L3001" s="91"/>
      <c r="M3001" s="91"/>
      <c r="N3001" s="91"/>
      <c r="O3001" s="108"/>
      <c r="P3001" s="91"/>
      <c r="Q3001" s="91"/>
      <c r="R3001" s="107"/>
      <c r="S3001" s="503"/>
    </row>
    <row r="3002" spans="1:19" ht="9.75" customHeight="1">
      <c r="A3002" s="503"/>
      <c r="B3002" s="503"/>
      <c r="C3002" s="1"/>
      <c r="D3002" s="108" t="s">
        <v>32</v>
      </c>
      <c r="E3002" s="108"/>
      <c r="F3002" s="91"/>
      <c r="G3002" s="91"/>
      <c r="H3002" s="91"/>
      <c r="I3002" s="91"/>
      <c r="J3002" s="91"/>
      <c r="K3002" s="91"/>
      <c r="L3002" s="91"/>
      <c r="M3002" s="91"/>
      <c r="N3002" s="91"/>
      <c r="O3002" s="108"/>
      <c r="P3002" s="91"/>
      <c r="Q3002" s="91"/>
      <c r="R3002" s="107"/>
      <c r="S3002" s="503"/>
    </row>
    <row r="3003" spans="1:19" ht="9.75" customHeight="1">
      <c r="A3003" s="503"/>
      <c r="B3003" s="503"/>
      <c r="C3003" s="1"/>
      <c r="D3003" s="108" t="s">
        <v>120</v>
      </c>
      <c r="E3003" s="108"/>
      <c r="F3003" s="91"/>
      <c r="G3003" s="91"/>
      <c r="H3003" s="91"/>
      <c r="I3003" s="91"/>
      <c r="J3003" s="91"/>
      <c r="K3003" s="91"/>
      <c r="L3003" s="91"/>
      <c r="M3003" s="91"/>
      <c r="N3003" s="91"/>
      <c r="O3003" s="108"/>
      <c r="P3003" s="91"/>
      <c r="Q3003" s="91"/>
      <c r="R3003" s="107"/>
      <c r="S3003" s="503"/>
    </row>
    <row r="3004" spans="1:19" ht="9.75" customHeight="1">
      <c r="A3004" s="503"/>
      <c r="B3004" s="503"/>
      <c r="C3004" s="1"/>
      <c r="D3004" s="108" t="s">
        <v>120</v>
      </c>
      <c r="E3004" s="108"/>
      <c r="F3004" s="91"/>
      <c r="G3004" s="91"/>
      <c r="H3004" s="91"/>
      <c r="I3004" s="91"/>
      <c r="J3004" s="91"/>
      <c r="K3004" s="91"/>
      <c r="L3004" s="91"/>
      <c r="M3004" s="91"/>
      <c r="N3004" s="91"/>
      <c r="O3004" s="108"/>
      <c r="P3004" s="91"/>
      <c r="Q3004" s="91"/>
      <c r="R3004" s="107"/>
      <c r="S3004" s="503"/>
    </row>
    <row r="3005" spans="1:19" ht="9.75" customHeight="1">
      <c r="A3005" s="503"/>
      <c r="B3005" s="503"/>
      <c r="C3005" s="1"/>
      <c r="D3005" s="108" t="s">
        <v>120</v>
      </c>
      <c r="E3005" s="108"/>
      <c r="F3005" s="91"/>
      <c r="G3005" s="91"/>
      <c r="H3005" s="91"/>
      <c r="I3005" s="91"/>
      <c r="J3005" s="91"/>
      <c r="K3005" s="91"/>
      <c r="L3005" s="91"/>
      <c r="M3005" s="91"/>
      <c r="N3005" s="91"/>
      <c r="O3005" s="108"/>
      <c r="P3005" s="91"/>
      <c r="Q3005" s="91"/>
      <c r="R3005" s="107"/>
      <c r="S3005" s="503"/>
    </row>
    <row r="3006" spans="1:19" ht="9.75" customHeight="1">
      <c r="A3006" s="503"/>
      <c r="B3006" s="503"/>
      <c r="C3006" s="1"/>
      <c r="D3006" s="108" t="s">
        <v>120</v>
      </c>
      <c r="E3006" s="108"/>
      <c r="F3006" s="91"/>
      <c r="G3006" s="91"/>
      <c r="H3006" s="91"/>
      <c r="I3006" s="91"/>
      <c r="J3006" s="91"/>
      <c r="K3006" s="91"/>
      <c r="L3006" s="91"/>
      <c r="M3006" s="91"/>
      <c r="N3006" s="91"/>
      <c r="O3006" s="108"/>
      <c r="P3006" s="91"/>
      <c r="Q3006" s="91"/>
      <c r="R3006" s="107"/>
      <c r="S3006" s="503"/>
    </row>
    <row r="3007" spans="1:19" ht="9.75" customHeight="1">
      <c r="A3007" s="503"/>
      <c r="B3007" s="503"/>
      <c r="C3007" s="1"/>
      <c r="D3007" s="108" t="s">
        <v>120</v>
      </c>
      <c r="E3007" s="108"/>
      <c r="F3007" s="91"/>
      <c r="G3007" s="91"/>
      <c r="H3007" s="91"/>
      <c r="I3007" s="91"/>
      <c r="J3007" s="91"/>
      <c r="K3007" s="91"/>
      <c r="L3007" s="91"/>
      <c r="M3007" s="91"/>
      <c r="N3007" s="91"/>
      <c r="O3007" s="108"/>
      <c r="P3007" s="91"/>
      <c r="Q3007" s="91"/>
      <c r="R3007" s="107"/>
      <c r="S3007" s="503"/>
    </row>
    <row r="3008" spans="1:19" ht="9.75" customHeight="1">
      <c r="A3008" s="503"/>
      <c r="B3008" s="503"/>
      <c r="C3008" s="1"/>
      <c r="D3008" s="108" t="s">
        <v>120</v>
      </c>
      <c r="E3008" s="108"/>
      <c r="F3008" s="91"/>
      <c r="G3008" s="91"/>
      <c r="H3008" s="91"/>
      <c r="I3008" s="91"/>
      <c r="J3008" s="91"/>
      <c r="K3008" s="91"/>
      <c r="L3008" s="91"/>
      <c r="M3008" s="91"/>
      <c r="N3008" s="91"/>
      <c r="O3008" s="108"/>
      <c r="P3008" s="91"/>
      <c r="Q3008" s="91"/>
      <c r="R3008" s="107"/>
      <c r="S3008" s="503"/>
    </row>
    <row r="3009" spans="1:19" ht="9.75" customHeight="1">
      <c r="A3009" s="503"/>
      <c r="B3009" s="503"/>
      <c r="C3009" s="1"/>
      <c r="D3009" s="108" t="s">
        <v>34</v>
      </c>
      <c r="E3009" s="136">
        <v>2</v>
      </c>
      <c r="F3009" s="11">
        <v>2</v>
      </c>
      <c r="G3009" s="11">
        <v>2</v>
      </c>
      <c r="H3009" s="11">
        <v>2</v>
      </c>
      <c r="I3009" s="11">
        <v>1</v>
      </c>
      <c r="J3009" s="11">
        <v>1</v>
      </c>
      <c r="K3009" s="11">
        <v>1</v>
      </c>
      <c r="L3009" s="11">
        <v>1</v>
      </c>
      <c r="M3009" s="11">
        <v>2</v>
      </c>
      <c r="N3009" s="11">
        <v>2</v>
      </c>
      <c r="O3009" s="136">
        <v>2</v>
      </c>
      <c r="P3009" s="11">
        <f>MIN(F3009:O3009)</f>
        <v>1</v>
      </c>
      <c r="Q3009" s="11">
        <f>E3009-P3009</f>
        <v>1</v>
      </c>
      <c r="R3009" s="122">
        <f>Q3009/E3009</f>
        <v>0.5</v>
      </c>
      <c r="S3009" s="503"/>
    </row>
    <row r="3010" spans="1:19" ht="9.75" customHeight="1">
      <c r="A3010" s="503"/>
      <c r="B3010" s="503"/>
      <c r="C3010" s="1"/>
      <c r="D3010" s="108" t="s">
        <v>35</v>
      </c>
      <c r="E3010" s="108"/>
      <c r="F3010" s="91"/>
      <c r="G3010" s="91"/>
      <c r="H3010" s="91"/>
      <c r="I3010" s="91"/>
      <c r="J3010" s="91"/>
      <c r="K3010" s="91"/>
      <c r="L3010" s="91"/>
      <c r="M3010" s="91"/>
      <c r="N3010" s="91"/>
      <c r="O3010" s="108"/>
      <c r="P3010" s="91"/>
      <c r="Q3010" s="91"/>
      <c r="R3010" s="107"/>
      <c r="S3010" s="503"/>
    </row>
    <row r="3011" spans="1:19" ht="9.75" customHeight="1">
      <c r="A3011" s="503"/>
      <c r="B3011" s="503"/>
      <c r="C3011" s="1"/>
      <c r="D3011" s="108" t="s">
        <v>36</v>
      </c>
      <c r="E3011" s="108"/>
      <c r="F3011" s="91"/>
      <c r="G3011" s="91"/>
      <c r="H3011" s="91"/>
      <c r="I3011" s="91"/>
      <c r="J3011" s="91"/>
      <c r="K3011" s="91"/>
      <c r="L3011" s="91"/>
      <c r="M3011" s="91"/>
      <c r="N3011" s="91"/>
      <c r="O3011" s="108"/>
      <c r="P3011" s="91"/>
      <c r="Q3011" s="91"/>
      <c r="R3011" s="107"/>
      <c r="S3011" s="503"/>
    </row>
    <row r="3012" spans="1:19" ht="9.75" customHeight="1">
      <c r="A3012" s="503"/>
      <c r="B3012" s="503"/>
      <c r="C3012" s="1"/>
      <c r="D3012" s="113" t="s">
        <v>37</v>
      </c>
      <c r="E3012" s="113"/>
      <c r="F3012" s="112"/>
      <c r="G3012" s="112"/>
      <c r="H3012" s="112"/>
      <c r="I3012" s="112"/>
      <c r="J3012" s="112"/>
      <c r="K3012" s="112"/>
      <c r="L3012" s="112"/>
      <c r="M3012" s="112"/>
      <c r="N3012" s="112"/>
      <c r="O3012" s="113"/>
      <c r="P3012" s="112"/>
      <c r="Q3012" s="112"/>
      <c r="R3012" s="165"/>
      <c r="S3012" s="503"/>
    </row>
    <row r="3013" spans="1:19" ht="9.75" customHeight="1">
      <c r="A3013" s="503"/>
      <c r="B3013" s="503" t="s">
        <v>127</v>
      </c>
      <c r="C3013" s="25"/>
      <c r="D3013" s="5" t="s">
        <v>38</v>
      </c>
      <c r="E3013" s="166">
        <f t="shared" ref="E3013:O3013" si="571">SUM(E2997:E3012)</f>
        <v>55</v>
      </c>
      <c r="F3013" s="167">
        <f t="shared" si="571"/>
        <v>42</v>
      </c>
      <c r="G3013" s="167">
        <f t="shared" si="571"/>
        <v>37</v>
      </c>
      <c r="H3013" s="167">
        <f t="shared" si="571"/>
        <v>38</v>
      </c>
      <c r="I3013" s="167">
        <f t="shared" si="571"/>
        <v>37</v>
      </c>
      <c r="J3013" s="167">
        <f t="shared" si="571"/>
        <v>37</v>
      </c>
      <c r="K3013" s="167">
        <f t="shared" si="571"/>
        <v>36</v>
      </c>
      <c r="L3013" s="167">
        <f t="shared" si="571"/>
        <v>35</v>
      </c>
      <c r="M3013" s="167">
        <f t="shared" si="571"/>
        <v>35</v>
      </c>
      <c r="N3013" s="167">
        <f t="shared" si="571"/>
        <v>35</v>
      </c>
      <c r="O3013" s="166">
        <f t="shared" si="571"/>
        <v>35</v>
      </c>
      <c r="P3013" s="167">
        <f>MIN(F3013:O3013)</f>
        <v>35</v>
      </c>
      <c r="Q3013" s="167">
        <f>E3013-P3013</f>
        <v>20</v>
      </c>
      <c r="R3013" s="168">
        <f>Q3013/E3013</f>
        <v>0.36363636363636365</v>
      </c>
      <c r="S3013" s="503"/>
    </row>
    <row r="3014" spans="1:19" ht="9.75" customHeight="1">
      <c r="A3014" s="503"/>
      <c r="B3014" s="503"/>
      <c r="C3014" s="1" t="s">
        <v>425</v>
      </c>
      <c r="D3014" s="108" t="s">
        <v>23</v>
      </c>
      <c r="E3014" s="108"/>
      <c r="F3014" s="91"/>
      <c r="G3014" s="91"/>
      <c r="H3014" s="91"/>
      <c r="I3014" s="91"/>
      <c r="J3014" s="91"/>
      <c r="K3014" s="91"/>
      <c r="L3014" s="91"/>
      <c r="M3014" s="91"/>
      <c r="N3014" s="91"/>
      <c r="O3014" s="108"/>
      <c r="P3014" s="91"/>
      <c r="Q3014" s="91"/>
      <c r="R3014" s="107"/>
      <c r="S3014" s="503"/>
    </row>
    <row r="3015" spans="1:19" ht="9.75" customHeight="1">
      <c r="A3015" s="503"/>
      <c r="B3015" s="503"/>
      <c r="C3015" s="13"/>
      <c r="D3015" s="108" t="s">
        <v>25</v>
      </c>
      <c r="E3015" s="136">
        <v>80</v>
      </c>
      <c r="F3015" s="11">
        <v>40</v>
      </c>
      <c r="G3015" s="11">
        <v>35</v>
      </c>
      <c r="H3015" s="11">
        <v>34</v>
      </c>
      <c r="I3015" s="11">
        <v>29</v>
      </c>
      <c r="J3015" s="11">
        <v>27</v>
      </c>
      <c r="K3015" s="11">
        <v>25</v>
      </c>
      <c r="L3015" s="11">
        <v>24</v>
      </c>
      <c r="M3015" s="11">
        <v>30</v>
      </c>
      <c r="N3015" s="11">
        <v>37</v>
      </c>
      <c r="O3015" s="136">
        <v>35</v>
      </c>
      <c r="P3015" s="11">
        <f>MIN(F3015:O3015)</f>
        <v>24</v>
      </c>
      <c r="Q3015" s="11">
        <f>E3015-P3015</f>
        <v>56</v>
      </c>
      <c r="R3015" s="122">
        <f>Q3015/E3015</f>
        <v>0.7</v>
      </c>
      <c r="S3015" s="503"/>
    </row>
    <row r="3016" spans="1:19" ht="9.75" customHeight="1">
      <c r="A3016" s="503"/>
      <c r="B3016" s="503"/>
      <c r="C3016" s="13"/>
      <c r="D3016" s="108" t="s">
        <v>27</v>
      </c>
      <c r="E3016" s="108"/>
      <c r="F3016" s="91"/>
      <c r="G3016" s="91"/>
      <c r="H3016" s="91"/>
      <c r="I3016" s="91"/>
      <c r="J3016" s="91"/>
      <c r="K3016" s="91"/>
      <c r="L3016" s="91"/>
      <c r="M3016" s="91"/>
      <c r="N3016" s="91"/>
      <c r="O3016" s="108"/>
      <c r="P3016" s="91"/>
      <c r="Q3016" s="91"/>
      <c r="R3016" s="107"/>
      <c r="S3016" s="503"/>
    </row>
    <row r="3017" spans="1:19" ht="9.75" customHeight="1">
      <c r="A3017" s="503"/>
      <c r="B3017" s="503"/>
      <c r="C3017" s="13"/>
      <c r="D3017" s="108" t="s">
        <v>115</v>
      </c>
      <c r="E3017" s="108"/>
      <c r="F3017" s="91"/>
      <c r="G3017" s="91"/>
      <c r="H3017" s="91"/>
      <c r="I3017" s="91"/>
      <c r="J3017" s="91"/>
      <c r="K3017" s="91"/>
      <c r="L3017" s="91"/>
      <c r="M3017" s="91"/>
      <c r="N3017" s="91"/>
      <c r="O3017" s="108"/>
      <c r="P3017" s="91"/>
      <c r="Q3017" s="91"/>
      <c r="R3017" s="107"/>
      <c r="S3017" s="503"/>
    </row>
    <row r="3018" spans="1:19" ht="9.75" customHeight="1">
      <c r="A3018" s="503"/>
      <c r="B3018" s="503"/>
      <c r="C3018" s="1"/>
      <c r="D3018" s="108" t="s">
        <v>115</v>
      </c>
      <c r="E3018" s="108"/>
      <c r="F3018" s="91"/>
      <c r="G3018" s="91"/>
      <c r="H3018" s="91"/>
      <c r="I3018" s="91"/>
      <c r="J3018" s="91"/>
      <c r="K3018" s="91"/>
      <c r="L3018" s="91"/>
      <c r="M3018" s="91"/>
      <c r="N3018" s="91"/>
      <c r="O3018" s="108"/>
      <c r="P3018" s="91"/>
      <c r="Q3018" s="91"/>
      <c r="R3018" s="107"/>
      <c r="S3018" s="503"/>
    </row>
    <row r="3019" spans="1:19" ht="9.75" customHeight="1">
      <c r="A3019" s="503"/>
      <c r="B3019" s="503"/>
      <c r="C3019" s="1"/>
      <c r="D3019" s="108" t="s">
        <v>32</v>
      </c>
      <c r="E3019" s="108"/>
      <c r="F3019" s="91"/>
      <c r="G3019" s="91"/>
      <c r="H3019" s="91"/>
      <c r="I3019" s="91"/>
      <c r="J3019" s="91"/>
      <c r="K3019" s="91"/>
      <c r="L3019" s="91"/>
      <c r="M3019" s="91"/>
      <c r="N3019" s="91"/>
      <c r="O3019" s="108"/>
      <c r="P3019" s="91"/>
      <c r="Q3019" s="91"/>
      <c r="R3019" s="107"/>
      <c r="S3019" s="503"/>
    </row>
    <row r="3020" spans="1:19" ht="9.75" customHeight="1">
      <c r="A3020" s="503"/>
      <c r="B3020" s="503"/>
      <c r="C3020" s="1"/>
      <c r="D3020" s="108" t="s">
        <v>426</v>
      </c>
      <c r="E3020" s="136">
        <v>4</v>
      </c>
      <c r="F3020" s="11">
        <v>4</v>
      </c>
      <c r="G3020" s="11">
        <v>4</v>
      </c>
      <c r="H3020" s="11">
        <v>4</v>
      </c>
      <c r="I3020" s="11">
        <v>4</v>
      </c>
      <c r="J3020" s="11">
        <v>4</v>
      </c>
      <c r="K3020" s="11">
        <v>4</v>
      </c>
      <c r="L3020" s="11">
        <v>4</v>
      </c>
      <c r="M3020" s="11">
        <v>4</v>
      </c>
      <c r="N3020" s="11">
        <v>4</v>
      </c>
      <c r="O3020" s="136">
        <v>4</v>
      </c>
      <c r="P3020" s="11">
        <f t="shared" ref="P3020:P3021" si="572">MIN(F3020:O3020)</f>
        <v>4</v>
      </c>
      <c r="Q3020" s="11">
        <f t="shared" ref="Q3020:Q3021" si="573">E3020-P3020</f>
        <v>0</v>
      </c>
      <c r="R3020" s="122">
        <f t="shared" ref="R3020:R3021" si="574">Q3020/E3020</f>
        <v>0</v>
      </c>
      <c r="S3020" s="503"/>
    </row>
    <row r="3021" spans="1:19" ht="9.75" customHeight="1">
      <c r="A3021" s="503"/>
      <c r="B3021" s="503"/>
      <c r="C3021" s="1"/>
      <c r="D3021" s="108" t="s">
        <v>118</v>
      </c>
      <c r="E3021" s="136">
        <v>5</v>
      </c>
      <c r="F3021" s="11">
        <v>0</v>
      </c>
      <c r="G3021" s="11">
        <v>0</v>
      </c>
      <c r="H3021" s="11">
        <v>0</v>
      </c>
      <c r="I3021" s="11">
        <v>0</v>
      </c>
      <c r="J3021" s="11">
        <v>2</v>
      </c>
      <c r="K3021" s="11">
        <v>2</v>
      </c>
      <c r="L3021" s="11">
        <v>1</v>
      </c>
      <c r="M3021" s="11">
        <v>1</v>
      </c>
      <c r="N3021" s="11">
        <v>2</v>
      </c>
      <c r="O3021" s="136">
        <v>3</v>
      </c>
      <c r="P3021" s="11">
        <f t="shared" si="572"/>
        <v>0</v>
      </c>
      <c r="Q3021" s="11">
        <f t="shared" si="573"/>
        <v>5</v>
      </c>
      <c r="R3021" s="122">
        <f t="shared" si="574"/>
        <v>1</v>
      </c>
      <c r="S3021" s="503"/>
    </row>
    <row r="3022" spans="1:19" ht="9.75" customHeight="1">
      <c r="A3022" s="503"/>
      <c r="B3022" s="503"/>
      <c r="C3022" s="1"/>
      <c r="D3022" s="108" t="s">
        <v>120</v>
      </c>
      <c r="E3022" s="108"/>
      <c r="F3022" s="91"/>
      <c r="G3022" s="91"/>
      <c r="H3022" s="91"/>
      <c r="I3022" s="91"/>
      <c r="J3022" s="91"/>
      <c r="K3022" s="91"/>
      <c r="L3022" s="91"/>
      <c r="M3022" s="91"/>
      <c r="N3022" s="91"/>
      <c r="O3022" s="108"/>
      <c r="P3022" s="91"/>
      <c r="Q3022" s="91"/>
      <c r="R3022" s="107"/>
      <c r="S3022" s="503"/>
    </row>
    <row r="3023" spans="1:19" ht="9.75" customHeight="1">
      <c r="A3023" s="503"/>
      <c r="B3023" s="503"/>
      <c r="C3023" s="1"/>
      <c r="D3023" s="108" t="s">
        <v>120</v>
      </c>
      <c r="E3023" s="108"/>
      <c r="F3023" s="91"/>
      <c r="G3023" s="91"/>
      <c r="H3023" s="91"/>
      <c r="I3023" s="91"/>
      <c r="J3023" s="91"/>
      <c r="K3023" s="91"/>
      <c r="L3023" s="91"/>
      <c r="M3023" s="91"/>
      <c r="N3023" s="91"/>
      <c r="O3023" s="108"/>
      <c r="P3023" s="91"/>
      <c r="Q3023" s="91"/>
      <c r="R3023" s="107"/>
      <c r="S3023" s="503"/>
    </row>
    <row r="3024" spans="1:19" ht="9.75" customHeight="1">
      <c r="A3024" s="503"/>
      <c r="B3024" s="503"/>
      <c r="C3024" s="1"/>
      <c r="D3024" s="108" t="s">
        <v>120</v>
      </c>
      <c r="E3024" s="108"/>
      <c r="F3024" s="91"/>
      <c r="G3024" s="91"/>
      <c r="H3024" s="91"/>
      <c r="I3024" s="91"/>
      <c r="J3024" s="91"/>
      <c r="K3024" s="91"/>
      <c r="L3024" s="91"/>
      <c r="M3024" s="91"/>
      <c r="N3024" s="91"/>
      <c r="O3024" s="108"/>
      <c r="P3024" s="91"/>
      <c r="Q3024" s="91"/>
      <c r="R3024" s="107"/>
      <c r="S3024" s="503"/>
    </row>
    <row r="3025" spans="1:19" ht="9.75" customHeight="1">
      <c r="A3025" s="503"/>
      <c r="B3025" s="503"/>
      <c r="C3025" s="1"/>
      <c r="D3025" s="108" t="s">
        <v>120</v>
      </c>
      <c r="E3025" s="108"/>
      <c r="F3025" s="91"/>
      <c r="G3025" s="91"/>
      <c r="H3025" s="91"/>
      <c r="I3025" s="91"/>
      <c r="J3025" s="91"/>
      <c r="K3025" s="91"/>
      <c r="L3025" s="91"/>
      <c r="M3025" s="91"/>
      <c r="N3025" s="91"/>
      <c r="O3025" s="108"/>
      <c r="P3025" s="91"/>
      <c r="Q3025" s="91"/>
      <c r="R3025" s="107"/>
      <c r="S3025" s="503"/>
    </row>
    <row r="3026" spans="1:19" ht="9.75" customHeight="1">
      <c r="A3026" s="503"/>
      <c r="B3026" s="503"/>
      <c r="C3026" s="1"/>
      <c r="D3026" s="108" t="s">
        <v>34</v>
      </c>
      <c r="E3026" s="136">
        <v>2</v>
      </c>
      <c r="F3026" s="11">
        <v>2</v>
      </c>
      <c r="G3026" s="11">
        <v>2</v>
      </c>
      <c r="H3026" s="11">
        <v>2</v>
      </c>
      <c r="I3026" s="11">
        <v>2</v>
      </c>
      <c r="J3026" s="11">
        <v>2</v>
      </c>
      <c r="K3026" s="11">
        <v>2</v>
      </c>
      <c r="L3026" s="11">
        <v>2</v>
      </c>
      <c r="M3026" s="11">
        <v>2</v>
      </c>
      <c r="N3026" s="11">
        <v>2</v>
      </c>
      <c r="O3026" s="136">
        <v>2</v>
      </c>
      <c r="P3026" s="11">
        <f>MIN(F3026:O3026)</f>
        <v>2</v>
      </c>
      <c r="Q3026" s="11">
        <f>E3026-P3026</f>
        <v>0</v>
      </c>
      <c r="R3026" s="122">
        <f>Q3026/E3026</f>
        <v>0</v>
      </c>
      <c r="S3026" s="503"/>
    </row>
    <row r="3027" spans="1:19" ht="9.75" customHeight="1">
      <c r="A3027" s="503"/>
      <c r="B3027" s="503"/>
      <c r="C3027" s="1"/>
      <c r="D3027" s="108" t="s">
        <v>35</v>
      </c>
      <c r="E3027" s="108"/>
      <c r="F3027" s="91"/>
      <c r="G3027" s="91"/>
      <c r="H3027" s="91"/>
      <c r="I3027" s="91"/>
      <c r="J3027" s="91"/>
      <c r="K3027" s="91"/>
      <c r="L3027" s="91"/>
      <c r="M3027" s="91"/>
      <c r="N3027" s="91"/>
      <c r="O3027" s="108"/>
      <c r="P3027" s="91"/>
      <c r="Q3027" s="91"/>
      <c r="R3027" s="107"/>
      <c r="S3027" s="503"/>
    </row>
    <row r="3028" spans="1:19" ht="9.75" customHeight="1">
      <c r="A3028" s="503"/>
      <c r="B3028" s="503"/>
      <c r="C3028" s="1"/>
      <c r="D3028" s="108" t="s">
        <v>36</v>
      </c>
      <c r="E3028" s="108"/>
      <c r="F3028" s="91"/>
      <c r="G3028" s="91"/>
      <c r="H3028" s="91"/>
      <c r="I3028" s="91"/>
      <c r="J3028" s="91"/>
      <c r="K3028" s="91"/>
      <c r="L3028" s="91"/>
      <c r="M3028" s="91"/>
      <c r="N3028" s="91"/>
      <c r="O3028" s="108"/>
      <c r="P3028" s="91"/>
      <c r="Q3028" s="91"/>
      <c r="R3028" s="107"/>
      <c r="S3028" s="503"/>
    </row>
    <row r="3029" spans="1:19" ht="9.75" customHeight="1">
      <c r="A3029" s="503"/>
      <c r="B3029" s="503"/>
      <c r="C3029" s="1"/>
      <c r="D3029" s="113" t="s">
        <v>37</v>
      </c>
      <c r="E3029" s="113"/>
      <c r="F3029" s="112"/>
      <c r="G3029" s="112"/>
      <c r="H3029" s="112"/>
      <c r="I3029" s="112"/>
      <c r="J3029" s="112"/>
      <c r="K3029" s="112"/>
      <c r="L3029" s="112"/>
      <c r="M3029" s="112"/>
      <c r="N3029" s="112"/>
      <c r="O3029" s="113"/>
      <c r="P3029" s="112"/>
      <c r="Q3029" s="112"/>
      <c r="R3029" s="165"/>
      <c r="S3029" s="503"/>
    </row>
    <row r="3030" spans="1:19" ht="9.75" customHeight="1">
      <c r="A3030" s="503"/>
      <c r="B3030" s="503" t="s">
        <v>127</v>
      </c>
      <c r="C3030" s="25"/>
      <c r="D3030" s="5" t="s">
        <v>38</v>
      </c>
      <c r="E3030" s="166">
        <f t="shared" ref="E3030:O3030" si="575">SUM(E3014:E3029)</f>
        <v>91</v>
      </c>
      <c r="F3030" s="167">
        <f t="shared" si="575"/>
        <v>46</v>
      </c>
      <c r="G3030" s="167">
        <f t="shared" si="575"/>
        <v>41</v>
      </c>
      <c r="H3030" s="167">
        <f t="shared" si="575"/>
        <v>40</v>
      </c>
      <c r="I3030" s="167">
        <f t="shared" si="575"/>
        <v>35</v>
      </c>
      <c r="J3030" s="167">
        <f t="shared" si="575"/>
        <v>35</v>
      </c>
      <c r="K3030" s="167">
        <f t="shared" si="575"/>
        <v>33</v>
      </c>
      <c r="L3030" s="167">
        <f t="shared" si="575"/>
        <v>31</v>
      </c>
      <c r="M3030" s="167">
        <f t="shared" si="575"/>
        <v>37</v>
      </c>
      <c r="N3030" s="167">
        <f t="shared" si="575"/>
        <v>45</v>
      </c>
      <c r="O3030" s="166">
        <f t="shared" si="575"/>
        <v>44</v>
      </c>
      <c r="P3030" s="167">
        <f>MIN(F3030:O3030)</f>
        <v>31</v>
      </c>
      <c r="Q3030" s="167">
        <f>E3030-P3030</f>
        <v>60</v>
      </c>
      <c r="R3030" s="168">
        <f>Q3030/E3030</f>
        <v>0.65934065934065933</v>
      </c>
      <c r="S3030" s="503"/>
    </row>
    <row r="3031" spans="1:19" ht="9.75" customHeight="1">
      <c r="A3031" s="503"/>
      <c r="B3031" s="503"/>
      <c r="C3031" s="1" t="s">
        <v>427</v>
      </c>
      <c r="D3031" s="108" t="s">
        <v>23</v>
      </c>
      <c r="E3031" s="108"/>
      <c r="F3031" s="91"/>
      <c r="G3031" s="91"/>
      <c r="H3031" s="91"/>
      <c r="I3031" s="91"/>
      <c r="J3031" s="91"/>
      <c r="K3031" s="91"/>
      <c r="L3031" s="91"/>
      <c r="M3031" s="91"/>
      <c r="N3031" s="91"/>
      <c r="O3031" s="108"/>
      <c r="P3031" s="91"/>
      <c r="Q3031" s="91"/>
      <c r="R3031" s="107"/>
      <c r="S3031" s="503"/>
    </row>
    <row r="3032" spans="1:19" ht="9.75" customHeight="1">
      <c r="A3032" s="503"/>
      <c r="B3032" s="503"/>
      <c r="C3032" s="13"/>
      <c r="D3032" s="108" t="s">
        <v>25</v>
      </c>
      <c r="E3032" s="136">
        <v>99</v>
      </c>
      <c r="F3032" s="11">
        <v>77</v>
      </c>
      <c r="G3032" s="11">
        <v>72</v>
      </c>
      <c r="H3032" s="11">
        <v>70</v>
      </c>
      <c r="I3032" s="11">
        <v>56</v>
      </c>
      <c r="J3032" s="11">
        <v>55</v>
      </c>
      <c r="K3032" s="11">
        <v>50</v>
      </c>
      <c r="L3032" s="11">
        <v>45</v>
      </c>
      <c r="M3032" s="11">
        <v>47</v>
      </c>
      <c r="N3032" s="11">
        <v>52</v>
      </c>
      <c r="O3032" s="136">
        <v>59</v>
      </c>
      <c r="P3032" s="11">
        <f>MIN(F3032:O3032)</f>
        <v>45</v>
      </c>
      <c r="Q3032" s="11">
        <f>E3032-P3032</f>
        <v>54</v>
      </c>
      <c r="R3032" s="122">
        <f>Q3032/E3032</f>
        <v>0.54545454545454541</v>
      </c>
      <c r="S3032" s="503"/>
    </row>
    <row r="3033" spans="1:19" ht="9.75" customHeight="1">
      <c r="A3033" s="503"/>
      <c r="B3033" s="503"/>
      <c r="C3033" s="13"/>
      <c r="D3033" s="108" t="s">
        <v>27</v>
      </c>
      <c r="E3033" s="108"/>
      <c r="F3033" s="91"/>
      <c r="G3033" s="91"/>
      <c r="H3033" s="91"/>
      <c r="I3033" s="91"/>
      <c r="J3033" s="91"/>
      <c r="K3033" s="91"/>
      <c r="L3033" s="91"/>
      <c r="M3033" s="91"/>
      <c r="N3033" s="91"/>
      <c r="O3033" s="108"/>
      <c r="P3033" s="91"/>
      <c r="Q3033" s="91"/>
      <c r="R3033" s="107"/>
      <c r="S3033" s="503"/>
    </row>
    <row r="3034" spans="1:19" ht="9.75" customHeight="1">
      <c r="A3034" s="503"/>
      <c r="B3034" s="503"/>
      <c r="C3034" s="13"/>
      <c r="D3034" s="108" t="s">
        <v>115</v>
      </c>
      <c r="E3034" s="108"/>
      <c r="F3034" s="91"/>
      <c r="G3034" s="91"/>
      <c r="H3034" s="91"/>
      <c r="I3034" s="91"/>
      <c r="J3034" s="91"/>
      <c r="K3034" s="91"/>
      <c r="L3034" s="91"/>
      <c r="M3034" s="91"/>
      <c r="N3034" s="91"/>
      <c r="O3034" s="108"/>
      <c r="P3034" s="91"/>
      <c r="Q3034" s="91"/>
      <c r="R3034" s="107"/>
      <c r="S3034" s="503"/>
    </row>
    <row r="3035" spans="1:19" ht="9.75" customHeight="1">
      <c r="A3035" s="503"/>
      <c r="B3035" s="503"/>
      <c r="C3035" s="1"/>
      <c r="D3035" s="108" t="s">
        <v>115</v>
      </c>
      <c r="E3035" s="108"/>
      <c r="F3035" s="91"/>
      <c r="G3035" s="91"/>
      <c r="H3035" s="91"/>
      <c r="I3035" s="91"/>
      <c r="J3035" s="91"/>
      <c r="K3035" s="91"/>
      <c r="L3035" s="91"/>
      <c r="M3035" s="91"/>
      <c r="N3035" s="91"/>
      <c r="O3035" s="108"/>
      <c r="P3035" s="91"/>
      <c r="Q3035" s="91"/>
      <c r="R3035" s="107"/>
      <c r="S3035" s="503"/>
    </row>
    <row r="3036" spans="1:19" ht="9.75" customHeight="1">
      <c r="A3036" s="503"/>
      <c r="B3036" s="503"/>
      <c r="C3036" s="1"/>
      <c r="D3036" s="108" t="s">
        <v>32</v>
      </c>
      <c r="E3036" s="108"/>
      <c r="F3036" s="91"/>
      <c r="G3036" s="91"/>
      <c r="H3036" s="91"/>
      <c r="I3036" s="91"/>
      <c r="J3036" s="91"/>
      <c r="K3036" s="91"/>
      <c r="L3036" s="91"/>
      <c r="M3036" s="91"/>
      <c r="N3036" s="91"/>
      <c r="O3036" s="108"/>
      <c r="P3036" s="91"/>
      <c r="Q3036" s="91"/>
      <c r="R3036" s="107"/>
      <c r="S3036" s="503"/>
    </row>
    <row r="3037" spans="1:19" ht="9.75" customHeight="1">
      <c r="A3037" s="503"/>
      <c r="B3037" s="503"/>
      <c r="C3037" s="1"/>
      <c r="D3037" s="108" t="s">
        <v>209</v>
      </c>
      <c r="E3037" s="136">
        <v>3</v>
      </c>
      <c r="F3037" s="11">
        <v>0</v>
      </c>
      <c r="G3037" s="11">
        <v>1</v>
      </c>
      <c r="H3037" s="11">
        <v>1</v>
      </c>
      <c r="I3037" s="11">
        <v>1</v>
      </c>
      <c r="J3037" s="11">
        <v>1</v>
      </c>
      <c r="K3037" s="11">
        <v>1</v>
      </c>
      <c r="L3037" s="11">
        <v>1</v>
      </c>
      <c r="M3037" s="11">
        <v>2</v>
      </c>
      <c r="N3037" s="11">
        <v>0</v>
      </c>
      <c r="O3037" s="136">
        <v>0</v>
      </c>
      <c r="P3037" s="11">
        <f>MIN(F3037:O3037)</f>
        <v>0</v>
      </c>
      <c r="Q3037" s="11">
        <f>E3037-P3037</f>
        <v>3</v>
      </c>
      <c r="R3037" s="122">
        <f>Q3037/E3037</f>
        <v>1</v>
      </c>
      <c r="S3037" s="503"/>
    </row>
    <row r="3038" spans="1:19" ht="9.75" customHeight="1">
      <c r="A3038" s="503"/>
      <c r="B3038" s="503"/>
      <c r="C3038" s="1"/>
      <c r="D3038" s="108" t="s">
        <v>120</v>
      </c>
      <c r="E3038" s="108"/>
      <c r="F3038" s="91"/>
      <c r="G3038" s="91"/>
      <c r="H3038" s="91"/>
      <c r="I3038" s="91"/>
      <c r="J3038" s="91"/>
      <c r="K3038" s="91"/>
      <c r="L3038" s="91"/>
      <c r="M3038" s="91"/>
      <c r="N3038" s="91"/>
      <c r="O3038" s="108"/>
      <c r="P3038" s="91"/>
      <c r="Q3038" s="91"/>
      <c r="R3038" s="107"/>
      <c r="S3038" s="503"/>
    </row>
    <row r="3039" spans="1:19" ht="9.75" customHeight="1">
      <c r="A3039" s="503"/>
      <c r="B3039" s="503"/>
      <c r="C3039" s="1"/>
      <c r="D3039" s="108" t="s">
        <v>120</v>
      </c>
      <c r="E3039" s="108"/>
      <c r="F3039" s="91"/>
      <c r="G3039" s="91"/>
      <c r="H3039" s="91"/>
      <c r="I3039" s="91"/>
      <c r="J3039" s="91"/>
      <c r="K3039" s="91"/>
      <c r="L3039" s="91"/>
      <c r="M3039" s="91"/>
      <c r="N3039" s="91"/>
      <c r="O3039" s="108"/>
      <c r="P3039" s="91"/>
      <c r="Q3039" s="91"/>
      <c r="R3039" s="107"/>
      <c r="S3039" s="503"/>
    </row>
    <row r="3040" spans="1:19" ht="9.75" customHeight="1">
      <c r="A3040" s="503"/>
      <c r="B3040" s="503"/>
      <c r="C3040" s="1"/>
      <c r="D3040" s="108" t="s">
        <v>120</v>
      </c>
      <c r="E3040" s="108"/>
      <c r="F3040" s="91"/>
      <c r="G3040" s="91"/>
      <c r="H3040" s="91"/>
      <c r="I3040" s="91"/>
      <c r="J3040" s="91"/>
      <c r="K3040" s="91"/>
      <c r="L3040" s="91"/>
      <c r="M3040" s="91"/>
      <c r="N3040" s="91"/>
      <c r="O3040" s="108"/>
      <c r="P3040" s="91"/>
      <c r="Q3040" s="91"/>
      <c r="R3040" s="107"/>
      <c r="S3040" s="503"/>
    </row>
    <row r="3041" spans="1:19" ht="9.75" customHeight="1">
      <c r="A3041" s="503"/>
      <c r="B3041" s="503"/>
      <c r="C3041" s="1"/>
      <c r="D3041" s="108" t="s">
        <v>120</v>
      </c>
      <c r="E3041" s="108"/>
      <c r="F3041" s="91"/>
      <c r="G3041" s="91"/>
      <c r="H3041" s="91"/>
      <c r="I3041" s="91"/>
      <c r="J3041" s="91"/>
      <c r="K3041" s="91"/>
      <c r="L3041" s="91"/>
      <c r="M3041" s="91"/>
      <c r="N3041" s="91"/>
      <c r="O3041" s="108"/>
      <c r="P3041" s="91"/>
      <c r="Q3041" s="91"/>
      <c r="R3041" s="107"/>
      <c r="S3041" s="503"/>
    </row>
    <row r="3042" spans="1:19" ht="9.75" customHeight="1">
      <c r="A3042" s="503"/>
      <c r="B3042" s="503"/>
      <c r="C3042" s="1"/>
      <c r="D3042" s="108" t="s">
        <v>120</v>
      </c>
      <c r="E3042" s="108"/>
      <c r="F3042" s="91"/>
      <c r="G3042" s="91"/>
      <c r="H3042" s="91"/>
      <c r="I3042" s="91"/>
      <c r="J3042" s="91"/>
      <c r="K3042" s="91"/>
      <c r="L3042" s="91"/>
      <c r="M3042" s="91"/>
      <c r="N3042" s="91"/>
      <c r="O3042" s="108"/>
      <c r="P3042" s="91"/>
      <c r="Q3042" s="91"/>
      <c r="R3042" s="107"/>
      <c r="S3042" s="503"/>
    </row>
    <row r="3043" spans="1:19" ht="9.75" customHeight="1">
      <c r="A3043" s="503"/>
      <c r="B3043" s="503"/>
      <c r="C3043" s="1"/>
      <c r="D3043" s="108" t="s">
        <v>34</v>
      </c>
      <c r="E3043" s="108"/>
      <c r="F3043" s="91"/>
      <c r="G3043" s="91"/>
      <c r="H3043" s="91"/>
      <c r="I3043" s="91"/>
      <c r="J3043" s="91"/>
      <c r="K3043" s="91"/>
      <c r="L3043" s="91"/>
      <c r="M3043" s="91"/>
      <c r="N3043" s="91"/>
      <c r="O3043" s="108"/>
      <c r="P3043" s="91"/>
      <c r="Q3043" s="91"/>
      <c r="R3043" s="107"/>
      <c r="S3043" s="503"/>
    </row>
    <row r="3044" spans="1:19" ht="9.75" customHeight="1">
      <c r="A3044" s="503"/>
      <c r="B3044" s="503"/>
      <c r="C3044" s="1"/>
      <c r="D3044" s="108" t="s">
        <v>35</v>
      </c>
      <c r="E3044" s="108"/>
      <c r="F3044" s="91"/>
      <c r="G3044" s="91"/>
      <c r="H3044" s="91"/>
      <c r="I3044" s="91"/>
      <c r="J3044" s="91"/>
      <c r="K3044" s="91"/>
      <c r="L3044" s="91"/>
      <c r="M3044" s="91"/>
      <c r="N3044" s="91"/>
      <c r="O3044" s="108"/>
      <c r="P3044" s="91"/>
      <c r="Q3044" s="91"/>
      <c r="R3044" s="107"/>
      <c r="S3044" s="503"/>
    </row>
    <row r="3045" spans="1:19" ht="9.75" customHeight="1">
      <c r="A3045" s="503"/>
      <c r="B3045" s="503"/>
      <c r="C3045" s="1"/>
      <c r="D3045" s="108" t="s">
        <v>36</v>
      </c>
      <c r="E3045" s="108"/>
      <c r="F3045" s="91"/>
      <c r="G3045" s="91"/>
      <c r="H3045" s="91"/>
      <c r="I3045" s="91"/>
      <c r="J3045" s="91"/>
      <c r="K3045" s="91"/>
      <c r="L3045" s="91"/>
      <c r="M3045" s="91"/>
      <c r="N3045" s="91"/>
      <c r="O3045" s="108"/>
      <c r="P3045" s="91"/>
      <c r="Q3045" s="91"/>
      <c r="R3045" s="107"/>
      <c r="S3045" s="503"/>
    </row>
    <row r="3046" spans="1:19" ht="9.75" customHeight="1">
      <c r="A3046" s="503"/>
      <c r="B3046" s="503"/>
      <c r="C3046" s="1"/>
      <c r="D3046" s="113" t="s">
        <v>37</v>
      </c>
      <c r="E3046" s="113"/>
      <c r="F3046" s="112"/>
      <c r="G3046" s="112"/>
      <c r="H3046" s="112"/>
      <c r="I3046" s="112"/>
      <c r="J3046" s="112"/>
      <c r="K3046" s="112"/>
      <c r="L3046" s="112"/>
      <c r="M3046" s="112"/>
      <c r="N3046" s="112"/>
      <c r="O3046" s="113"/>
      <c r="P3046" s="112"/>
      <c r="Q3046" s="112"/>
      <c r="R3046" s="165"/>
      <c r="S3046" s="503"/>
    </row>
    <row r="3047" spans="1:19" ht="9.75" customHeight="1">
      <c r="A3047" s="503"/>
      <c r="B3047" s="503" t="s">
        <v>127</v>
      </c>
      <c r="C3047" s="25"/>
      <c r="D3047" s="5" t="s">
        <v>38</v>
      </c>
      <c r="E3047" s="166">
        <f t="shared" ref="E3047:O3047" si="576">SUM(E3031:E3046)</f>
        <v>102</v>
      </c>
      <c r="F3047" s="167">
        <f t="shared" si="576"/>
        <v>77</v>
      </c>
      <c r="G3047" s="167">
        <f t="shared" si="576"/>
        <v>73</v>
      </c>
      <c r="H3047" s="167">
        <f t="shared" si="576"/>
        <v>71</v>
      </c>
      <c r="I3047" s="167">
        <f t="shared" si="576"/>
        <v>57</v>
      </c>
      <c r="J3047" s="167">
        <f t="shared" si="576"/>
        <v>56</v>
      </c>
      <c r="K3047" s="167">
        <f t="shared" si="576"/>
        <v>51</v>
      </c>
      <c r="L3047" s="167">
        <f t="shared" si="576"/>
        <v>46</v>
      </c>
      <c r="M3047" s="167">
        <f t="shared" si="576"/>
        <v>49</v>
      </c>
      <c r="N3047" s="167">
        <f t="shared" si="576"/>
        <v>52</v>
      </c>
      <c r="O3047" s="166">
        <f t="shared" si="576"/>
        <v>59</v>
      </c>
      <c r="P3047" s="167">
        <f>MIN(F3047:O3047)</f>
        <v>46</v>
      </c>
      <c r="Q3047" s="167">
        <f>E3047-P3047</f>
        <v>56</v>
      </c>
      <c r="R3047" s="168">
        <f>Q3047/E3047</f>
        <v>0.5490196078431373</v>
      </c>
      <c r="S3047" s="503"/>
    </row>
    <row r="3048" spans="1:19" ht="9.75" customHeight="1">
      <c r="A3048" s="503"/>
      <c r="B3048" s="503"/>
      <c r="C3048" s="1" t="s">
        <v>428</v>
      </c>
      <c r="D3048" s="108" t="s">
        <v>23</v>
      </c>
      <c r="E3048" s="108"/>
      <c r="F3048" s="91"/>
      <c r="G3048" s="91"/>
      <c r="H3048" s="91"/>
      <c r="I3048" s="91"/>
      <c r="J3048" s="91"/>
      <c r="K3048" s="91"/>
      <c r="L3048" s="91"/>
      <c r="M3048" s="91"/>
      <c r="N3048" s="91"/>
      <c r="O3048" s="108"/>
      <c r="P3048" s="91"/>
      <c r="Q3048" s="91"/>
      <c r="R3048" s="107"/>
      <c r="S3048" s="503"/>
    </row>
    <row r="3049" spans="1:19" ht="9.75" customHeight="1">
      <c r="A3049" s="503"/>
      <c r="B3049" s="503"/>
      <c r="C3049" s="13"/>
      <c r="D3049" s="108" t="s">
        <v>25</v>
      </c>
      <c r="E3049" s="136">
        <v>103</v>
      </c>
      <c r="F3049" s="11">
        <v>69</v>
      </c>
      <c r="G3049" s="11">
        <v>44</v>
      </c>
      <c r="H3049" s="11">
        <v>45</v>
      </c>
      <c r="I3049" s="11">
        <v>43</v>
      </c>
      <c r="J3049" s="11">
        <v>40</v>
      </c>
      <c r="K3049" s="11">
        <v>40</v>
      </c>
      <c r="L3049" s="11">
        <v>40</v>
      </c>
      <c r="M3049" s="11">
        <v>52</v>
      </c>
      <c r="N3049" s="11">
        <v>67</v>
      </c>
      <c r="O3049" s="136">
        <v>77</v>
      </c>
      <c r="P3049" s="11">
        <f>MIN(F3049:O3049)</f>
        <v>40</v>
      </c>
      <c r="Q3049" s="11">
        <f>E3049-P3049</f>
        <v>63</v>
      </c>
      <c r="R3049" s="122">
        <f>Q3049/E3049</f>
        <v>0.61165048543689315</v>
      </c>
      <c r="S3049" s="503"/>
    </row>
    <row r="3050" spans="1:19" ht="9.75" customHeight="1">
      <c r="A3050" s="503"/>
      <c r="B3050" s="503"/>
      <c r="C3050" s="13"/>
      <c r="D3050" s="108" t="s">
        <v>27</v>
      </c>
      <c r="E3050" s="108"/>
      <c r="F3050" s="91"/>
      <c r="G3050" s="91"/>
      <c r="H3050" s="91"/>
      <c r="I3050" s="91"/>
      <c r="J3050" s="91"/>
      <c r="K3050" s="91"/>
      <c r="L3050" s="91"/>
      <c r="M3050" s="91"/>
      <c r="N3050" s="91"/>
      <c r="O3050" s="108"/>
      <c r="P3050" s="91"/>
      <c r="Q3050" s="91"/>
      <c r="R3050" s="107"/>
      <c r="S3050" s="503"/>
    </row>
    <row r="3051" spans="1:19" ht="9.75" customHeight="1">
      <c r="A3051" s="503"/>
      <c r="B3051" s="503"/>
      <c r="C3051" s="13"/>
      <c r="D3051" s="108" t="s">
        <v>115</v>
      </c>
      <c r="E3051" s="108"/>
      <c r="F3051" s="91"/>
      <c r="G3051" s="91"/>
      <c r="H3051" s="91"/>
      <c r="I3051" s="91"/>
      <c r="J3051" s="91"/>
      <c r="K3051" s="91"/>
      <c r="L3051" s="91"/>
      <c r="M3051" s="91"/>
      <c r="N3051" s="91"/>
      <c r="O3051" s="108"/>
      <c r="P3051" s="91"/>
      <c r="Q3051" s="91"/>
      <c r="R3051" s="107"/>
      <c r="S3051" s="503"/>
    </row>
    <row r="3052" spans="1:19" ht="9.75" customHeight="1">
      <c r="A3052" s="503"/>
      <c r="B3052" s="503"/>
      <c r="C3052" s="1"/>
      <c r="D3052" s="108" t="s">
        <v>115</v>
      </c>
      <c r="E3052" s="108"/>
      <c r="F3052" s="91"/>
      <c r="G3052" s="91"/>
      <c r="H3052" s="91"/>
      <c r="I3052" s="91"/>
      <c r="J3052" s="91"/>
      <c r="K3052" s="91"/>
      <c r="L3052" s="91"/>
      <c r="M3052" s="91"/>
      <c r="N3052" s="91"/>
      <c r="O3052" s="108"/>
      <c r="P3052" s="91"/>
      <c r="Q3052" s="91"/>
      <c r="R3052" s="107"/>
      <c r="S3052" s="503"/>
    </row>
    <row r="3053" spans="1:19" ht="9.75" customHeight="1">
      <c r="A3053" s="503"/>
      <c r="B3053" s="503"/>
      <c r="C3053" s="1"/>
      <c r="D3053" s="108" t="s">
        <v>32</v>
      </c>
      <c r="E3053" s="108"/>
      <c r="F3053" s="91"/>
      <c r="G3053" s="91"/>
      <c r="H3053" s="91"/>
      <c r="I3053" s="91"/>
      <c r="J3053" s="91"/>
      <c r="K3053" s="91"/>
      <c r="L3053" s="91"/>
      <c r="M3053" s="91"/>
      <c r="N3053" s="91"/>
      <c r="O3053" s="108"/>
      <c r="P3053" s="91"/>
      <c r="Q3053" s="91"/>
      <c r="R3053" s="107"/>
      <c r="S3053" s="503"/>
    </row>
    <row r="3054" spans="1:19" ht="9.75" customHeight="1">
      <c r="A3054" s="503"/>
      <c r="B3054" s="503"/>
      <c r="C3054" s="1"/>
      <c r="D3054" s="108" t="s">
        <v>120</v>
      </c>
      <c r="E3054" s="108"/>
      <c r="F3054" s="91"/>
      <c r="G3054" s="91"/>
      <c r="H3054" s="91"/>
      <c r="I3054" s="91"/>
      <c r="J3054" s="91"/>
      <c r="K3054" s="91"/>
      <c r="L3054" s="91"/>
      <c r="M3054" s="91"/>
      <c r="N3054" s="91"/>
      <c r="O3054" s="108"/>
      <c r="P3054" s="91"/>
      <c r="Q3054" s="91"/>
      <c r="R3054" s="107"/>
      <c r="S3054" s="503"/>
    </row>
    <row r="3055" spans="1:19" ht="9.75" customHeight="1">
      <c r="A3055" s="503"/>
      <c r="B3055" s="503"/>
      <c r="C3055" s="1"/>
      <c r="D3055" s="108" t="s">
        <v>120</v>
      </c>
      <c r="E3055" s="108"/>
      <c r="F3055" s="91"/>
      <c r="G3055" s="91"/>
      <c r="H3055" s="91"/>
      <c r="I3055" s="91"/>
      <c r="J3055" s="91"/>
      <c r="K3055" s="91"/>
      <c r="L3055" s="91"/>
      <c r="M3055" s="91"/>
      <c r="N3055" s="91"/>
      <c r="O3055" s="108"/>
      <c r="P3055" s="91"/>
      <c r="Q3055" s="91"/>
      <c r="R3055" s="107"/>
      <c r="S3055" s="503"/>
    </row>
    <row r="3056" spans="1:19" ht="9.75" customHeight="1">
      <c r="A3056" s="503"/>
      <c r="B3056" s="503"/>
      <c r="C3056" s="1"/>
      <c r="D3056" s="108" t="s">
        <v>120</v>
      </c>
      <c r="E3056" s="108"/>
      <c r="F3056" s="91"/>
      <c r="G3056" s="91"/>
      <c r="H3056" s="91"/>
      <c r="I3056" s="91"/>
      <c r="J3056" s="91"/>
      <c r="K3056" s="91"/>
      <c r="L3056" s="91"/>
      <c r="M3056" s="91"/>
      <c r="N3056" s="91"/>
      <c r="O3056" s="108"/>
      <c r="P3056" s="91"/>
      <c r="Q3056" s="91"/>
      <c r="R3056" s="107"/>
      <c r="S3056" s="503"/>
    </row>
    <row r="3057" spans="1:19" ht="9.75" customHeight="1">
      <c r="A3057" s="503"/>
      <c r="B3057" s="503"/>
      <c r="C3057" s="1"/>
      <c r="D3057" s="108" t="s">
        <v>120</v>
      </c>
      <c r="E3057" s="108"/>
      <c r="F3057" s="91"/>
      <c r="G3057" s="91"/>
      <c r="H3057" s="91"/>
      <c r="I3057" s="91"/>
      <c r="J3057" s="91"/>
      <c r="K3057" s="91"/>
      <c r="L3057" s="91"/>
      <c r="M3057" s="91"/>
      <c r="N3057" s="91"/>
      <c r="O3057" s="108"/>
      <c r="P3057" s="91"/>
      <c r="Q3057" s="91"/>
      <c r="R3057" s="107"/>
      <c r="S3057" s="503"/>
    </row>
    <row r="3058" spans="1:19" ht="9.75" customHeight="1">
      <c r="A3058" s="503"/>
      <c r="B3058" s="503"/>
      <c r="C3058" s="1"/>
      <c r="D3058" s="108" t="s">
        <v>120</v>
      </c>
      <c r="E3058" s="108"/>
      <c r="F3058" s="91"/>
      <c r="G3058" s="91"/>
      <c r="H3058" s="91"/>
      <c r="I3058" s="91"/>
      <c r="J3058" s="91"/>
      <c r="K3058" s="91"/>
      <c r="L3058" s="91"/>
      <c r="M3058" s="91"/>
      <c r="N3058" s="91"/>
      <c r="O3058" s="108"/>
      <c r="P3058" s="91"/>
      <c r="Q3058" s="91"/>
      <c r="R3058" s="107"/>
      <c r="S3058" s="503"/>
    </row>
    <row r="3059" spans="1:19" ht="9.75" customHeight="1">
      <c r="A3059" s="503"/>
      <c r="B3059" s="503"/>
      <c r="C3059" s="1"/>
      <c r="D3059" s="108" t="s">
        <v>120</v>
      </c>
      <c r="E3059" s="108"/>
      <c r="F3059" s="91"/>
      <c r="G3059" s="91"/>
      <c r="H3059" s="91"/>
      <c r="I3059" s="91"/>
      <c r="J3059" s="91"/>
      <c r="K3059" s="91"/>
      <c r="L3059" s="91"/>
      <c r="M3059" s="91"/>
      <c r="N3059" s="91"/>
      <c r="O3059" s="108"/>
      <c r="P3059" s="91"/>
      <c r="Q3059" s="91"/>
      <c r="R3059" s="107"/>
      <c r="S3059" s="503"/>
    </row>
    <row r="3060" spans="1:19" ht="9.75" customHeight="1">
      <c r="A3060" s="503"/>
      <c r="B3060" s="503"/>
      <c r="C3060" s="1"/>
      <c r="D3060" s="108" t="s">
        <v>34</v>
      </c>
      <c r="E3060" s="108"/>
      <c r="F3060" s="91"/>
      <c r="G3060" s="91"/>
      <c r="H3060" s="91"/>
      <c r="I3060" s="91"/>
      <c r="J3060" s="91"/>
      <c r="K3060" s="91"/>
      <c r="L3060" s="91"/>
      <c r="M3060" s="91"/>
      <c r="N3060" s="91"/>
      <c r="O3060" s="108"/>
      <c r="P3060" s="91"/>
      <c r="Q3060" s="91"/>
      <c r="R3060" s="107"/>
      <c r="S3060" s="503"/>
    </row>
    <row r="3061" spans="1:19" ht="9.75" customHeight="1">
      <c r="A3061" s="503"/>
      <c r="B3061" s="503"/>
      <c r="C3061" s="1"/>
      <c r="D3061" s="108" t="s">
        <v>35</v>
      </c>
      <c r="E3061" s="108"/>
      <c r="F3061" s="91"/>
      <c r="G3061" s="91"/>
      <c r="H3061" s="91"/>
      <c r="I3061" s="91"/>
      <c r="J3061" s="91"/>
      <c r="K3061" s="91"/>
      <c r="L3061" s="91"/>
      <c r="M3061" s="91"/>
      <c r="N3061" s="91"/>
      <c r="O3061" s="108"/>
      <c r="P3061" s="91"/>
      <c r="Q3061" s="91"/>
      <c r="R3061" s="107"/>
      <c r="S3061" s="503"/>
    </row>
    <row r="3062" spans="1:19" ht="9.75" customHeight="1">
      <c r="A3062" s="503"/>
      <c r="B3062" s="503"/>
      <c r="C3062" s="1"/>
      <c r="D3062" s="108" t="s">
        <v>36</v>
      </c>
      <c r="E3062" s="108"/>
      <c r="F3062" s="91"/>
      <c r="G3062" s="91"/>
      <c r="H3062" s="91"/>
      <c r="I3062" s="91"/>
      <c r="J3062" s="91"/>
      <c r="K3062" s="91"/>
      <c r="L3062" s="91"/>
      <c r="M3062" s="91"/>
      <c r="N3062" s="91"/>
      <c r="O3062" s="108"/>
      <c r="P3062" s="91"/>
      <c r="Q3062" s="91"/>
      <c r="R3062" s="107"/>
      <c r="S3062" s="503"/>
    </row>
    <row r="3063" spans="1:19" ht="9.75" customHeight="1">
      <c r="A3063" s="503"/>
      <c r="B3063" s="503"/>
      <c r="C3063" s="1"/>
      <c r="D3063" s="113" t="s">
        <v>37</v>
      </c>
      <c r="E3063" s="113"/>
      <c r="F3063" s="112"/>
      <c r="G3063" s="112"/>
      <c r="H3063" s="112"/>
      <c r="I3063" s="112"/>
      <c r="J3063" s="112"/>
      <c r="K3063" s="112"/>
      <c r="L3063" s="112"/>
      <c r="M3063" s="112"/>
      <c r="N3063" s="112"/>
      <c r="O3063" s="113"/>
      <c r="P3063" s="112"/>
      <c r="Q3063" s="112"/>
      <c r="R3063" s="165"/>
      <c r="S3063" s="503"/>
    </row>
    <row r="3064" spans="1:19" ht="9.75" customHeight="1">
      <c r="A3064" s="503"/>
      <c r="B3064" s="503" t="s">
        <v>127</v>
      </c>
      <c r="C3064" s="25"/>
      <c r="D3064" s="5" t="s">
        <v>38</v>
      </c>
      <c r="E3064" s="166">
        <f t="shared" ref="E3064:O3064" si="577">SUM(E3048:E3063)</f>
        <v>103</v>
      </c>
      <c r="F3064" s="167">
        <f t="shared" si="577"/>
        <v>69</v>
      </c>
      <c r="G3064" s="167">
        <f t="shared" si="577"/>
        <v>44</v>
      </c>
      <c r="H3064" s="167">
        <f t="shared" si="577"/>
        <v>45</v>
      </c>
      <c r="I3064" s="167">
        <f t="shared" si="577"/>
        <v>43</v>
      </c>
      <c r="J3064" s="167">
        <f t="shared" si="577"/>
        <v>40</v>
      </c>
      <c r="K3064" s="167">
        <f t="shared" si="577"/>
        <v>40</v>
      </c>
      <c r="L3064" s="167">
        <f t="shared" si="577"/>
        <v>40</v>
      </c>
      <c r="M3064" s="167">
        <f t="shared" si="577"/>
        <v>52</v>
      </c>
      <c r="N3064" s="167">
        <f t="shared" si="577"/>
        <v>67</v>
      </c>
      <c r="O3064" s="166">
        <f t="shared" si="577"/>
        <v>77</v>
      </c>
      <c r="P3064" s="167">
        <f>MIN(F3064:O3064)</f>
        <v>40</v>
      </c>
      <c r="Q3064" s="167">
        <f>E3064-P3064</f>
        <v>63</v>
      </c>
      <c r="R3064" s="168">
        <f>Q3064/E3064</f>
        <v>0.61165048543689315</v>
      </c>
      <c r="S3064" s="503"/>
    </row>
    <row r="3065" spans="1:19" ht="9.75" customHeight="1">
      <c r="A3065" s="503"/>
      <c r="B3065" s="503"/>
      <c r="C3065" s="1" t="s">
        <v>429</v>
      </c>
      <c r="D3065" s="108" t="s">
        <v>23</v>
      </c>
      <c r="E3065" s="108"/>
      <c r="F3065" s="91"/>
      <c r="G3065" s="91"/>
      <c r="H3065" s="91"/>
      <c r="I3065" s="91"/>
      <c r="J3065" s="91"/>
      <c r="K3065" s="91"/>
      <c r="L3065" s="91"/>
      <c r="M3065" s="91"/>
      <c r="N3065" s="91"/>
      <c r="O3065" s="108"/>
      <c r="P3065" s="91"/>
      <c r="Q3065" s="91"/>
      <c r="R3065" s="107"/>
      <c r="S3065" s="503"/>
    </row>
    <row r="3066" spans="1:19" ht="9.75" customHeight="1">
      <c r="A3066" s="503"/>
      <c r="B3066" s="503"/>
      <c r="C3066" s="13"/>
      <c r="D3066" s="108" t="s">
        <v>25</v>
      </c>
      <c r="E3066" s="136">
        <v>175</v>
      </c>
      <c r="F3066" s="11">
        <v>80</v>
      </c>
      <c r="G3066" s="11">
        <v>76</v>
      </c>
      <c r="H3066" s="11">
        <v>70</v>
      </c>
      <c r="I3066" s="11">
        <v>60</v>
      </c>
      <c r="J3066" s="11">
        <v>59</v>
      </c>
      <c r="K3066" s="11">
        <v>44</v>
      </c>
      <c r="L3066" s="11">
        <v>50</v>
      </c>
      <c r="M3066" s="11">
        <v>70</v>
      </c>
      <c r="N3066" s="11">
        <v>91</v>
      </c>
      <c r="O3066" s="136">
        <v>98</v>
      </c>
      <c r="P3066" s="11">
        <f>MIN(F3066:O3066)</f>
        <v>44</v>
      </c>
      <c r="Q3066" s="11">
        <f>E3066-P3066</f>
        <v>131</v>
      </c>
      <c r="R3066" s="122">
        <f>Q3066/E3066</f>
        <v>0.74857142857142855</v>
      </c>
      <c r="S3066" s="503"/>
    </row>
    <row r="3067" spans="1:19" ht="9.75" customHeight="1">
      <c r="A3067" s="503"/>
      <c r="B3067" s="503"/>
      <c r="C3067" s="13"/>
      <c r="D3067" s="108" t="s">
        <v>27</v>
      </c>
      <c r="E3067" s="108"/>
      <c r="F3067" s="91"/>
      <c r="G3067" s="91"/>
      <c r="H3067" s="91"/>
      <c r="I3067" s="91"/>
      <c r="J3067" s="91"/>
      <c r="K3067" s="91"/>
      <c r="L3067" s="91"/>
      <c r="M3067" s="91"/>
      <c r="N3067" s="91"/>
      <c r="O3067" s="108"/>
      <c r="P3067" s="91"/>
      <c r="Q3067" s="91"/>
      <c r="R3067" s="107"/>
      <c r="S3067" s="503"/>
    </row>
    <row r="3068" spans="1:19" ht="9.75" customHeight="1">
      <c r="A3068" s="503"/>
      <c r="B3068" s="503"/>
      <c r="C3068" s="13"/>
      <c r="D3068" s="108" t="s">
        <v>115</v>
      </c>
      <c r="E3068" s="108"/>
      <c r="F3068" s="91"/>
      <c r="G3068" s="91"/>
      <c r="H3068" s="91"/>
      <c r="I3068" s="91"/>
      <c r="J3068" s="91"/>
      <c r="K3068" s="91"/>
      <c r="L3068" s="91"/>
      <c r="M3068" s="91"/>
      <c r="N3068" s="91"/>
      <c r="O3068" s="108"/>
      <c r="P3068" s="91"/>
      <c r="Q3068" s="91"/>
      <c r="R3068" s="107"/>
      <c r="S3068" s="503"/>
    </row>
    <row r="3069" spans="1:19" ht="9.75" customHeight="1">
      <c r="A3069" s="503"/>
      <c r="B3069" s="503"/>
      <c r="C3069" s="1"/>
      <c r="D3069" s="108" t="s">
        <v>115</v>
      </c>
      <c r="E3069" s="108"/>
      <c r="F3069" s="91"/>
      <c r="G3069" s="91"/>
      <c r="H3069" s="91"/>
      <c r="I3069" s="91"/>
      <c r="J3069" s="91"/>
      <c r="K3069" s="91"/>
      <c r="L3069" s="91"/>
      <c r="M3069" s="91"/>
      <c r="N3069" s="91"/>
      <c r="O3069" s="108"/>
      <c r="P3069" s="91"/>
      <c r="Q3069" s="91"/>
      <c r="R3069" s="107"/>
      <c r="S3069" s="503"/>
    </row>
    <row r="3070" spans="1:19" ht="9.75" customHeight="1">
      <c r="A3070" s="503"/>
      <c r="B3070" s="503"/>
      <c r="C3070" s="1"/>
      <c r="D3070" s="108" t="s">
        <v>32</v>
      </c>
      <c r="E3070" s="108"/>
      <c r="F3070" s="91"/>
      <c r="G3070" s="91"/>
      <c r="H3070" s="91"/>
      <c r="I3070" s="91"/>
      <c r="J3070" s="91"/>
      <c r="K3070" s="91"/>
      <c r="L3070" s="91"/>
      <c r="M3070" s="91"/>
      <c r="N3070" s="91"/>
      <c r="O3070" s="108"/>
      <c r="P3070" s="91"/>
      <c r="Q3070" s="91"/>
      <c r="R3070" s="107"/>
      <c r="S3070" s="503"/>
    </row>
    <row r="3071" spans="1:19" ht="9.75" customHeight="1">
      <c r="A3071" s="503"/>
      <c r="B3071" s="503"/>
      <c r="C3071" s="1"/>
      <c r="D3071" s="108" t="s">
        <v>120</v>
      </c>
      <c r="E3071" s="108"/>
      <c r="F3071" s="91"/>
      <c r="G3071" s="91"/>
      <c r="H3071" s="91"/>
      <c r="I3071" s="91"/>
      <c r="J3071" s="91"/>
      <c r="K3071" s="91"/>
      <c r="L3071" s="91"/>
      <c r="M3071" s="91"/>
      <c r="N3071" s="91"/>
      <c r="O3071" s="108"/>
      <c r="P3071" s="91"/>
      <c r="Q3071" s="91"/>
      <c r="R3071" s="107"/>
      <c r="S3071" s="503"/>
    </row>
    <row r="3072" spans="1:19" ht="9.75" customHeight="1">
      <c r="A3072" s="503"/>
      <c r="B3072" s="503"/>
      <c r="C3072" s="1"/>
      <c r="D3072" s="108" t="s">
        <v>120</v>
      </c>
      <c r="E3072" s="108"/>
      <c r="F3072" s="91"/>
      <c r="G3072" s="91"/>
      <c r="H3072" s="91"/>
      <c r="I3072" s="91"/>
      <c r="J3072" s="91"/>
      <c r="K3072" s="91"/>
      <c r="L3072" s="91"/>
      <c r="M3072" s="91"/>
      <c r="N3072" s="91"/>
      <c r="O3072" s="108"/>
      <c r="P3072" s="91"/>
      <c r="Q3072" s="91"/>
      <c r="R3072" s="107"/>
      <c r="S3072" s="503"/>
    </row>
    <row r="3073" spans="1:19" ht="9.75" customHeight="1">
      <c r="A3073" s="503"/>
      <c r="B3073" s="503"/>
      <c r="C3073" s="1"/>
      <c r="D3073" s="108" t="s">
        <v>120</v>
      </c>
      <c r="E3073" s="108"/>
      <c r="F3073" s="91"/>
      <c r="G3073" s="91"/>
      <c r="H3073" s="91"/>
      <c r="I3073" s="91"/>
      <c r="J3073" s="91"/>
      <c r="K3073" s="91"/>
      <c r="L3073" s="91"/>
      <c r="M3073" s="91"/>
      <c r="N3073" s="91"/>
      <c r="O3073" s="108"/>
      <c r="P3073" s="91"/>
      <c r="Q3073" s="91"/>
      <c r="R3073" s="107"/>
      <c r="S3073" s="503"/>
    </row>
    <row r="3074" spans="1:19" ht="9.75" customHeight="1">
      <c r="A3074" s="503"/>
      <c r="B3074" s="503"/>
      <c r="C3074" s="1"/>
      <c r="D3074" s="108" t="s">
        <v>120</v>
      </c>
      <c r="E3074" s="108"/>
      <c r="F3074" s="91"/>
      <c r="G3074" s="91"/>
      <c r="H3074" s="91"/>
      <c r="I3074" s="91"/>
      <c r="J3074" s="91"/>
      <c r="K3074" s="91"/>
      <c r="L3074" s="91"/>
      <c r="M3074" s="91"/>
      <c r="N3074" s="91"/>
      <c r="O3074" s="108"/>
      <c r="P3074" s="91"/>
      <c r="Q3074" s="91"/>
      <c r="R3074" s="107"/>
      <c r="S3074" s="503"/>
    </row>
    <row r="3075" spans="1:19" ht="9.75" customHeight="1">
      <c r="A3075" s="503"/>
      <c r="B3075" s="503"/>
      <c r="C3075" s="1"/>
      <c r="D3075" s="108" t="s">
        <v>120</v>
      </c>
      <c r="E3075" s="108"/>
      <c r="F3075" s="91"/>
      <c r="G3075" s="91"/>
      <c r="H3075" s="91"/>
      <c r="I3075" s="91"/>
      <c r="J3075" s="91"/>
      <c r="K3075" s="91"/>
      <c r="L3075" s="91"/>
      <c r="M3075" s="91"/>
      <c r="N3075" s="91"/>
      <c r="O3075" s="108"/>
      <c r="P3075" s="91"/>
      <c r="Q3075" s="91"/>
      <c r="R3075" s="107"/>
      <c r="S3075" s="503"/>
    </row>
    <row r="3076" spans="1:19" ht="9.75" customHeight="1">
      <c r="A3076" s="503"/>
      <c r="B3076" s="503"/>
      <c r="C3076" s="1"/>
      <c r="D3076" s="108" t="s">
        <v>120</v>
      </c>
      <c r="E3076" s="108"/>
      <c r="F3076" s="91"/>
      <c r="G3076" s="91"/>
      <c r="H3076" s="91"/>
      <c r="I3076" s="91"/>
      <c r="J3076" s="91"/>
      <c r="K3076" s="91"/>
      <c r="L3076" s="91"/>
      <c r="M3076" s="91"/>
      <c r="N3076" s="91"/>
      <c r="O3076" s="108"/>
      <c r="P3076" s="91"/>
      <c r="Q3076" s="91"/>
      <c r="R3076" s="107"/>
      <c r="S3076" s="503"/>
    </row>
    <row r="3077" spans="1:19" ht="9.75" customHeight="1">
      <c r="A3077" s="503"/>
      <c r="B3077" s="503"/>
      <c r="C3077" s="1"/>
      <c r="D3077" s="108" t="s">
        <v>34</v>
      </c>
      <c r="E3077" s="108"/>
      <c r="F3077" s="91"/>
      <c r="G3077" s="91"/>
      <c r="H3077" s="91"/>
      <c r="I3077" s="91"/>
      <c r="J3077" s="91"/>
      <c r="K3077" s="91"/>
      <c r="L3077" s="91"/>
      <c r="M3077" s="91"/>
      <c r="N3077" s="91"/>
      <c r="O3077" s="108"/>
      <c r="P3077" s="91"/>
      <c r="Q3077" s="91"/>
      <c r="R3077" s="107"/>
      <c r="S3077" s="503"/>
    </row>
    <row r="3078" spans="1:19" ht="9.75" customHeight="1">
      <c r="A3078" s="503"/>
      <c r="B3078" s="503"/>
      <c r="C3078" s="1"/>
      <c r="D3078" s="108" t="s">
        <v>35</v>
      </c>
      <c r="E3078" s="108"/>
      <c r="F3078" s="91"/>
      <c r="G3078" s="91"/>
      <c r="H3078" s="91"/>
      <c r="I3078" s="91"/>
      <c r="J3078" s="91"/>
      <c r="K3078" s="91"/>
      <c r="L3078" s="91"/>
      <c r="M3078" s="91"/>
      <c r="N3078" s="91"/>
      <c r="O3078" s="108"/>
      <c r="P3078" s="91"/>
      <c r="Q3078" s="91"/>
      <c r="R3078" s="107"/>
      <c r="S3078" s="503"/>
    </row>
    <row r="3079" spans="1:19" ht="9.75" customHeight="1">
      <c r="A3079" s="503"/>
      <c r="B3079" s="503"/>
      <c r="C3079" s="1"/>
      <c r="D3079" s="108" t="s">
        <v>36</v>
      </c>
      <c r="E3079" s="108"/>
      <c r="F3079" s="91"/>
      <c r="G3079" s="91"/>
      <c r="H3079" s="91"/>
      <c r="I3079" s="91"/>
      <c r="J3079" s="91"/>
      <c r="K3079" s="91"/>
      <c r="L3079" s="91"/>
      <c r="M3079" s="91"/>
      <c r="N3079" s="91"/>
      <c r="O3079" s="108"/>
      <c r="P3079" s="91"/>
      <c r="Q3079" s="91"/>
      <c r="R3079" s="107"/>
      <c r="S3079" s="503"/>
    </row>
    <row r="3080" spans="1:19" ht="9.75" customHeight="1">
      <c r="A3080" s="503"/>
      <c r="B3080" s="503"/>
      <c r="C3080" s="1"/>
      <c r="D3080" s="113" t="s">
        <v>37</v>
      </c>
      <c r="E3080" s="113"/>
      <c r="F3080" s="112"/>
      <c r="G3080" s="112"/>
      <c r="H3080" s="112"/>
      <c r="I3080" s="112"/>
      <c r="J3080" s="112"/>
      <c r="K3080" s="112"/>
      <c r="L3080" s="112"/>
      <c r="M3080" s="112"/>
      <c r="N3080" s="112"/>
      <c r="O3080" s="113"/>
      <c r="P3080" s="112"/>
      <c r="Q3080" s="112"/>
      <c r="R3080" s="165"/>
      <c r="S3080" s="503"/>
    </row>
    <row r="3081" spans="1:19" ht="9.75" customHeight="1">
      <c r="A3081" s="503"/>
      <c r="B3081" s="503" t="s">
        <v>127</v>
      </c>
      <c r="C3081" s="25"/>
      <c r="D3081" s="5" t="s">
        <v>38</v>
      </c>
      <c r="E3081" s="166">
        <f t="shared" ref="E3081:O3081" si="578">SUM(E3065:E3080)</f>
        <v>175</v>
      </c>
      <c r="F3081" s="167">
        <f t="shared" si="578"/>
        <v>80</v>
      </c>
      <c r="G3081" s="167">
        <f t="shared" si="578"/>
        <v>76</v>
      </c>
      <c r="H3081" s="167">
        <f t="shared" si="578"/>
        <v>70</v>
      </c>
      <c r="I3081" s="167">
        <f t="shared" si="578"/>
        <v>60</v>
      </c>
      <c r="J3081" s="167">
        <f t="shared" si="578"/>
        <v>59</v>
      </c>
      <c r="K3081" s="167">
        <f t="shared" si="578"/>
        <v>44</v>
      </c>
      <c r="L3081" s="167">
        <f t="shared" si="578"/>
        <v>50</v>
      </c>
      <c r="M3081" s="167">
        <f t="shared" si="578"/>
        <v>70</v>
      </c>
      <c r="N3081" s="167">
        <f t="shared" si="578"/>
        <v>91</v>
      </c>
      <c r="O3081" s="166">
        <f t="shared" si="578"/>
        <v>98</v>
      </c>
      <c r="P3081" s="167">
        <f>MIN(F3081:O3081)</f>
        <v>44</v>
      </c>
      <c r="Q3081" s="167">
        <f>E3081-P3081</f>
        <v>131</v>
      </c>
      <c r="R3081" s="168">
        <f>Q3081/E3081</f>
        <v>0.74857142857142855</v>
      </c>
      <c r="S3081" s="503"/>
    </row>
    <row r="3082" spans="1:19" ht="9.75" customHeight="1">
      <c r="A3082" s="503"/>
      <c r="B3082" s="503"/>
      <c r="C3082" s="1" t="s">
        <v>430</v>
      </c>
      <c r="D3082" s="108" t="s">
        <v>23</v>
      </c>
      <c r="E3082" s="108"/>
      <c r="F3082" s="91"/>
      <c r="G3082" s="91"/>
      <c r="H3082" s="91"/>
      <c r="I3082" s="91"/>
      <c r="J3082" s="91"/>
      <c r="K3082" s="91"/>
      <c r="L3082" s="91"/>
      <c r="M3082" s="91"/>
      <c r="N3082" s="91"/>
      <c r="O3082" s="108"/>
      <c r="P3082" s="91"/>
      <c r="Q3082" s="91"/>
      <c r="R3082" s="107"/>
      <c r="S3082" s="503"/>
    </row>
    <row r="3083" spans="1:19" ht="9.75" customHeight="1">
      <c r="A3083" s="503"/>
      <c r="B3083" s="503"/>
      <c r="C3083" s="13"/>
      <c r="D3083" s="108" t="s">
        <v>25</v>
      </c>
      <c r="E3083" s="136">
        <v>125</v>
      </c>
      <c r="F3083" s="11">
        <v>2</v>
      </c>
      <c r="G3083" s="11">
        <v>1</v>
      </c>
      <c r="H3083" s="11">
        <v>0</v>
      </c>
      <c r="I3083" s="11">
        <v>0</v>
      </c>
      <c r="J3083" s="11">
        <v>0</v>
      </c>
      <c r="K3083" s="11">
        <v>5</v>
      </c>
      <c r="L3083" s="11">
        <v>12</v>
      </c>
      <c r="M3083" s="11">
        <v>15</v>
      </c>
      <c r="N3083" s="11">
        <v>17</v>
      </c>
      <c r="O3083" s="136">
        <v>21</v>
      </c>
      <c r="P3083" s="11">
        <f>MIN(F3083:O3083)</f>
        <v>0</v>
      </c>
      <c r="Q3083" s="11">
        <f>E3083-P3083</f>
        <v>125</v>
      </c>
      <c r="R3083" s="122">
        <f>Q3083/E3083</f>
        <v>1</v>
      </c>
      <c r="S3083" s="503"/>
    </row>
    <row r="3084" spans="1:19" ht="9.75" customHeight="1">
      <c r="A3084" s="503"/>
      <c r="B3084" s="503"/>
      <c r="C3084" s="13"/>
      <c r="D3084" s="108" t="s">
        <v>27</v>
      </c>
      <c r="E3084" s="108"/>
      <c r="F3084" s="91"/>
      <c r="G3084" s="91"/>
      <c r="H3084" s="91"/>
      <c r="I3084" s="91"/>
      <c r="J3084" s="91"/>
      <c r="K3084" s="91"/>
      <c r="L3084" s="91"/>
      <c r="M3084" s="91"/>
      <c r="N3084" s="91"/>
      <c r="O3084" s="108"/>
      <c r="P3084" s="91"/>
      <c r="Q3084" s="91"/>
      <c r="R3084" s="107"/>
      <c r="S3084" s="503"/>
    </row>
    <row r="3085" spans="1:19" ht="9.75" customHeight="1">
      <c r="A3085" s="503"/>
      <c r="B3085" s="503"/>
      <c r="C3085" s="13"/>
      <c r="D3085" s="108" t="s">
        <v>115</v>
      </c>
      <c r="E3085" s="108"/>
      <c r="F3085" s="91"/>
      <c r="G3085" s="91"/>
      <c r="H3085" s="91"/>
      <c r="I3085" s="91"/>
      <c r="J3085" s="91"/>
      <c r="K3085" s="91"/>
      <c r="L3085" s="91"/>
      <c r="M3085" s="91"/>
      <c r="N3085" s="91"/>
      <c r="O3085" s="108"/>
      <c r="P3085" s="91"/>
      <c r="Q3085" s="91"/>
      <c r="R3085" s="107"/>
      <c r="S3085" s="503"/>
    </row>
    <row r="3086" spans="1:19" ht="9.75" customHeight="1">
      <c r="A3086" s="503"/>
      <c r="B3086" s="503"/>
      <c r="C3086" s="1"/>
      <c r="D3086" s="108" t="s">
        <v>115</v>
      </c>
      <c r="E3086" s="108"/>
      <c r="F3086" s="91"/>
      <c r="G3086" s="91"/>
      <c r="H3086" s="91"/>
      <c r="I3086" s="91"/>
      <c r="J3086" s="91"/>
      <c r="K3086" s="91"/>
      <c r="L3086" s="91"/>
      <c r="M3086" s="91"/>
      <c r="N3086" s="91"/>
      <c r="O3086" s="108"/>
      <c r="P3086" s="91"/>
      <c r="Q3086" s="91"/>
      <c r="R3086" s="107"/>
      <c r="S3086" s="503"/>
    </row>
    <row r="3087" spans="1:19" ht="9.75" customHeight="1">
      <c r="A3087" s="503"/>
      <c r="B3087" s="503"/>
      <c r="C3087" s="1"/>
      <c r="D3087" s="108" t="s">
        <v>32</v>
      </c>
      <c r="E3087" s="108"/>
      <c r="F3087" s="91"/>
      <c r="G3087" s="91"/>
      <c r="H3087" s="91"/>
      <c r="I3087" s="91"/>
      <c r="J3087" s="91"/>
      <c r="K3087" s="91"/>
      <c r="L3087" s="91"/>
      <c r="M3087" s="91"/>
      <c r="N3087" s="91"/>
      <c r="O3087" s="108"/>
      <c r="P3087" s="91"/>
      <c r="Q3087" s="91"/>
      <c r="R3087" s="107"/>
      <c r="S3087" s="503"/>
    </row>
    <row r="3088" spans="1:19" ht="9.75" customHeight="1">
      <c r="A3088" s="503"/>
      <c r="B3088" s="503"/>
      <c r="C3088" s="1"/>
      <c r="D3088" s="108" t="s">
        <v>120</v>
      </c>
      <c r="E3088" s="108"/>
      <c r="F3088" s="91"/>
      <c r="G3088" s="91"/>
      <c r="H3088" s="91"/>
      <c r="I3088" s="91"/>
      <c r="J3088" s="91"/>
      <c r="K3088" s="91"/>
      <c r="L3088" s="91"/>
      <c r="M3088" s="91"/>
      <c r="N3088" s="91"/>
      <c r="O3088" s="108"/>
      <c r="P3088" s="91"/>
      <c r="Q3088" s="91"/>
      <c r="R3088" s="107"/>
      <c r="S3088" s="503"/>
    </row>
    <row r="3089" spans="1:19" ht="9.75" customHeight="1">
      <c r="A3089" s="503"/>
      <c r="B3089" s="503"/>
      <c r="C3089" s="1"/>
      <c r="D3089" s="108" t="s">
        <v>120</v>
      </c>
      <c r="E3089" s="108"/>
      <c r="F3089" s="91"/>
      <c r="G3089" s="91"/>
      <c r="H3089" s="91"/>
      <c r="I3089" s="91"/>
      <c r="J3089" s="91"/>
      <c r="K3089" s="91"/>
      <c r="L3089" s="91"/>
      <c r="M3089" s="91"/>
      <c r="N3089" s="91"/>
      <c r="O3089" s="108"/>
      <c r="P3089" s="91"/>
      <c r="Q3089" s="91"/>
      <c r="R3089" s="107"/>
      <c r="S3089" s="503"/>
    </row>
    <row r="3090" spans="1:19" ht="9.75" customHeight="1">
      <c r="A3090" s="503"/>
      <c r="B3090" s="503"/>
      <c r="C3090" s="1"/>
      <c r="D3090" s="108" t="s">
        <v>120</v>
      </c>
      <c r="E3090" s="108"/>
      <c r="F3090" s="91"/>
      <c r="G3090" s="91"/>
      <c r="H3090" s="91"/>
      <c r="I3090" s="91"/>
      <c r="J3090" s="91"/>
      <c r="K3090" s="91"/>
      <c r="L3090" s="91"/>
      <c r="M3090" s="91"/>
      <c r="N3090" s="91"/>
      <c r="O3090" s="108"/>
      <c r="P3090" s="91"/>
      <c r="Q3090" s="91"/>
      <c r="R3090" s="107"/>
      <c r="S3090" s="503"/>
    </row>
    <row r="3091" spans="1:19" ht="9.75" customHeight="1">
      <c r="A3091" s="503"/>
      <c r="B3091" s="503"/>
      <c r="C3091" s="1"/>
      <c r="D3091" s="108" t="s">
        <v>120</v>
      </c>
      <c r="E3091" s="108"/>
      <c r="F3091" s="91"/>
      <c r="G3091" s="91"/>
      <c r="H3091" s="91"/>
      <c r="I3091" s="91"/>
      <c r="J3091" s="91"/>
      <c r="K3091" s="91"/>
      <c r="L3091" s="91"/>
      <c r="M3091" s="91"/>
      <c r="N3091" s="91"/>
      <c r="O3091" s="108"/>
      <c r="P3091" s="91"/>
      <c r="Q3091" s="91"/>
      <c r="R3091" s="107"/>
      <c r="S3091" s="503"/>
    </row>
    <row r="3092" spans="1:19" ht="9.75" customHeight="1">
      <c r="A3092" s="503"/>
      <c r="B3092" s="503"/>
      <c r="C3092" s="1"/>
      <c r="D3092" s="108" t="s">
        <v>120</v>
      </c>
      <c r="E3092" s="108"/>
      <c r="F3092" s="91"/>
      <c r="G3092" s="91"/>
      <c r="H3092" s="91"/>
      <c r="I3092" s="91"/>
      <c r="J3092" s="91"/>
      <c r="K3092" s="91"/>
      <c r="L3092" s="91"/>
      <c r="M3092" s="91"/>
      <c r="N3092" s="91"/>
      <c r="O3092" s="108"/>
      <c r="P3092" s="91"/>
      <c r="Q3092" s="91"/>
      <c r="R3092" s="107"/>
      <c r="S3092" s="503"/>
    </row>
    <row r="3093" spans="1:19" ht="9.75" customHeight="1">
      <c r="A3093" s="503"/>
      <c r="B3093" s="503"/>
      <c r="C3093" s="1"/>
      <c r="D3093" s="108" t="s">
        <v>120</v>
      </c>
      <c r="E3093" s="108"/>
      <c r="F3093" s="91"/>
      <c r="G3093" s="91"/>
      <c r="H3093" s="91"/>
      <c r="I3093" s="91"/>
      <c r="J3093" s="91"/>
      <c r="K3093" s="91"/>
      <c r="L3093" s="91"/>
      <c r="M3093" s="91"/>
      <c r="N3093" s="91"/>
      <c r="O3093" s="108"/>
      <c r="P3093" s="91"/>
      <c r="Q3093" s="91"/>
      <c r="R3093" s="107"/>
      <c r="S3093" s="503"/>
    </row>
    <row r="3094" spans="1:19" ht="9.75" customHeight="1">
      <c r="A3094" s="503"/>
      <c r="B3094" s="503"/>
      <c r="C3094" s="1"/>
      <c r="D3094" s="108" t="s">
        <v>34</v>
      </c>
      <c r="E3094" s="136">
        <v>2</v>
      </c>
      <c r="F3094" s="11">
        <v>2</v>
      </c>
      <c r="G3094" s="11">
        <v>2</v>
      </c>
      <c r="H3094" s="11">
        <v>2</v>
      </c>
      <c r="I3094" s="11">
        <v>2</v>
      </c>
      <c r="J3094" s="11">
        <v>2</v>
      </c>
      <c r="K3094" s="11">
        <v>2</v>
      </c>
      <c r="L3094" s="11">
        <v>2</v>
      </c>
      <c r="M3094" s="11">
        <v>2</v>
      </c>
      <c r="N3094" s="11">
        <v>2</v>
      </c>
      <c r="O3094" s="136">
        <v>2</v>
      </c>
      <c r="P3094" s="11">
        <f>MIN(F3094:O3094)</f>
        <v>2</v>
      </c>
      <c r="Q3094" s="11">
        <f>E3094-P3094</f>
        <v>0</v>
      </c>
      <c r="R3094" s="122">
        <f>Q3094/E3094</f>
        <v>0</v>
      </c>
      <c r="S3094" s="503"/>
    </row>
    <row r="3095" spans="1:19" ht="9.75" customHeight="1">
      <c r="A3095" s="503"/>
      <c r="B3095" s="503"/>
      <c r="C3095" s="1"/>
      <c r="D3095" s="108" t="s">
        <v>35</v>
      </c>
      <c r="E3095" s="108"/>
      <c r="F3095" s="91"/>
      <c r="G3095" s="91"/>
      <c r="H3095" s="91"/>
      <c r="I3095" s="91"/>
      <c r="J3095" s="91"/>
      <c r="K3095" s="91"/>
      <c r="L3095" s="91"/>
      <c r="M3095" s="91"/>
      <c r="N3095" s="91"/>
      <c r="O3095" s="108"/>
      <c r="P3095" s="91"/>
      <c r="Q3095" s="91"/>
      <c r="R3095" s="107"/>
      <c r="S3095" s="503"/>
    </row>
    <row r="3096" spans="1:19" ht="9.75" customHeight="1">
      <c r="A3096" s="503"/>
      <c r="B3096" s="503"/>
      <c r="C3096" s="1"/>
      <c r="D3096" s="108" t="s">
        <v>36</v>
      </c>
      <c r="E3096" s="108"/>
      <c r="F3096" s="91"/>
      <c r="G3096" s="91"/>
      <c r="H3096" s="91"/>
      <c r="I3096" s="91"/>
      <c r="J3096" s="91"/>
      <c r="K3096" s="91"/>
      <c r="L3096" s="91"/>
      <c r="M3096" s="91"/>
      <c r="N3096" s="91"/>
      <c r="O3096" s="108"/>
      <c r="P3096" s="91"/>
      <c r="Q3096" s="91"/>
      <c r="R3096" s="107"/>
      <c r="S3096" s="503"/>
    </row>
    <row r="3097" spans="1:19" ht="9.75" customHeight="1">
      <c r="A3097" s="503"/>
      <c r="B3097" s="503"/>
      <c r="C3097" s="1"/>
      <c r="D3097" s="113" t="s">
        <v>37</v>
      </c>
      <c r="E3097" s="113"/>
      <c r="F3097" s="112"/>
      <c r="G3097" s="112"/>
      <c r="H3097" s="112"/>
      <c r="I3097" s="112"/>
      <c r="J3097" s="112"/>
      <c r="K3097" s="112"/>
      <c r="L3097" s="112"/>
      <c r="M3097" s="112"/>
      <c r="N3097" s="112"/>
      <c r="O3097" s="113"/>
      <c r="P3097" s="112"/>
      <c r="Q3097" s="112"/>
      <c r="R3097" s="165"/>
      <c r="S3097" s="503"/>
    </row>
    <row r="3098" spans="1:19" ht="9.75" customHeight="1">
      <c r="A3098" s="503"/>
      <c r="B3098" s="503" t="s">
        <v>127</v>
      </c>
      <c r="C3098" s="25"/>
      <c r="D3098" s="5" t="s">
        <v>38</v>
      </c>
      <c r="E3098" s="166">
        <f t="shared" ref="E3098:O3098" si="579">SUM(E3082:E3097)</f>
        <v>127</v>
      </c>
      <c r="F3098" s="167">
        <f t="shared" si="579"/>
        <v>4</v>
      </c>
      <c r="G3098" s="167">
        <f t="shared" si="579"/>
        <v>3</v>
      </c>
      <c r="H3098" s="167">
        <f t="shared" si="579"/>
        <v>2</v>
      </c>
      <c r="I3098" s="167">
        <f t="shared" si="579"/>
        <v>2</v>
      </c>
      <c r="J3098" s="167">
        <f t="shared" si="579"/>
        <v>2</v>
      </c>
      <c r="K3098" s="167">
        <f t="shared" si="579"/>
        <v>7</v>
      </c>
      <c r="L3098" s="167">
        <f t="shared" si="579"/>
        <v>14</v>
      </c>
      <c r="M3098" s="167">
        <f t="shared" si="579"/>
        <v>17</v>
      </c>
      <c r="N3098" s="167">
        <f t="shared" si="579"/>
        <v>19</v>
      </c>
      <c r="O3098" s="166">
        <f t="shared" si="579"/>
        <v>23</v>
      </c>
      <c r="P3098" s="167">
        <f>MIN(F3098:O3098)</f>
        <v>2</v>
      </c>
      <c r="Q3098" s="167">
        <f>E3098-P3098</f>
        <v>125</v>
      </c>
      <c r="R3098" s="168">
        <f>Q3098/E3098</f>
        <v>0.98425196850393704</v>
      </c>
      <c r="S3098" s="503"/>
    </row>
    <row r="3099" spans="1:19" ht="9.75" customHeight="1">
      <c r="A3099" s="503"/>
      <c r="B3099" s="503"/>
      <c r="C3099" s="1" t="s">
        <v>431</v>
      </c>
      <c r="D3099" s="108" t="s">
        <v>23</v>
      </c>
      <c r="E3099" s="108"/>
      <c r="F3099" s="91"/>
      <c r="G3099" s="91"/>
      <c r="H3099" s="91"/>
      <c r="I3099" s="91"/>
      <c r="J3099" s="91"/>
      <c r="K3099" s="91"/>
      <c r="L3099" s="91"/>
      <c r="M3099" s="91"/>
      <c r="N3099" s="91"/>
      <c r="O3099" s="108"/>
      <c r="P3099" s="91"/>
      <c r="Q3099" s="91"/>
      <c r="R3099" s="107"/>
      <c r="S3099" s="503"/>
    </row>
    <row r="3100" spans="1:19" ht="9.75" customHeight="1">
      <c r="A3100" s="503"/>
      <c r="B3100" s="503"/>
      <c r="C3100" s="13"/>
      <c r="D3100" s="108" t="s">
        <v>25</v>
      </c>
      <c r="E3100" s="136">
        <v>86</v>
      </c>
      <c r="F3100" s="11">
        <v>17</v>
      </c>
      <c r="G3100" s="11">
        <v>4</v>
      </c>
      <c r="H3100" s="11">
        <v>0</v>
      </c>
      <c r="I3100" s="11">
        <v>0</v>
      </c>
      <c r="J3100" s="11">
        <v>0</v>
      </c>
      <c r="K3100" s="11">
        <v>3</v>
      </c>
      <c r="L3100" s="11">
        <v>12</v>
      </c>
      <c r="M3100" s="11">
        <v>17</v>
      </c>
      <c r="N3100" s="11">
        <v>19</v>
      </c>
      <c r="O3100" s="136">
        <v>22</v>
      </c>
      <c r="P3100" s="11">
        <f>MIN(F3100:O3100)</f>
        <v>0</v>
      </c>
      <c r="Q3100" s="11">
        <f>E3100-P3100</f>
        <v>86</v>
      </c>
      <c r="R3100" s="122">
        <f>Q3100/E3100</f>
        <v>1</v>
      </c>
      <c r="S3100" s="503"/>
    </row>
    <row r="3101" spans="1:19" ht="9.75" customHeight="1">
      <c r="A3101" s="503"/>
      <c r="B3101" s="503"/>
      <c r="C3101" s="13"/>
      <c r="D3101" s="108" t="s">
        <v>27</v>
      </c>
      <c r="E3101" s="108"/>
      <c r="F3101" s="91"/>
      <c r="G3101" s="91"/>
      <c r="H3101" s="91"/>
      <c r="I3101" s="91"/>
      <c r="J3101" s="91"/>
      <c r="K3101" s="91"/>
      <c r="L3101" s="91"/>
      <c r="M3101" s="91"/>
      <c r="N3101" s="91"/>
      <c r="O3101" s="108"/>
      <c r="P3101" s="91"/>
      <c r="Q3101" s="91"/>
      <c r="R3101" s="107"/>
      <c r="S3101" s="503"/>
    </row>
    <row r="3102" spans="1:19" ht="9.75" customHeight="1">
      <c r="A3102" s="503"/>
      <c r="B3102" s="503"/>
      <c r="C3102" s="13"/>
      <c r="D3102" s="108" t="s">
        <v>115</v>
      </c>
      <c r="E3102" s="108"/>
      <c r="F3102" s="91"/>
      <c r="G3102" s="91"/>
      <c r="H3102" s="91"/>
      <c r="I3102" s="91"/>
      <c r="J3102" s="91"/>
      <c r="K3102" s="91"/>
      <c r="L3102" s="91"/>
      <c r="M3102" s="91"/>
      <c r="N3102" s="91"/>
      <c r="O3102" s="108"/>
      <c r="P3102" s="91"/>
      <c r="Q3102" s="91"/>
      <c r="R3102" s="107"/>
      <c r="S3102" s="503"/>
    </row>
    <row r="3103" spans="1:19" ht="9.75" customHeight="1">
      <c r="A3103" s="503"/>
      <c r="B3103" s="503"/>
      <c r="C3103" s="1"/>
      <c r="D3103" s="108" t="s">
        <v>115</v>
      </c>
      <c r="E3103" s="108"/>
      <c r="F3103" s="91"/>
      <c r="G3103" s="91"/>
      <c r="H3103" s="91"/>
      <c r="I3103" s="91"/>
      <c r="J3103" s="91"/>
      <c r="K3103" s="91"/>
      <c r="L3103" s="91"/>
      <c r="M3103" s="91"/>
      <c r="N3103" s="91"/>
      <c r="O3103" s="108"/>
      <c r="P3103" s="91"/>
      <c r="Q3103" s="91"/>
      <c r="R3103" s="107"/>
      <c r="S3103" s="503"/>
    </row>
    <row r="3104" spans="1:19" ht="9.75" customHeight="1">
      <c r="A3104" s="503"/>
      <c r="B3104" s="503"/>
      <c r="C3104" s="1"/>
      <c r="D3104" s="108" t="s">
        <v>32</v>
      </c>
      <c r="E3104" s="108"/>
      <c r="F3104" s="91"/>
      <c r="G3104" s="91"/>
      <c r="H3104" s="91"/>
      <c r="I3104" s="91"/>
      <c r="J3104" s="91"/>
      <c r="K3104" s="91"/>
      <c r="L3104" s="91"/>
      <c r="M3104" s="91"/>
      <c r="N3104" s="91"/>
      <c r="O3104" s="108"/>
      <c r="P3104" s="91"/>
      <c r="Q3104" s="91"/>
      <c r="R3104" s="107"/>
      <c r="S3104" s="503"/>
    </row>
    <row r="3105" spans="1:19" ht="9.75" customHeight="1">
      <c r="A3105" s="503"/>
      <c r="B3105" s="503"/>
      <c r="C3105" s="1"/>
      <c r="D3105" s="108" t="s">
        <v>120</v>
      </c>
      <c r="E3105" s="108"/>
      <c r="F3105" s="91"/>
      <c r="G3105" s="91"/>
      <c r="H3105" s="91"/>
      <c r="I3105" s="91"/>
      <c r="J3105" s="91"/>
      <c r="K3105" s="91"/>
      <c r="L3105" s="91"/>
      <c r="M3105" s="91"/>
      <c r="N3105" s="91"/>
      <c r="O3105" s="108"/>
      <c r="P3105" s="91"/>
      <c r="Q3105" s="91"/>
      <c r="R3105" s="107"/>
      <c r="S3105" s="503"/>
    </row>
    <row r="3106" spans="1:19" ht="9.75" customHeight="1">
      <c r="A3106" s="503"/>
      <c r="B3106" s="503"/>
      <c r="C3106" s="1"/>
      <c r="D3106" s="108" t="s">
        <v>120</v>
      </c>
      <c r="E3106" s="108"/>
      <c r="F3106" s="91"/>
      <c r="G3106" s="91"/>
      <c r="H3106" s="91"/>
      <c r="I3106" s="91"/>
      <c r="J3106" s="91"/>
      <c r="K3106" s="91"/>
      <c r="L3106" s="91"/>
      <c r="M3106" s="91"/>
      <c r="N3106" s="91"/>
      <c r="O3106" s="108"/>
      <c r="P3106" s="91"/>
      <c r="Q3106" s="91"/>
      <c r="R3106" s="107"/>
      <c r="S3106" s="503"/>
    </row>
    <row r="3107" spans="1:19" ht="9.75" customHeight="1">
      <c r="A3107" s="503"/>
      <c r="B3107" s="503"/>
      <c r="C3107" s="1"/>
      <c r="D3107" s="108" t="s">
        <v>120</v>
      </c>
      <c r="E3107" s="108"/>
      <c r="F3107" s="91"/>
      <c r="G3107" s="91"/>
      <c r="H3107" s="91"/>
      <c r="I3107" s="91"/>
      <c r="J3107" s="91"/>
      <c r="K3107" s="91"/>
      <c r="L3107" s="91"/>
      <c r="M3107" s="91"/>
      <c r="N3107" s="91"/>
      <c r="O3107" s="108"/>
      <c r="P3107" s="91"/>
      <c r="Q3107" s="91"/>
      <c r="R3107" s="107"/>
      <c r="S3107" s="503"/>
    </row>
    <row r="3108" spans="1:19" ht="9.75" customHeight="1">
      <c r="A3108" s="503"/>
      <c r="B3108" s="503"/>
      <c r="C3108" s="1"/>
      <c r="D3108" s="108" t="s">
        <v>120</v>
      </c>
      <c r="E3108" s="108"/>
      <c r="F3108" s="91"/>
      <c r="G3108" s="91"/>
      <c r="H3108" s="91"/>
      <c r="I3108" s="91"/>
      <c r="J3108" s="91"/>
      <c r="K3108" s="91"/>
      <c r="L3108" s="91"/>
      <c r="M3108" s="91"/>
      <c r="N3108" s="91"/>
      <c r="O3108" s="108"/>
      <c r="P3108" s="91"/>
      <c r="Q3108" s="91"/>
      <c r="R3108" s="107"/>
      <c r="S3108" s="503"/>
    </row>
    <row r="3109" spans="1:19" ht="9.75" customHeight="1">
      <c r="A3109" s="503"/>
      <c r="B3109" s="503"/>
      <c r="C3109" s="1"/>
      <c r="D3109" s="108" t="s">
        <v>120</v>
      </c>
      <c r="E3109" s="108"/>
      <c r="F3109" s="91"/>
      <c r="G3109" s="91"/>
      <c r="H3109" s="91"/>
      <c r="I3109" s="91"/>
      <c r="J3109" s="91"/>
      <c r="K3109" s="91"/>
      <c r="L3109" s="91"/>
      <c r="M3109" s="91"/>
      <c r="N3109" s="91"/>
      <c r="O3109" s="108"/>
      <c r="P3109" s="91"/>
      <c r="Q3109" s="91"/>
      <c r="R3109" s="107"/>
      <c r="S3109" s="503"/>
    </row>
    <row r="3110" spans="1:19" ht="9.75" customHeight="1">
      <c r="A3110" s="503"/>
      <c r="B3110" s="503"/>
      <c r="C3110" s="1"/>
      <c r="D3110" s="108" t="s">
        <v>120</v>
      </c>
      <c r="E3110" s="108"/>
      <c r="F3110" s="91"/>
      <c r="G3110" s="91"/>
      <c r="H3110" s="91"/>
      <c r="I3110" s="91"/>
      <c r="J3110" s="91"/>
      <c r="K3110" s="91"/>
      <c r="L3110" s="91"/>
      <c r="M3110" s="91"/>
      <c r="N3110" s="91"/>
      <c r="O3110" s="108"/>
      <c r="P3110" s="91"/>
      <c r="Q3110" s="91"/>
      <c r="R3110" s="107"/>
      <c r="S3110" s="503"/>
    </row>
    <row r="3111" spans="1:19" ht="9.75" customHeight="1">
      <c r="A3111" s="503"/>
      <c r="B3111" s="503"/>
      <c r="C3111" s="1"/>
      <c r="D3111" s="108" t="s">
        <v>34</v>
      </c>
      <c r="E3111" s="108"/>
      <c r="F3111" s="91"/>
      <c r="G3111" s="91"/>
      <c r="H3111" s="91"/>
      <c r="I3111" s="91"/>
      <c r="J3111" s="91"/>
      <c r="K3111" s="91"/>
      <c r="L3111" s="91"/>
      <c r="M3111" s="91"/>
      <c r="N3111" s="91"/>
      <c r="O3111" s="108"/>
      <c r="P3111" s="91"/>
      <c r="Q3111" s="91"/>
      <c r="R3111" s="107"/>
      <c r="S3111" s="503"/>
    </row>
    <row r="3112" spans="1:19" ht="9.75" customHeight="1">
      <c r="A3112" s="503"/>
      <c r="B3112" s="503"/>
      <c r="C3112" s="1"/>
      <c r="D3112" s="108" t="s">
        <v>35</v>
      </c>
      <c r="E3112" s="108"/>
      <c r="F3112" s="91"/>
      <c r="G3112" s="91"/>
      <c r="H3112" s="91"/>
      <c r="I3112" s="91"/>
      <c r="J3112" s="91"/>
      <c r="K3112" s="91"/>
      <c r="L3112" s="91"/>
      <c r="M3112" s="91"/>
      <c r="N3112" s="91"/>
      <c r="O3112" s="108"/>
      <c r="P3112" s="91"/>
      <c r="Q3112" s="91"/>
      <c r="R3112" s="107"/>
      <c r="S3112" s="503"/>
    </row>
    <row r="3113" spans="1:19" ht="9.75" customHeight="1">
      <c r="A3113" s="503"/>
      <c r="B3113" s="503"/>
      <c r="C3113" s="1"/>
      <c r="D3113" s="108" t="s">
        <v>36</v>
      </c>
      <c r="E3113" s="108"/>
      <c r="F3113" s="91"/>
      <c r="G3113" s="91"/>
      <c r="H3113" s="91"/>
      <c r="I3113" s="91"/>
      <c r="J3113" s="91"/>
      <c r="K3113" s="91"/>
      <c r="L3113" s="91"/>
      <c r="M3113" s="91"/>
      <c r="N3113" s="91"/>
      <c r="O3113" s="108"/>
      <c r="P3113" s="91"/>
      <c r="Q3113" s="91"/>
      <c r="R3113" s="107"/>
      <c r="S3113" s="503"/>
    </row>
    <row r="3114" spans="1:19" ht="9.75" customHeight="1">
      <c r="A3114" s="503"/>
      <c r="B3114" s="503"/>
      <c r="C3114" s="1"/>
      <c r="D3114" s="113" t="s">
        <v>37</v>
      </c>
      <c r="E3114" s="113"/>
      <c r="F3114" s="112"/>
      <c r="G3114" s="112"/>
      <c r="H3114" s="112"/>
      <c r="I3114" s="112"/>
      <c r="J3114" s="112"/>
      <c r="K3114" s="112"/>
      <c r="L3114" s="112"/>
      <c r="M3114" s="112"/>
      <c r="N3114" s="112"/>
      <c r="O3114" s="113"/>
      <c r="P3114" s="112"/>
      <c r="Q3114" s="112"/>
      <c r="R3114" s="165"/>
      <c r="S3114" s="503"/>
    </row>
    <row r="3115" spans="1:19" ht="9.75" customHeight="1">
      <c r="A3115" s="503"/>
      <c r="B3115" s="503" t="s">
        <v>127</v>
      </c>
      <c r="C3115" s="25"/>
      <c r="D3115" s="5" t="s">
        <v>38</v>
      </c>
      <c r="E3115" s="166">
        <f t="shared" ref="E3115:O3115" si="580">SUM(E3099:E3114)</f>
        <v>86</v>
      </c>
      <c r="F3115" s="167">
        <f t="shared" si="580"/>
        <v>17</v>
      </c>
      <c r="G3115" s="167">
        <f t="shared" si="580"/>
        <v>4</v>
      </c>
      <c r="H3115" s="167">
        <f t="shared" si="580"/>
        <v>0</v>
      </c>
      <c r="I3115" s="167">
        <f t="shared" si="580"/>
        <v>0</v>
      </c>
      <c r="J3115" s="167">
        <f t="shared" si="580"/>
        <v>0</v>
      </c>
      <c r="K3115" s="167">
        <f t="shared" si="580"/>
        <v>3</v>
      </c>
      <c r="L3115" s="167">
        <f t="shared" si="580"/>
        <v>12</v>
      </c>
      <c r="M3115" s="167">
        <f t="shared" si="580"/>
        <v>17</v>
      </c>
      <c r="N3115" s="167">
        <f t="shared" si="580"/>
        <v>19</v>
      </c>
      <c r="O3115" s="166">
        <f t="shared" si="580"/>
        <v>22</v>
      </c>
      <c r="P3115" s="167">
        <f>MIN(F3115:O3115)</f>
        <v>0</v>
      </c>
      <c r="Q3115" s="167">
        <f>E3115-P3115</f>
        <v>86</v>
      </c>
      <c r="R3115" s="168">
        <f>Q3115/E3115</f>
        <v>1</v>
      </c>
      <c r="S3115" s="503"/>
    </row>
    <row r="3116" spans="1:19" ht="9.75" customHeight="1">
      <c r="A3116" s="503"/>
      <c r="B3116" s="503"/>
      <c r="C3116" s="1" t="s">
        <v>432</v>
      </c>
      <c r="D3116" s="108" t="s">
        <v>23</v>
      </c>
      <c r="E3116" s="108"/>
      <c r="F3116" s="91"/>
      <c r="G3116" s="91"/>
      <c r="H3116" s="91"/>
      <c r="I3116" s="91"/>
      <c r="J3116" s="91"/>
      <c r="K3116" s="91"/>
      <c r="L3116" s="91"/>
      <c r="M3116" s="91"/>
      <c r="N3116" s="91"/>
      <c r="O3116" s="108"/>
      <c r="P3116" s="91"/>
      <c r="Q3116" s="91"/>
      <c r="R3116" s="107"/>
      <c r="S3116" s="503"/>
    </row>
    <row r="3117" spans="1:19" ht="9.75" customHeight="1">
      <c r="A3117" s="503"/>
      <c r="B3117" s="503"/>
      <c r="C3117" s="13"/>
      <c r="D3117" s="108" t="s">
        <v>25</v>
      </c>
      <c r="E3117" s="136">
        <v>91</v>
      </c>
      <c r="F3117" s="11">
        <v>11</v>
      </c>
      <c r="G3117" s="11">
        <v>12</v>
      </c>
      <c r="H3117" s="11">
        <v>9</v>
      </c>
      <c r="I3117" s="11">
        <v>6</v>
      </c>
      <c r="J3117" s="11">
        <v>5</v>
      </c>
      <c r="K3117" s="11">
        <v>5</v>
      </c>
      <c r="L3117" s="11">
        <v>5</v>
      </c>
      <c r="M3117" s="11">
        <v>21</v>
      </c>
      <c r="N3117" s="11">
        <v>39</v>
      </c>
      <c r="O3117" s="136">
        <v>45</v>
      </c>
      <c r="P3117" s="11">
        <f>MIN(F3117:O3117)</f>
        <v>5</v>
      </c>
      <c r="Q3117" s="11">
        <f>E3117-P3117</f>
        <v>86</v>
      </c>
      <c r="R3117" s="122">
        <f>Q3117/E3117</f>
        <v>0.94505494505494503</v>
      </c>
      <c r="S3117" s="503"/>
    </row>
    <row r="3118" spans="1:19" ht="9.75" customHeight="1">
      <c r="A3118" s="503"/>
      <c r="B3118" s="503"/>
      <c r="C3118" s="13"/>
      <c r="D3118" s="108" t="s">
        <v>27</v>
      </c>
      <c r="E3118" s="108"/>
      <c r="F3118" s="91"/>
      <c r="G3118" s="91"/>
      <c r="H3118" s="91"/>
      <c r="I3118" s="91"/>
      <c r="J3118" s="91"/>
      <c r="K3118" s="91"/>
      <c r="L3118" s="91"/>
      <c r="M3118" s="91"/>
      <c r="N3118" s="91"/>
      <c r="O3118" s="108"/>
      <c r="P3118" s="91"/>
      <c r="Q3118" s="91"/>
      <c r="R3118" s="107"/>
      <c r="S3118" s="503"/>
    </row>
    <row r="3119" spans="1:19" ht="9.75" customHeight="1">
      <c r="A3119" s="503"/>
      <c r="B3119" s="503"/>
      <c r="C3119" s="13"/>
      <c r="D3119" s="108" t="s">
        <v>115</v>
      </c>
      <c r="E3119" s="108"/>
      <c r="F3119" s="91"/>
      <c r="G3119" s="91"/>
      <c r="H3119" s="91"/>
      <c r="I3119" s="91"/>
      <c r="J3119" s="91"/>
      <c r="K3119" s="91"/>
      <c r="L3119" s="91"/>
      <c r="M3119" s="91"/>
      <c r="N3119" s="91"/>
      <c r="O3119" s="108"/>
      <c r="P3119" s="91"/>
      <c r="Q3119" s="91"/>
      <c r="R3119" s="107"/>
      <c r="S3119" s="503"/>
    </row>
    <row r="3120" spans="1:19" ht="9.75" customHeight="1">
      <c r="A3120" s="503"/>
      <c r="B3120" s="503"/>
      <c r="C3120" s="1"/>
      <c r="D3120" s="108" t="s">
        <v>115</v>
      </c>
      <c r="E3120" s="108"/>
      <c r="F3120" s="91"/>
      <c r="G3120" s="91"/>
      <c r="H3120" s="91"/>
      <c r="I3120" s="91"/>
      <c r="J3120" s="91"/>
      <c r="K3120" s="91"/>
      <c r="L3120" s="91"/>
      <c r="M3120" s="91"/>
      <c r="N3120" s="91"/>
      <c r="O3120" s="108"/>
      <c r="P3120" s="91"/>
      <c r="Q3120" s="91"/>
      <c r="R3120" s="107"/>
      <c r="S3120" s="503"/>
    </row>
    <row r="3121" spans="1:19" ht="9.75" customHeight="1">
      <c r="A3121" s="503"/>
      <c r="B3121" s="503"/>
      <c r="C3121" s="1"/>
      <c r="D3121" s="108" t="s">
        <v>32</v>
      </c>
      <c r="E3121" s="108"/>
      <c r="F3121" s="91"/>
      <c r="G3121" s="91"/>
      <c r="H3121" s="91"/>
      <c r="I3121" s="91"/>
      <c r="J3121" s="91"/>
      <c r="K3121" s="91"/>
      <c r="L3121" s="91"/>
      <c r="M3121" s="91"/>
      <c r="N3121" s="91"/>
      <c r="O3121" s="108"/>
      <c r="P3121" s="91"/>
      <c r="Q3121" s="91"/>
      <c r="R3121" s="107"/>
      <c r="S3121" s="503"/>
    </row>
    <row r="3122" spans="1:19" ht="9.75" customHeight="1">
      <c r="A3122" s="503"/>
      <c r="B3122" s="503"/>
      <c r="C3122" s="1"/>
      <c r="D3122" s="108" t="s">
        <v>120</v>
      </c>
      <c r="E3122" s="108"/>
      <c r="F3122" s="91"/>
      <c r="G3122" s="91"/>
      <c r="H3122" s="91"/>
      <c r="I3122" s="91"/>
      <c r="J3122" s="91"/>
      <c r="K3122" s="91"/>
      <c r="L3122" s="91"/>
      <c r="M3122" s="91"/>
      <c r="N3122" s="91"/>
      <c r="O3122" s="108"/>
      <c r="P3122" s="91"/>
      <c r="Q3122" s="91"/>
      <c r="R3122" s="107"/>
      <c r="S3122" s="503"/>
    </row>
    <row r="3123" spans="1:19" ht="9.75" customHeight="1">
      <c r="A3123" s="503"/>
      <c r="B3123" s="503"/>
      <c r="C3123" s="1"/>
      <c r="D3123" s="108" t="s">
        <v>120</v>
      </c>
      <c r="E3123" s="108"/>
      <c r="F3123" s="91"/>
      <c r="G3123" s="91"/>
      <c r="H3123" s="91"/>
      <c r="I3123" s="91"/>
      <c r="J3123" s="91"/>
      <c r="K3123" s="91"/>
      <c r="L3123" s="91"/>
      <c r="M3123" s="91"/>
      <c r="N3123" s="91"/>
      <c r="O3123" s="108"/>
      <c r="P3123" s="91"/>
      <c r="Q3123" s="91"/>
      <c r="R3123" s="107"/>
      <c r="S3123" s="503"/>
    </row>
    <row r="3124" spans="1:19" ht="9.75" customHeight="1">
      <c r="A3124" s="503"/>
      <c r="B3124" s="503"/>
      <c r="C3124" s="1"/>
      <c r="D3124" s="108" t="s">
        <v>120</v>
      </c>
      <c r="E3124" s="108"/>
      <c r="F3124" s="91"/>
      <c r="G3124" s="91"/>
      <c r="H3124" s="91"/>
      <c r="I3124" s="91"/>
      <c r="J3124" s="91"/>
      <c r="K3124" s="91"/>
      <c r="L3124" s="91"/>
      <c r="M3124" s="91"/>
      <c r="N3124" s="91"/>
      <c r="O3124" s="108"/>
      <c r="P3124" s="91"/>
      <c r="Q3124" s="91"/>
      <c r="R3124" s="107"/>
      <c r="S3124" s="503"/>
    </row>
    <row r="3125" spans="1:19" ht="9.75" customHeight="1">
      <c r="A3125" s="503"/>
      <c r="B3125" s="503"/>
      <c r="C3125" s="1"/>
      <c r="D3125" s="108" t="s">
        <v>120</v>
      </c>
      <c r="E3125" s="108"/>
      <c r="F3125" s="91"/>
      <c r="G3125" s="91"/>
      <c r="H3125" s="91"/>
      <c r="I3125" s="91"/>
      <c r="J3125" s="91"/>
      <c r="K3125" s="91"/>
      <c r="L3125" s="91"/>
      <c r="M3125" s="91"/>
      <c r="N3125" s="91"/>
      <c r="O3125" s="108"/>
      <c r="P3125" s="91"/>
      <c r="Q3125" s="91"/>
      <c r="R3125" s="107"/>
      <c r="S3125" s="503"/>
    </row>
    <row r="3126" spans="1:19" ht="9.75" customHeight="1">
      <c r="A3126" s="503"/>
      <c r="B3126" s="503"/>
      <c r="C3126" s="1"/>
      <c r="D3126" s="108" t="s">
        <v>120</v>
      </c>
      <c r="E3126" s="108"/>
      <c r="F3126" s="91"/>
      <c r="G3126" s="91"/>
      <c r="H3126" s="91"/>
      <c r="I3126" s="91"/>
      <c r="J3126" s="91"/>
      <c r="K3126" s="91"/>
      <c r="L3126" s="91"/>
      <c r="M3126" s="91"/>
      <c r="N3126" s="91"/>
      <c r="O3126" s="108"/>
      <c r="P3126" s="91"/>
      <c r="Q3126" s="91"/>
      <c r="R3126" s="107"/>
      <c r="S3126" s="503"/>
    </row>
    <row r="3127" spans="1:19" ht="9.75" customHeight="1">
      <c r="A3127" s="503"/>
      <c r="B3127" s="503"/>
      <c r="C3127" s="1"/>
      <c r="D3127" s="108" t="s">
        <v>120</v>
      </c>
      <c r="E3127" s="108"/>
      <c r="F3127" s="91"/>
      <c r="G3127" s="91"/>
      <c r="H3127" s="91"/>
      <c r="I3127" s="91"/>
      <c r="J3127" s="91"/>
      <c r="K3127" s="91"/>
      <c r="L3127" s="91"/>
      <c r="M3127" s="91"/>
      <c r="N3127" s="91"/>
      <c r="O3127" s="108"/>
      <c r="P3127" s="91"/>
      <c r="Q3127" s="91"/>
      <c r="R3127" s="107"/>
      <c r="S3127" s="503"/>
    </row>
    <row r="3128" spans="1:19" ht="9.75" customHeight="1">
      <c r="A3128" s="503"/>
      <c r="B3128" s="503"/>
      <c r="C3128" s="1"/>
      <c r="D3128" s="108" t="s">
        <v>34</v>
      </c>
      <c r="E3128" s="108"/>
      <c r="F3128" s="91"/>
      <c r="G3128" s="91"/>
      <c r="H3128" s="91"/>
      <c r="I3128" s="91"/>
      <c r="J3128" s="91"/>
      <c r="K3128" s="91"/>
      <c r="L3128" s="91"/>
      <c r="M3128" s="91"/>
      <c r="N3128" s="91"/>
      <c r="O3128" s="108"/>
      <c r="P3128" s="91"/>
      <c r="Q3128" s="91"/>
      <c r="R3128" s="107"/>
      <c r="S3128" s="503"/>
    </row>
    <row r="3129" spans="1:19" ht="9.75" customHeight="1">
      <c r="A3129" s="503"/>
      <c r="B3129" s="503"/>
      <c r="C3129" s="1"/>
      <c r="D3129" s="108" t="s">
        <v>35</v>
      </c>
      <c r="E3129" s="108"/>
      <c r="F3129" s="91"/>
      <c r="G3129" s="91"/>
      <c r="H3129" s="91"/>
      <c r="I3129" s="91"/>
      <c r="J3129" s="91"/>
      <c r="K3129" s="91"/>
      <c r="L3129" s="91"/>
      <c r="M3129" s="91"/>
      <c r="N3129" s="91"/>
      <c r="O3129" s="108"/>
      <c r="P3129" s="91"/>
      <c r="Q3129" s="91"/>
      <c r="R3129" s="107"/>
      <c r="S3129" s="503"/>
    </row>
    <row r="3130" spans="1:19" ht="9.75" customHeight="1">
      <c r="A3130" s="503"/>
      <c r="B3130" s="503"/>
      <c r="C3130" s="1"/>
      <c r="D3130" s="108" t="s">
        <v>36</v>
      </c>
      <c r="E3130" s="108"/>
      <c r="F3130" s="91"/>
      <c r="G3130" s="91"/>
      <c r="H3130" s="91"/>
      <c r="I3130" s="91"/>
      <c r="J3130" s="91"/>
      <c r="K3130" s="91"/>
      <c r="L3130" s="91"/>
      <c r="M3130" s="91"/>
      <c r="N3130" s="91"/>
      <c r="O3130" s="108"/>
      <c r="P3130" s="91"/>
      <c r="Q3130" s="91"/>
      <c r="R3130" s="107"/>
      <c r="S3130" s="503"/>
    </row>
    <row r="3131" spans="1:19" ht="9.75" customHeight="1">
      <c r="A3131" s="503"/>
      <c r="B3131" s="503"/>
      <c r="C3131" s="1"/>
      <c r="D3131" s="113" t="s">
        <v>37</v>
      </c>
      <c r="E3131" s="113"/>
      <c r="F3131" s="112"/>
      <c r="G3131" s="112"/>
      <c r="H3131" s="112"/>
      <c r="I3131" s="112"/>
      <c r="J3131" s="112"/>
      <c r="K3131" s="112"/>
      <c r="L3131" s="112"/>
      <c r="M3131" s="112"/>
      <c r="N3131" s="112"/>
      <c r="O3131" s="113"/>
      <c r="P3131" s="112"/>
      <c r="Q3131" s="112"/>
      <c r="R3131" s="165"/>
      <c r="S3131" s="503"/>
    </row>
    <row r="3132" spans="1:19" ht="9.75" customHeight="1">
      <c r="A3132" s="503"/>
      <c r="B3132" s="503" t="s">
        <v>127</v>
      </c>
      <c r="C3132" s="25"/>
      <c r="D3132" s="5" t="s">
        <v>38</v>
      </c>
      <c r="E3132" s="166">
        <f t="shared" ref="E3132:O3132" si="581">SUM(E3116:E3131)</f>
        <v>91</v>
      </c>
      <c r="F3132" s="167">
        <f t="shared" si="581"/>
        <v>11</v>
      </c>
      <c r="G3132" s="167">
        <f t="shared" si="581"/>
        <v>12</v>
      </c>
      <c r="H3132" s="167">
        <f t="shared" si="581"/>
        <v>9</v>
      </c>
      <c r="I3132" s="167">
        <f t="shared" si="581"/>
        <v>6</v>
      </c>
      <c r="J3132" s="167">
        <f t="shared" si="581"/>
        <v>5</v>
      </c>
      <c r="K3132" s="167">
        <f t="shared" si="581"/>
        <v>5</v>
      </c>
      <c r="L3132" s="167">
        <f t="shared" si="581"/>
        <v>5</v>
      </c>
      <c r="M3132" s="167">
        <f t="shared" si="581"/>
        <v>21</v>
      </c>
      <c r="N3132" s="167">
        <f t="shared" si="581"/>
        <v>39</v>
      </c>
      <c r="O3132" s="166">
        <f t="shared" si="581"/>
        <v>45</v>
      </c>
      <c r="P3132" s="167">
        <f>MIN(F3132:O3132)</f>
        <v>5</v>
      </c>
      <c r="Q3132" s="167">
        <f>E3132-P3132</f>
        <v>86</v>
      </c>
      <c r="R3132" s="168">
        <f>Q3132/E3132</f>
        <v>0.94505494505494503</v>
      </c>
      <c r="S3132" s="503"/>
    </row>
    <row r="3133" spans="1:19" ht="9.75" customHeight="1">
      <c r="A3133" s="503"/>
      <c r="B3133" s="503"/>
      <c r="C3133" s="1" t="s">
        <v>433</v>
      </c>
      <c r="D3133" s="108" t="s">
        <v>23</v>
      </c>
      <c r="E3133" s="108"/>
      <c r="F3133" s="91"/>
      <c r="G3133" s="91"/>
      <c r="H3133" s="91"/>
      <c r="I3133" s="91"/>
      <c r="J3133" s="91"/>
      <c r="K3133" s="91"/>
      <c r="L3133" s="91"/>
      <c r="M3133" s="91"/>
      <c r="N3133" s="91"/>
      <c r="O3133" s="108"/>
      <c r="P3133" s="91"/>
      <c r="Q3133" s="91"/>
      <c r="R3133" s="107"/>
      <c r="S3133" s="503"/>
    </row>
    <row r="3134" spans="1:19" ht="9.75" customHeight="1">
      <c r="A3134" s="503"/>
      <c r="B3134" s="503"/>
      <c r="C3134" s="13"/>
      <c r="D3134" s="108" t="s">
        <v>25</v>
      </c>
      <c r="E3134" s="136">
        <v>85</v>
      </c>
      <c r="F3134" s="11">
        <v>17</v>
      </c>
      <c r="G3134" s="11">
        <v>2</v>
      </c>
      <c r="H3134" s="11">
        <v>0</v>
      </c>
      <c r="I3134" s="11">
        <v>0</v>
      </c>
      <c r="J3134" s="11">
        <v>0</v>
      </c>
      <c r="K3134" s="11">
        <v>0</v>
      </c>
      <c r="L3134" s="11">
        <v>11</v>
      </c>
      <c r="M3134" s="11">
        <v>17</v>
      </c>
      <c r="N3134" s="11">
        <v>29</v>
      </c>
      <c r="O3134" s="136">
        <v>30</v>
      </c>
      <c r="P3134" s="11">
        <f>MIN(F3134:O3134)</f>
        <v>0</v>
      </c>
      <c r="Q3134" s="11">
        <f>E3134-P3134</f>
        <v>85</v>
      </c>
      <c r="R3134" s="122">
        <f>Q3134/E3134</f>
        <v>1</v>
      </c>
      <c r="S3134" s="503"/>
    </row>
    <row r="3135" spans="1:19" ht="9.75" customHeight="1">
      <c r="A3135" s="503"/>
      <c r="B3135" s="503"/>
      <c r="C3135" s="13"/>
      <c r="D3135" s="108" t="s">
        <v>27</v>
      </c>
      <c r="E3135" s="108"/>
      <c r="F3135" s="91"/>
      <c r="G3135" s="91"/>
      <c r="H3135" s="91"/>
      <c r="I3135" s="91"/>
      <c r="J3135" s="91"/>
      <c r="K3135" s="91"/>
      <c r="L3135" s="91"/>
      <c r="M3135" s="91"/>
      <c r="N3135" s="91"/>
      <c r="O3135" s="108"/>
      <c r="P3135" s="91"/>
      <c r="Q3135" s="91"/>
      <c r="R3135" s="107"/>
      <c r="S3135" s="503"/>
    </row>
    <row r="3136" spans="1:19" ht="9.75" customHeight="1">
      <c r="A3136" s="503"/>
      <c r="B3136" s="503"/>
      <c r="C3136" s="13"/>
      <c r="D3136" s="108" t="s">
        <v>115</v>
      </c>
      <c r="E3136" s="108"/>
      <c r="F3136" s="91"/>
      <c r="G3136" s="91"/>
      <c r="H3136" s="91"/>
      <c r="I3136" s="91"/>
      <c r="J3136" s="91"/>
      <c r="K3136" s="91"/>
      <c r="L3136" s="91"/>
      <c r="M3136" s="91"/>
      <c r="N3136" s="91"/>
      <c r="O3136" s="108"/>
      <c r="P3136" s="91"/>
      <c r="Q3136" s="91"/>
      <c r="R3136" s="107"/>
      <c r="S3136" s="503"/>
    </row>
    <row r="3137" spans="1:19" ht="9.75" customHeight="1">
      <c r="A3137" s="503"/>
      <c r="B3137" s="503"/>
      <c r="C3137" s="1"/>
      <c r="D3137" s="108" t="s">
        <v>115</v>
      </c>
      <c r="E3137" s="108"/>
      <c r="F3137" s="91"/>
      <c r="G3137" s="91"/>
      <c r="H3137" s="91"/>
      <c r="I3137" s="91"/>
      <c r="J3137" s="91"/>
      <c r="K3137" s="91"/>
      <c r="L3137" s="91"/>
      <c r="M3137" s="91"/>
      <c r="N3137" s="91"/>
      <c r="O3137" s="108"/>
      <c r="P3137" s="91"/>
      <c r="Q3137" s="91"/>
      <c r="R3137" s="107"/>
      <c r="S3137" s="503"/>
    </row>
    <row r="3138" spans="1:19" ht="9.75" customHeight="1">
      <c r="A3138" s="503"/>
      <c r="B3138" s="503"/>
      <c r="C3138" s="1"/>
      <c r="D3138" s="108" t="s">
        <v>32</v>
      </c>
      <c r="E3138" s="108"/>
      <c r="F3138" s="91"/>
      <c r="G3138" s="91"/>
      <c r="H3138" s="91"/>
      <c r="I3138" s="91"/>
      <c r="J3138" s="91"/>
      <c r="K3138" s="91"/>
      <c r="L3138" s="91"/>
      <c r="M3138" s="91"/>
      <c r="N3138" s="91"/>
      <c r="O3138" s="108"/>
      <c r="P3138" s="91"/>
      <c r="Q3138" s="91"/>
      <c r="R3138" s="107"/>
      <c r="S3138" s="503"/>
    </row>
    <row r="3139" spans="1:19" ht="9.75" customHeight="1">
      <c r="A3139" s="503"/>
      <c r="B3139" s="503"/>
      <c r="C3139" s="1"/>
      <c r="D3139" s="108" t="s">
        <v>120</v>
      </c>
      <c r="E3139" s="108"/>
      <c r="F3139" s="91"/>
      <c r="G3139" s="91"/>
      <c r="H3139" s="91"/>
      <c r="I3139" s="91"/>
      <c r="J3139" s="91"/>
      <c r="K3139" s="91"/>
      <c r="L3139" s="91"/>
      <c r="M3139" s="91"/>
      <c r="N3139" s="91"/>
      <c r="O3139" s="108"/>
      <c r="P3139" s="91"/>
      <c r="Q3139" s="91"/>
      <c r="R3139" s="107"/>
      <c r="S3139" s="503"/>
    </row>
    <row r="3140" spans="1:19" ht="9.75" customHeight="1">
      <c r="A3140" s="503"/>
      <c r="B3140" s="503"/>
      <c r="C3140" s="1"/>
      <c r="D3140" s="108" t="s">
        <v>120</v>
      </c>
      <c r="E3140" s="108"/>
      <c r="F3140" s="91"/>
      <c r="G3140" s="91"/>
      <c r="H3140" s="91"/>
      <c r="I3140" s="91"/>
      <c r="J3140" s="91"/>
      <c r="K3140" s="91"/>
      <c r="L3140" s="91"/>
      <c r="M3140" s="91"/>
      <c r="N3140" s="91"/>
      <c r="O3140" s="108"/>
      <c r="P3140" s="91"/>
      <c r="Q3140" s="91"/>
      <c r="R3140" s="107"/>
      <c r="S3140" s="503"/>
    </row>
    <row r="3141" spans="1:19" ht="9.75" customHeight="1">
      <c r="A3141" s="503"/>
      <c r="B3141" s="503"/>
      <c r="C3141" s="1"/>
      <c r="D3141" s="108" t="s">
        <v>120</v>
      </c>
      <c r="E3141" s="108"/>
      <c r="F3141" s="91"/>
      <c r="G3141" s="91"/>
      <c r="H3141" s="91"/>
      <c r="I3141" s="91"/>
      <c r="J3141" s="91"/>
      <c r="K3141" s="91"/>
      <c r="L3141" s="91"/>
      <c r="M3141" s="91"/>
      <c r="N3141" s="91"/>
      <c r="O3141" s="108"/>
      <c r="P3141" s="91"/>
      <c r="Q3141" s="91"/>
      <c r="R3141" s="107"/>
      <c r="S3141" s="503"/>
    </row>
    <row r="3142" spans="1:19" ht="9.75" customHeight="1">
      <c r="A3142" s="503"/>
      <c r="B3142" s="503"/>
      <c r="C3142" s="1"/>
      <c r="D3142" s="108" t="s">
        <v>120</v>
      </c>
      <c r="E3142" s="108"/>
      <c r="F3142" s="91"/>
      <c r="G3142" s="91"/>
      <c r="H3142" s="91"/>
      <c r="I3142" s="91"/>
      <c r="J3142" s="91"/>
      <c r="K3142" s="91"/>
      <c r="L3142" s="91"/>
      <c r="M3142" s="91"/>
      <c r="N3142" s="91"/>
      <c r="O3142" s="108"/>
      <c r="P3142" s="91"/>
      <c r="Q3142" s="91"/>
      <c r="R3142" s="107"/>
      <c r="S3142" s="503"/>
    </row>
    <row r="3143" spans="1:19" ht="9.75" customHeight="1">
      <c r="A3143" s="503"/>
      <c r="B3143" s="503"/>
      <c r="C3143" s="1"/>
      <c r="D3143" s="108" t="s">
        <v>120</v>
      </c>
      <c r="E3143" s="108"/>
      <c r="F3143" s="91"/>
      <c r="G3143" s="91"/>
      <c r="H3143" s="91"/>
      <c r="I3143" s="91"/>
      <c r="J3143" s="91"/>
      <c r="K3143" s="91"/>
      <c r="L3143" s="91"/>
      <c r="M3143" s="91"/>
      <c r="N3143" s="91"/>
      <c r="O3143" s="108"/>
      <c r="P3143" s="91"/>
      <c r="Q3143" s="91"/>
      <c r="R3143" s="107"/>
      <c r="S3143" s="503"/>
    </row>
    <row r="3144" spans="1:19" ht="9.75" customHeight="1">
      <c r="A3144" s="503"/>
      <c r="B3144" s="503"/>
      <c r="C3144" s="1"/>
      <c r="D3144" s="108" t="s">
        <v>120</v>
      </c>
      <c r="E3144" s="108"/>
      <c r="F3144" s="91"/>
      <c r="G3144" s="91"/>
      <c r="H3144" s="91"/>
      <c r="I3144" s="91"/>
      <c r="J3144" s="91"/>
      <c r="K3144" s="91"/>
      <c r="L3144" s="91"/>
      <c r="M3144" s="91"/>
      <c r="N3144" s="91"/>
      <c r="O3144" s="108"/>
      <c r="P3144" s="91"/>
      <c r="Q3144" s="91"/>
      <c r="R3144" s="107"/>
      <c r="S3144" s="503"/>
    </row>
    <row r="3145" spans="1:19" ht="9.75" customHeight="1">
      <c r="A3145" s="503"/>
      <c r="B3145" s="503"/>
      <c r="C3145" s="1"/>
      <c r="D3145" s="108" t="s">
        <v>34</v>
      </c>
      <c r="E3145" s="108"/>
      <c r="F3145" s="91"/>
      <c r="G3145" s="91"/>
      <c r="H3145" s="91"/>
      <c r="I3145" s="91"/>
      <c r="J3145" s="91"/>
      <c r="K3145" s="91"/>
      <c r="L3145" s="91"/>
      <c r="M3145" s="91"/>
      <c r="N3145" s="91"/>
      <c r="O3145" s="108"/>
      <c r="P3145" s="91"/>
      <c r="Q3145" s="91"/>
      <c r="R3145" s="107"/>
      <c r="S3145" s="503"/>
    </row>
    <row r="3146" spans="1:19" ht="9.75" customHeight="1">
      <c r="A3146" s="503"/>
      <c r="B3146" s="503"/>
      <c r="C3146" s="1"/>
      <c r="D3146" s="108" t="s">
        <v>35</v>
      </c>
      <c r="E3146" s="108"/>
      <c r="F3146" s="91"/>
      <c r="G3146" s="91"/>
      <c r="H3146" s="91"/>
      <c r="I3146" s="91"/>
      <c r="J3146" s="91"/>
      <c r="K3146" s="91"/>
      <c r="L3146" s="91"/>
      <c r="M3146" s="91"/>
      <c r="N3146" s="91"/>
      <c r="O3146" s="108"/>
      <c r="P3146" s="91"/>
      <c r="Q3146" s="91"/>
      <c r="R3146" s="107"/>
      <c r="S3146" s="503"/>
    </row>
    <row r="3147" spans="1:19" ht="9.75" customHeight="1">
      <c r="A3147" s="503"/>
      <c r="B3147" s="503"/>
      <c r="C3147" s="1"/>
      <c r="D3147" s="108" t="s">
        <v>36</v>
      </c>
      <c r="E3147" s="108"/>
      <c r="F3147" s="91"/>
      <c r="G3147" s="91"/>
      <c r="H3147" s="91"/>
      <c r="I3147" s="91"/>
      <c r="J3147" s="91"/>
      <c r="K3147" s="91"/>
      <c r="L3147" s="91"/>
      <c r="M3147" s="91"/>
      <c r="N3147" s="91"/>
      <c r="O3147" s="108"/>
      <c r="P3147" s="91"/>
      <c r="Q3147" s="91"/>
      <c r="R3147" s="107"/>
      <c r="S3147" s="503"/>
    </row>
    <row r="3148" spans="1:19" ht="9.75" customHeight="1">
      <c r="A3148" s="503"/>
      <c r="B3148" s="503"/>
      <c r="C3148" s="1"/>
      <c r="D3148" s="113" t="s">
        <v>37</v>
      </c>
      <c r="E3148" s="113"/>
      <c r="F3148" s="112"/>
      <c r="G3148" s="112"/>
      <c r="H3148" s="112"/>
      <c r="I3148" s="112"/>
      <c r="J3148" s="112"/>
      <c r="K3148" s="112"/>
      <c r="L3148" s="112"/>
      <c r="M3148" s="112"/>
      <c r="N3148" s="112"/>
      <c r="O3148" s="113"/>
      <c r="P3148" s="112"/>
      <c r="Q3148" s="112"/>
      <c r="R3148" s="165"/>
      <c r="S3148" s="503"/>
    </row>
    <row r="3149" spans="1:19" ht="9.75" customHeight="1">
      <c r="A3149" s="503"/>
      <c r="B3149" s="503" t="s">
        <v>127</v>
      </c>
      <c r="C3149" s="25"/>
      <c r="D3149" s="5" t="s">
        <v>38</v>
      </c>
      <c r="E3149" s="166">
        <f t="shared" ref="E3149:O3149" si="582">SUM(E3133:E3148)</f>
        <v>85</v>
      </c>
      <c r="F3149" s="167">
        <f t="shared" si="582"/>
        <v>17</v>
      </c>
      <c r="G3149" s="167">
        <f t="shared" si="582"/>
        <v>2</v>
      </c>
      <c r="H3149" s="167">
        <f t="shared" si="582"/>
        <v>0</v>
      </c>
      <c r="I3149" s="167">
        <f t="shared" si="582"/>
        <v>0</v>
      </c>
      <c r="J3149" s="167">
        <f t="shared" si="582"/>
        <v>0</v>
      </c>
      <c r="K3149" s="167">
        <f t="shared" si="582"/>
        <v>0</v>
      </c>
      <c r="L3149" s="167">
        <f t="shared" si="582"/>
        <v>11</v>
      </c>
      <c r="M3149" s="167">
        <f t="shared" si="582"/>
        <v>17</v>
      </c>
      <c r="N3149" s="167">
        <f t="shared" si="582"/>
        <v>29</v>
      </c>
      <c r="O3149" s="166">
        <f t="shared" si="582"/>
        <v>30</v>
      </c>
      <c r="P3149" s="167">
        <f>MIN(F3149:O3149)</f>
        <v>0</v>
      </c>
      <c r="Q3149" s="167">
        <f>E3149-P3149</f>
        <v>85</v>
      </c>
      <c r="R3149" s="168">
        <f>Q3149/E3149</f>
        <v>1</v>
      </c>
      <c r="S3149" s="503"/>
    </row>
    <row r="3150" spans="1:19" ht="9.75" customHeight="1">
      <c r="A3150" s="503"/>
      <c r="B3150" s="503"/>
      <c r="C3150" s="1" t="s">
        <v>434</v>
      </c>
      <c r="D3150" s="108" t="s">
        <v>23</v>
      </c>
      <c r="E3150" s="108"/>
      <c r="F3150" s="91"/>
      <c r="G3150" s="91"/>
      <c r="H3150" s="91"/>
      <c r="I3150" s="91"/>
      <c r="J3150" s="91"/>
      <c r="K3150" s="91"/>
      <c r="L3150" s="91"/>
      <c r="M3150" s="91"/>
      <c r="N3150" s="91"/>
      <c r="O3150" s="108"/>
      <c r="P3150" s="91"/>
      <c r="Q3150" s="91"/>
      <c r="R3150" s="107"/>
      <c r="S3150" s="503"/>
    </row>
    <row r="3151" spans="1:19" ht="9.75" customHeight="1">
      <c r="A3151" s="503"/>
      <c r="B3151" s="503"/>
      <c r="C3151" s="13"/>
      <c r="D3151" s="108" t="s">
        <v>25</v>
      </c>
      <c r="E3151" s="136">
        <v>91</v>
      </c>
      <c r="F3151" s="11">
        <v>20</v>
      </c>
      <c r="G3151" s="11">
        <v>21</v>
      </c>
      <c r="H3151" s="11">
        <v>15</v>
      </c>
      <c r="I3151" s="11">
        <v>16</v>
      </c>
      <c r="J3151" s="11">
        <v>5</v>
      </c>
      <c r="K3151" s="11">
        <v>10</v>
      </c>
      <c r="L3151" s="11">
        <v>12</v>
      </c>
      <c r="M3151" s="11">
        <v>17</v>
      </c>
      <c r="N3151" s="11">
        <v>29</v>
      </c>
      <c r="O3151" s="136">
        <v>57</v>
      </c>
      <c r="P3151" s="11">
        <f>MIN(F3151:O3151)</f>
        <v>5</v>
      </c>
      <c r="Q3151" s="11">
        <f>E3151-P3151</f>
        <v>86</v>
      </c>
      <c r="R3151" s="122">
        <f>Q3151/E3151</f>
        <v>0.94505494505494503</v>
      </c>
      <c r="S3151" s="503"/>
    </row>
    <row r="3152" spans="1:19" ht="9.75" customHeight="1">
      <c r="A3152" s="503"/>
      <c r="B3152" s="503"/>
      <c r="C3152" s="13"/>
      <c r="D3152" s="108" t="s">
        <v>27</v>
      </c>
      <c r="E3152" s="108"/>
      <c r="F3152" s="91"/>
      <c r="G3152" s="91"/>
      <c r="H3152" s="91"/>
      <c r="I3152" s="91"/>
      <c r="J3152" s="91"/>
      <c r="K3152" s="91"/>
      <c r="L3152" s="91"/>
      <c r="M3152" s="91"/>
      <c r="N3152" s="91"/>
      <c r="O3152" s="108"/>
      <c r="P3152" s="91"/>
      <c r="Q3152" s="91"/>
      <c r="R3152" s="107"/>
      <c r="S3152" s="503"/>
    </row>
    <row r="3153" spans="1:19" ht="9.75" customHeight="1">
      <c r="A3153" s="503"/>
      <c r="B3153" s="503"/>
      <c r="C3153" s="13"/>
      <c r="D3153" s="108" t="s">
        <v>115</v>
      </c>
      <c r="E3153" s="108"/>
      <c r="F3153" s="91"/>
      <c r="G3153" s="91"/>
      <c r="H3153" s="91"/>
      <c r="I3153" s="91"/>
      <c r="J3153" s="91"/>
      <c r="K3153" s="91"/>
      <c r="L3153" s="91"/>
      <c r="M3153" s="91"/>
      <c r="N3153" s="91"/>
      <c r="O3153" s="108"/>
      <c r="P3153" s="91"/>
      <c r="Q3153" s="91"/>
      <c r="R3153" s="107"/>
      <c r="S3153" s="503"/>
    </row>
    <row r="3154" spans="1:19" ht="9.75" customHeight="1">
      <c r="A3154" s="503"/>
      <c r="B3154" s="503"/>
      <c r="C3154" s="1"/>
      <c r="D3154" s="108" t="s">
        <v>115</v>
      </c>
      <c r="E3154" s="108"/>
      <c r="F3154" s="91"/>
      <c r="G3154" s="91"/>
      <c r="H3154" s="91"/>
      <c r="I3154" s="91"/>
      <c r="J3154" s="91"/>
      <c r="K3154" s="91"/>
      <c r="L3154" s="91"/>
      <c r="M3154" s="91"/>
      <c r="N3154" s="91"/>
      <c r="O3154" s="108"/>
      <c r="P3154" s="91"/>
      <c r="Q3154" s="91"/>
      <c r="R3154" s="107"/>
      <c r="S3154" s="503"/>
    </row>
    <row r="3155" spans="1:19" ht="9.75" customHeight="1">
      <c r="A3155" s="503"/>
      <c r="B3155" s="503"/>
      <c r="C3155" s="1"/>
      <c r="D3155" s="108" t="s">
        <v>32</v>
      </c>
      <c r="E3155" s="108"/>
      <c r="F3155" s="91"/>
      <c r="G3155" s="91"/>
      <c r="H3155" s="91"/>
      <c r="I3155" s="91"/>
      <c r="J3155" s="91"/>
      <c r="K3155" s="91"/>
      <c r="L3155" s="91"/>
      <c r="M3155" s="91"/>
      <c r="N3155" s="91"/>
      <c r="O3155" s="108"/>
      <c r="P3155" s="91"/>
      <c r="Q3155" s="91"/>
      <c r="R3155" s="107"/>
      <c r="S3155" s="503"/>
    </row>
    <row r="3156" spans="1:19" ht="9.75" customHeight="1">
      <c r="A3156" s="503"/>
      <c r="B3156" s="503"/>
      <c r="C3156" s="1"/>
      <c r="D3156" s="108" t="s">
        <v>120</v>
      </c>
      <c r="E3156" s="108"/>
      <c r="F3156" s="91"/>
      <c r="G3156" s="91"/>
      <c r="H3156" s="91"/>
      <c r="I3156" s="91"/>
      <c r="J3156" s="91"/>
      <c r="K3156" s="91"/>
      <c r="L3156" s="91"/>
      <c r="M3156" s="91"/>
      <c r="N3156" s="91"/>
      <c r="O3156" s="108"/>
      <c r="P3156" s="91"/>
      <c r="Q3156" s="91"/>
      <c r="R3156" s="107"/>
      <c r="S3156" s="503"/>
    </row>
    <row r="3157" spans="1:19" ht="9.75" customHeight="1">
      <c r="A3157" s="503"/>
      <c r="B3157" s="503"/>
      <c r="C3157" s="1"/>
      <c r="D3157" s="108" t="s">
        <v>120</v>
      </c>
      <c r="E3157" s="108"/>
      <c r="F3157" s="91"/>
      <c r="G3157" s="91"/>
      <c r="H3157" s="91"/>
      <c r="I3157" s="91"/>
      <c r="J3157" s="91"/>
      <c r="K3157" s="91"/>
      <c r="L3157" s="91"/>
      <c r="M3157" s="91"/>
      <c r="N3157" s="91"/>
      <c r="O3157" s="108"/>
      <c r="P3157" s="91"/>
      <c r="Q3157" s="91"/>
      <c r="R3157" s="107"/>
      <c r="S3157" s="503"/>
    </row>
    <row r="3158" spans="1:19" ht="9.75" customHeight="1">
      <c r="A3158" s="503"/>
      <c r="B3158" s="503"/>
      <c r="C3158" s="1"/>
      <c r="D3158" s="108" t="s">
        <v>120</v>
      </c>
      <c r="E3158" s="108"/>
      <c r="F3158" s="91"/>
      <c r="G3158" s="91"/>
      <c r="H3158" s="91"/>
      <c r="I3158" s="91"/>
      <c r="J3158" s="91"/>
      <c r="K3158" s="91"/>
      <c r="L3158" s="91"/>
      <c r="M3158" s="91"/>
      <c r="N3158" s="91"/>
      <c r="O3158" s="108"/>
      <c r="P3158" s="91"/>
      <c r="Q3158" s="91"/>
      <c r="R3158" s="107"/>
      <c r="S3158" s="503"/>
    </row>
    <row r="3159" spans="1:19" ht="9.75" customHeight="1">
      <c r="A3159" s="503"/>
      <c r="B3159" s="503"/>
      <c r="C3159" s="1"/>
      <c r="D3159" s="108" t="s">
        <v>120</v>
      </c>
      <c r="E3159" s="108"/>
      <c r="F3159" s="91"/>
      <c r="G3159" s="91"/>
      <c r="H3159" s="91"/>
      <c r="I3159" s="91"/>
      <c r="J3159" s="91"/>
      <c r="K3159" s="91"/>
      <c r="L3159" s="91"/>
      <c r="M3159" s="91"/>
      <c r="N3159" s="91"/>
      <c r="O3159" s="108"/>
      <c r="P3159" s="91"/>
      <c r="Q3159" s="91"/>
      <c r="R3159" s="107"/>
      <c r="S3159" s="503"/>
    </row>
    <row r="3160" spans="1:19" ht="9.75" customHeight="1">
      <c r="A3160" s="503"/>
      <c r="B3160" s="503"/>
      <c r="C3160" s="1"/>
      <c r="D3160" s="108" t="s">
        <v>120</v>
      </c>
      <c r="E3160" s="108"/>
      <c r="F3160" s="91"/>
      <c r="G3160" s="91"/>
      <c r="H3160" s="91"/>
      <c r="I3160" s="91"/>
      <c r="J3160" s="91"/>
      <c r="K3160" s="91"/>
      <c r="L3160" s="91"/>
      <c r="M3160" s="91"/>
      <c r="N3160" s="91"/>
      <c r="O3160" s="108"/>
      <c r="P3160" s="91"/>
      <c r="Q3160" s="91"/>
      <c r="R3160" s="107"/>
      <c r="S3160" s="503"/>
    </row>
    <row r="3161" spans="1:19" ht="9.75" customHeight="1">
      <c r="A3161" s="503"/>
      <c r="B3161" s="503"/>
      <c r="C3161" s="1"/>
      <c r="D3161" s="108" t="s">
        <v>120</v>
      </c>
      <c r="E3161" s="108"/>
      <c r="F3161" s="91"/>
      <c r="G3161" s="91"/>
      <c r="H3161" s="91"/>
      <c r="I3161" s="91"/>
      <c r="J3161" s="91"/>
      <c r="K3161" s="91"/>
      <c r="L3161" s="91"/>
      <c r="M3161" s="91"/>
      <c r="N3161" s="91"/>
      <c r="O3161" s="108"/>
      <c r="P3161" s="91"/>
      <c r="Q3161" s="91"/>
      <c r="R3161" s="107"/>
      <c r="S3161" s="503"/>
    </row>
    <row r="3162" spans="1:19" ht="9.75" customHeight="1">
      <c r="A3162" s="503"/>
      <c r="B3162" s="503"/>
      <c r="C3162" s="1"/>
      <c r="D3162" s="108" t="s">
        <v>34</v>
      </c>
      <c r="E3162" s="108"/>
      <c r="F3162" s="91"/>
      <c r="G3162" s="91"/>
      <c r="H3162" s="91"/>
      <c r="I3162" s="91"/>
      <c r="J3162" s="91"/>
      <c r="K3162" s="91"/>
      <c r="L3162" s="91"/>
      <c r="M3162" s="91"/>
      <c r="N3162" s="91"/>
      <c r="O3162" s="108"/>
      <c r="P3162" s="91"/>
      <c r="Q3162" s="91"/>
      <c r="R3162" s="107"/>
      <c r="S3162" s="503"/>
    </row>
    <row r="3163" spans="1:19" ht="9.75" customHeight="1">
      <c r="A3163" s="503"/>
      <c r="B3163" s="503"/>
      <c r="C3163" s="1"/>
      <c r="D3163" s="108" t="s">
        <v>35</v>
      </c>
      <c r="E3163" s="108"/>
      <c r="F3163" s="91"/>
      <c r="G3163" s="91"/>
      <c r="H3163" s="91"/>
      <c r="I3163" s="91"/>
      <c r="J3163" s="91"/>
      <c r="K3163" s="91"/>
      <c r="L3163" s="91"/>
      <c r="M3163" s="91"/>
      <c r="N3163" s="91"/>
      <c r="O3163" s="108"/>
      <c r="P3163" s="91"/>
      <c r="Q3163" s="91"/>
      <c r="R3163" s="107"/>
      <c r="S3163" s="503"/>
    </row>
    <row r="3164" spans="1:19" ht="9.75" customHeight="1">
      <c r="A3164" s="503"/>
      <c r="B3164" s="503"/>
      <c r="C3164" s="1"/>
      <c r="D3164" s="108" t="s">
        <v>36</v>
      </c>
      <c r="E3164" s="108"/>
      <c r="F3164" s="91"/>
      <c r="G3164" s="91"/>
      <c r="H3164" s="91"/>
      <c r="I3164" s="91"/>
      <c r="J3164" s="91"/>
      <c r="K3164" s="91"/>
      <c r="L3164" s="91"/>
      <c r="M3164" s="91"/>
      <c r="N3164" s="91"/>
      <c r="O3164" s="108"/>
      <c r="P3164" s="91"/>
      <c r="Q3164" s="91"/>
      <c r="R3164" s="107"/>
      <c r="S3164" s="503"/>
    </row>
    <row r="3165" spans="1:19" ht="9.75" customHeight="1">
      <c r="A3165" s="503"/>
      <c r="B3165" s="503"/>
      <c r="C3165" s="1"/>
      <c r="D3165" s="113" t="s">
        <v>37</v>
      </c>
      <c r="E3165" s="113"/>
      <c r="F3165" s="112"/>
      <c r="G3165" s="112"/>
      <c r="H3165" s="112"/>
      <c r="I3165" s="112"/>
      <c r="J3165" s="112"/>
      <c r="K3165" s="112"/>
      <c r="L3165" s="112"/>
      <c r="M3165" s="112"/>
      <c r="N3165" s="112"/>
      <c r="O3165" s="113"/>
      <c r="P3165" s="112"/>
      <c r="Q3165" s="112"/>
      <c r="R3165" s="165"/>
      <c r="S3165" s="503"/>
    </row>
    <row r="3166" spans="1:19" ht="9.75" customHeight="1">
      <c r="A3166" s="503"/>
      <c r="B3166" s="503" t="s">
        <v>127</v>
      </c>
      <c r="C3166" s="25"/>
      <c r="D3166" s="5" t="s">
        <v>38</v>
      </c>
      <c r="E3166" s="166">
        <f t="shared" ref="E3166:O3166" si="583">SUM(E3150:E3165)</f>
        <v>91</v>
      </c>
      <c r="F3166" s="167">
        <f t="shared" si="583"/>
        <v>20</v>
      </c>
      <c r="G3166" s="167">
        <f t="shared" si="583"/>
        <v>21</v>
      </c>
      <c r="H3166" s="167">
        <f t="shared" si="583"/>
        <v>15</v>
      </c>
      <c r="I3166" s="167">
        <f t="shared" si="583"/>
        <v>16</v>
      </c>
      <c r="J3166" s="167">
        <f t="shared" si="583"/>
        <v>5</v>
      </c>
      <c r="K3166" s="167">
        <f t="shared" si="583"/>
        <v>10</v>
      </c>
      <c r="L3166" s="167">
        <f t="shared" si="583"/>
        <v>12</v>
      </c>
      <c r="M3166" s="167">
        <f t="shared" si="583"/>
        <v>17</v>
      </c>
      <c r="N3166" s="167">
        <f t="shared" si="583"/>
        <v>29</v>
      </c>
      <c r="O3166" s="166">
        <f t="shared" si="583"/>
        <v>57</v>
      </c>
      <c r="P3166" s="167">
        <f>MIN(F3166:O3166)</f>
        <v>5</v>
      </c>
      <c r="Q3166" s="167">
        <f>E3166-P3166</f>
        <v>86</v>
      </c>
      <c r="R3166" s="168">
        <f>Q3166/E3166</f>
        <v>0.94505494505494503</v>
      </c>
      <c r="S3166" s="503"/>
    </row>
    <row r="3167" spans="1:19" ht="9.75" customHeight="1">
      <c r="A3167" s="503"/>
      <c r="B3167" s="503"/>
      <c r="C3167" s="1" t="s">
        <v>435</v>
      </c>
      <c r="D3167" s="108" t="s">
        <v>23</v>
      </c>
      <c r="E3167" s="108"/>
      <c r="F3167" s="91"/>
      <c r="G3167" s="91"/>
      <c r="H3167" s="91"/>
      <c r="I3167" s="91"/>
      <c r="J3167" s="91"/>
      <c r="K3167" s="91"/>
      <c r="L3167" s="91"/>
      <c r="M3167" s="91"/>
      <c r="N3167" s="91"/>
      <c r="O3167" s="108"/>
      <c r="P3167" s="91"/>
      <c r="Q3167" s="91"/>
      <c r="R3167" s="107"/>
      <c r="S3167" s="503"/>
    </row>
    <row r="3168" spans="1:19" ht="9.75" customHeight="1">
      <c r="A3168" s="503"/>
      <c r="B3168" s="503"/>
      <c r="C3168" s="13"/>
      <c r="D3168" s="108" t="s">
        <v>25</v>
      </c>
      <c r="E3168" s="136">
        <v>28</v>
      </c>
      <c r="F3168" s="11">
        <v>1</v>
      </c>
      <c r="G3168" s="11">
        <v>0</v>
      </c>
      <c r="H3168" s="11">
        <v>0</v>
      </c>
      <c r="I3168" s="11">
        <v>0</v>
      </c>
      <c r="J3168" s="11">
        <v>3</v>
      </c>
      <c r="K3168" s="11">
        <v>4</v>
      </c>
      <c r="L3168" s="11">
        <v>13</v>
      </c>
      <c r="M3168" s="11">
        <v>19</v>
      </c>
      <c r="N3168" s="11">
        <v>15</v>
      </c>
      <c r="O3168" s="136">
        <v>14</v>
      </c>
      <c r="P3168" s="11">
        <f>MIN(F3168:O3168)</f>
        <v>0</v>
      </c>
      <c r="Q3168" s="11">
        <f>E3168-P3168</f>
        <v>28</v>
      </c>
      <c r="R3168" s="122">
        <f>Q3168/E3168</f>
        <v>1</v>
      </c>
      <c r="S3168" s="503"/>
    </row>
    <row r="3169" spans="1:19" ht="9.75" customHeight="1">
      <c r="A3169" s="503"/>
      <c r="B3169" s="503"/>
      <c r="C3169" s="13"/>
      <c r="D3169" s="108" t="s">
        <v>27</v>
      </c>
      <c r="E3169" s="108"/>
      <c r="F3169" s="91"/>
      <c r="G3169" s="91"/>
      <c r="H3169" s="91"/>
      <c r="I3169" s="91"/>
      <c r="J3169" s="91"/>
      <c r="K3169" s="91"/>
      <c r="L3169" s="91"/>
      <c r="M3169" s="91"/>
      <c r="N3169" s="91"/>
      <c r="O3169" s="108"/>
      <c r="P3169" s="91"/>
      <c r="Q3169" s="91"/>
      <c r="R3169" s="107"/>
      <c r="S3169" s="503"/>
    </row>
    <row r="3170" spans="1:19" ht="9.75" customHeight="1">
      <c r="A3170" s="503"/>
      <c r="B3170" s="503"/>
      <c r="C3170" s="13"/>
      <c r="D3170" s="108" t="s">
        <v>115</v>
      </c>
      <c r="E3170" s="108"/>
      <c r="F3170" s="91"/>
      <c r="G3170" s="91"/>
      <c r="H3170" s="91"/>
      <c r="I3170" s="91"/>
      <c r="J3170" s="91"/>
      <c r="K3170" s="91"/>
      <c r="L3170" s="91"/>
      <c r="M3170" s="91"/>
      <c r="N3170" s="91"/>
      <c r="O3170" s="108"/>
      <c r="P3170" s="91"/>
      <c r="Q3170" s="91"/>
      <c r="R3170" s="107"/>
      <c r="S3170" s="503"/>
    </row>
    <row r="3171" spans="1:19" ht="9.75" customHeight="1">
      <c r="A3171" s="503"/>
      <c r="B3171" s="503"/>
      <c r="C3171" s="1"/>
      <c r="D3171" s="108" t="s">
        <v>115</v>
      </c>
      <c r="E3171" s="108"/>
      <c r="F3171" s="91"/>
      <c r="G3171" s="91"/>
      <c r="H3171" s="91"/>
      <c r="I3171" s="91"/>
      <c r="J3171" s="91"/>
      <c r="K3171" s="91"/>
      <c r="L3171" s="91"/>
      <c r="M3171" s="91"/>
      <c r="N3171" s="91"/>
      <c r="O3171" s="108"/>
      <c r="P3171" s="91"/>
      <c r="Q3171" s="91"/>
      <c r="R3171" s="107"/>
      <c r="S3171" s="503"/>
    </row>
    <row r="3172" spans="1:19" ht="9.75" customHeight="1">
      <c r="A3172" s="503"/>
      <c r="B3172" s="503"/>
      <c r="C3172" s="1"/>
      <c r="D3172" s="108" t="s">
        <v>32</v>
      </c>
      <c r="E3172" s="108"/>
      <c r="F3172" s="91"/>
      <c r="G3172" s="91"/>
      <c r="H3172" s="91"/>
      <c r="I3172" s="91"/>
      <c r="J3172" s="91"/>
      <c r="K3172" s="91"/>
      <c r="L3172" s="91"/>
      <c r="M3172" s="91"/>
      <c r="N3172" s="91"/>
      <c r="O3172" s="108"/>
      <c r="P3172" s="91"/>
      <c r="Q3172" s="91"/>
      <c r="R3172" s="107"/>
      <c r="S3172" s="503"/>
    </row>
    <row r="3173" spans="1:19" ht="9.75" customHeight="1">
      <c r="A3173" s="503"/>
      <c r="B3173" s="503"/>
      <c r="C3173" s="1"/>
      <c r="D3173" s="108" t="s">
        <v>120</v>
      </c>
      <c r="E3173" s="108"/>
      <c r="F3173" s="91"/>
      <c r="G3173" s="91"/>
      <c r="H3173" s="91"/>
      <c r="I3173" s="91"/>
      <c r="J3173" s="91"/>
      <c r="K3173" s="91"/>
      <c r="L3173" s="91"/>
      <c r="M3173" s="91"/>
      <c r="N3173" s="91"/>
      <c r="O3173" s="108"/>
      <c r="P3173" s="91"/>
      <c r="Q3173" s="91"/>
      <c r="R3173" s="107"/>
      <c r="S3173" s="503"/>
    </row>
    <row r="3174" spans="1:19" ht="9.75" customHeight="1">
      <c r="A3174" s="503"/>
      <c r="B3174" s="503"/>
      <c r="C3174" s="1"/>
      <c r="D3174" s="108" t="s">
        <v>120</v>
      </c>
      <c r="E3174" s="108"/>
      <c r="F3174" s="91"/>
      <c r="G3174" s="91"/>
      <c r="H3174" s="91"/>
      <c r="I3174" s="91"/>
      <c r="J3174" s="91"/>
      <c r="K3174" s="91"/>
      <c r="L3174" s="91"/>
      <c r="M3174" s="91"/>
      <c r="N3174" s="91"/>
      <c r="O3174" s="108"/>
      <c r="P3174" s="91"/>
      <c r="Q3174" s="91"/>
      <c r="R3174" s="107"/>
      <c r="S3174" s="503"/>
    </row>
    <row r="3175" spans="1:19" ht="9.75" customHeight="1">
      <c r="A3175" s="503"/>
      <c r="B3175" s="503"/>
      <c r="C3175" s="1"/>
      <c r="D3175" s="108" t="s">
        <v>120</v>
      </c>
      <c r="E3175" s="108"/>
      <c r="F3175" s="91"/>
      <c r="G3175" s="91"/>
      <c r="H3175" s="91"/>
      <c r="I3175" s="91"/>
      <c r="J3175" s="91"/>
      <c r="K3175" s="91"/>
      <c r="L3175" s="91"/>
      <c r="M3175" s="91"/>
      <c r="N3175" s="91"/>
      <c r="O3175" s="108"/>
      <c r="P3175" s="91"/>
      <c r="Q3175" s="91"/>
      <c r="R3175" s="107"/>
      <c r="S3175" s="503"/>
    </row>
    <row r="3176" spans="1:19" ht="9.75" customHeight="1">
      <c r="A3176" s="503"/>
      <c r="B3176" s="503"/>
      <c r="C3176" s="1"/>
      <c r="D3176" s="108" t="s">
        <v>120</v>
      </c>
      <c r="E3176" s="108"/>
      <c r="F3176" s="91"/>
      <c r="G3176" s="91"/>
      <c r="H3176" s="91"/>
      <c r="I3176" s="91"/>
      <c r="J3176" s="91"/>
      <c r="K3176" s="91"/>
      <c r="L3176" s="91"/>
      <c r="M3176" s="91"/>
      <c r="N3176" s="91"/>
      <c r="O3176" s="108"/>
      <c r="P3176" s="91"/>
      <c r="Q3176" s="91"/>
      <c r="R3176" s="107"/>
      <c r="S3176" s="503"/>
    </row>
    <row r="3177" spans="1:19" ht="9.75" customHeight="1">
      <c r="A3177" s="503"/>
      <c r="B3177" s="503"/>
      <c r="C3177" s="1"/>
      <c r="D3177" s="108" t="s">
        <v>120</v>
      </c>
      <c r="E3177" s="108"/>
      <c r="F3177" s="91"/>
      <c r="G3177" s="91"/>
      <c r="H3177" s="91"/>
      <c r="I3177" s="91"/>
      <c r="J3177" s="91"/>
      <c r="K3177" s="91"/>
      <c r="L3177" s="91"/>
      <c r="M3177" s="91"/>
      <c r="N3177" s="91"/>
      <c r="O3177" s="108"/>
      <c r="P3177" s="91"/>
      <c r="Q3177" s="91"/>
      <c r="R3177" s="107"/>
      <c r="S3177" s="503"/>
    </row>
    <row r="3178" spans="1:19" ht="9.75" customHeight="1">
      <c r="A3178" s="503"/>
      <c r="B3178" s="503"/>
      <c r="C3178" s="1"/>
      <c r="D3178" s="108" t="s">
        <v>120</v>
      </c>
      <c r="E3178" s="108"/>
      <c r="F3178" s="91"/>
      <c r="G3178" s="91"/>
      <c r="H3178" s="91"/>
      <c r="I3178" s="91"/>
      <c r="J3178" s="91"/>
      <c r="K3178" s="91"/>
      <c r="L3178" s="91"/>
      <c r="M3178" s="91"/>
      <c r="N3178" s="91"/>
      <c r="O3178" s="108"/>
      <c r="P3178" s="91"/>
      <c r="Q3178" s="91"/>
      <c r="R3178" s="107"/>
      <c r="S3178" s="503"/>
    </row>
    <row r="3179" spans="1:19" ht="9.75" customHeight="1">
      <c r="A3179" s="503"/>
      <c r="B3179" s="503"/>
      <c r="C3179" s="1"/>
      <c r="D3179" s="108" t="s">
        <v>34</v>
      </c>
      <c r="E3179" s="108"/>
      <c r="F3179" s="91"/>
      <c r="G3179" s="91"/>
      <c r="H3179" s="91"/>
      <c r="I3179" s="91"/>
      <c r="J3179" s="91"/>
      <c r="K3179" s="91"/>
      <c r="L3179" s="91"/>
      <c r="M3179" s="91"/>
      <c r="N3179" s="91"/>
      <c r="O3179" s="108"/>
      <c r="P3179" s="91"/>
      <c r="Q3179" s="91"/>
      <c r="R3179" s="107"/>
      <c r="S3179" s="503"/>
    </row>
    <row r="3180" spans="1:19" ht="9.75" customHeight="1">
      <c r="A3180" s="503"/>
      <c r="B3180" s="503"/>
      <c r="C3180" s="1"/>
      <c r="D3180" s="108" t="s">
        <v>35</v>
      </c>
      <c r="E3180" s="108"/>
      <c r="F3180" s="91"/>
      <c r="G3180" s="91"/>
      <c r="H3180" s="91"/>
      <c r="I3180" s="91"/>
      <c r="J3180" s="91"/>
      <c r="K3180" s="91"/>
      <c r="L3180" s="91"/>
      <c r="M3180" s="91"/>
      <c r="N3180" s="91"/>
      <c r="O3180" s="108"/>
      <c r="P3180" s="91"/>
      <c r="Q3180" s="91"/>
      <c r="R3180" s="107"/>
      <c r="S3180" s="503"/>
    </row>
    <row r="3181" spans="1:19" ht="9.75" customHeight="1">
      <c r="A3181" s="503"/>
      <c r="B3181" s="503"/>
      <c r="C3181" s="1"/>
      <c r="D3181" s="108" t="s">
        <v>36</v>
      </c>
      <c r="E3181" s="108"/>
      <c r="F3181" s="91"/>
      <c r="G3181" s="91"/>
      <c r="H3181" s="91"/>
      <c r="I3181" s="91"/>
      <c r="J3181" s="91"/>
      <c r="K3181" s="91"/>
      <c r="L3181" s="91"/>
      <c r="M3181" s="91"/>
      <c r="N3181" s="91"/>
      <c r="O3181" s="108"/>
      <c r="P3181" s="91"/>
      <c r="Q3181" s="91"/>
      <c r="R3181" s="107"/>
      <c r="S3181" s="503"/>
    </row>
    <row r="3182" spans="1:19" ht="9.75" customHeight="1">
      <c r="A3182" s="503"/>
      <c r="B3182" s="503"/>
      <c r="C3182" s="1"/>
      <c r="D3182" s="113" t="s">
        <v>37</v>
      </c>
      <c r="E3182" s="113"/>
      <c r="F3182" s="112"/>
      <c r="G3182" s="112"/>
      <c r="H3182" s="112"/>
      <c r="I3182" s="112"/>
      <c r="J3182" s="112"/>
      <c r="K3182" s="112"/>
      <c r="L3182" s="112"/>
      <c r="M3182" s="112"/>
      <c r="N3182" s="112"/>
      <c r="O3182" s="113"/>
      <c r="P3182" s="112"/>
      <c r="Q3182" s="112"/>
      <c r="R3182" s="165"/>
      <c r="S3182" s="503"/>
    </row>
    <row r="3183" spans="1:19" ht="9.75" customHeight="1">
      <c r="A3183" s="503"/>
      <c r="B3183" s="503" t="s">
        <v>127</v>
      </c>
      <c r="C3183" s="25"/>
      <c r="D3183" s="5" t="s">
        <v>38</v>
      </c>
      <c r="E3183" s="166">
        <f t="shared" ref="E3183:O3183" si="584">SUM(E3167:E3182)</f>
        <v>28</v>
      </c>
      <c r="F3183" s="167">
        <f t="shared" si="584"/>
        <v>1</v>
      </c>
      <c r="G3183" s="167">
        <f t="shared" si="584"/>
        <v>0</v>
      </c>
      <c r="H3183" s="167">
        <f t="shared" si="584"/>
        <v>0</v>
      </c>
      <c r="I3183" s="167">
        <f t="shared" si="584"/>
        <v>0</v>
      </c>
      <c r="J3183" s="167">
        <f t="shared" si="584"/>
        <v>3</v>
      </c>
      <c r="K3183" s="167">
        <f t="shared" si="584"/>
        <v>4</v>
      </c>
      <c r="L3183" s="167">
        <f t="shared" si="584"/>
        <v>13</v>
      </c>
      <c r="M3183" s="167">
        <f t="shared" si="584"/>
        <v>19</v>
      </c>
      <c r="N3183" s="167">
        <f t="shared" si="584"/>
        <v>15</v>
      </c>
      <c r="O3183" s="166">
        <f t="shared" si="584"/>
        <v>14</v>
      </c>
      <c r="P3183" s="167">
        <f>MIN(F3183:O3183)</f>
        <v>0</v>
      </c>
      <c r="Q3183" s="167">
        <f>E3183-P3183</f>
        <v>28</v>
      </c>
      <c r="R3183" s="168">
        <f>Q3183/E3183</f>
        <v>1</v>
      </c>
      <c r="S3183" s="503"/>
    </row>
    <row r="3184" spans="1:19" ht="9.75" customHeight="1">
      <c r="A3184" s="503"/>
      <c r="B3184" s="503"/>
      <c r="C3184" s="418" t="s">
        <v>436</v>
      </c>
      <c r="D3184" s="108" t="s">
        <v>23</v>
      </c>
      <c r="E3184" s="108"/>
      <c r="F3184" s="91"/>
      <c r="G3184" s="91"/>
      <c r="H3184" s="91"/>
      <c r="I3184" s="91"/>
      <c r="J3184" s="91"/>
      <c r="K3184" s="91"/>
      <c r="L3184" s="91"/>
      <c r="M3184" s="91"/>
      <c r="N3184" s="91"/>
      <c r="O3184" s="108"/>
      <c r="P3184" s="91"/>
      <c r="Q3184" s="91"/>
      <c r="R3184" s="107"/>
      <c r="S3184" s="503"/>
    </row>
    <row r="3185" spans="1:19" ht="9.75" customHeight="1">
      <c r="A3185" s="503"/>
      <c r="B3185" s="503"/>
      <c r="C3185" s="13"/>
      <c r="D3185" s="108" t="s">
        <v>25</v>
      </c>
      <c r="E3185" s="108"/>
      <c r="F3185" s="91"/>
      <c r="G3185" s="91"/>
      <c r="H3185" s="91"/>
      <c r="I3185" s="91"/>
      <c r="J3185" s="91"/>
      <c r="K3185" s="91"/>
      <c r="L3185" s="91"/>
      <c r="M3185" s="91"/>
      <c r="N3185" s="91"/>
      <c r="O3185" s="108"/>
      <c r="P3185" s="91"/>
      <c r="Q3185" s="91"/>
      <c r="R3185" s="107"/>
      <c r="S3185" s="503"/>
    </row>
    <row r="3186" spans="1:19" ht="9.75" customHeight="1">
      <c r="A3186" s="503"/>
      <c r="B3186" s="503"/>
      <c r="C3186" s="13"/>
      <c r="D3186" s="108" t="s">
        <v>27</v>
      </c>
      <c r="E3186" s="108"/>
      <c r="F3186" s="91"/>
      <c r="G3186" s="91"/>
      <c r="H3186" s="91"/>
      <c r="I3186" s="91"/>
      <c r="J3186" s="91"/>
      <c r="K3186" s="91"/>
      <c r="L3186" s="91"/>
      <c r="M3186" s="91"/>
      <c r="N3186" s="91"/>
      <c r="O3186" s="108"/>
      <c r="P3186" s="91"/>
      <c r="Q3186" s="91"/>
      <c r="R3186" s="107"/>
      <c r="S3186" s="503"/>
    </row>
    <row r="3187" spans="1:19" ht="9.75" customHeight="1">
      <c r="A3187" s="503"/>
      <c r="B3187" s="503"/>
      <c r="C3187" s="13"/>
      <c r="D3187" s="108" t="s">
        <v>115</v>
      </c>
      <c r="E3187" s="108"/>
      <c r="F3187" s="91"/>
      <c r="G3187" s="91"/>
      <c r="H3187" s="91"/>
      <c r="I3187" s="91"/>
      <c r="J3187" s="91"/>
      <c r="K3187" s="91"/>
      <c r="L3187" s="91"/>
      <c r="M3187" s="91"/>
      <c r="N3187" s="91"/>
      <c r="O3187" s="108"/>
      <c r="P3187" s="91"/>
      <c r="Q3187" s="91"/>
      <c r="R3187" s="107"/>
      <c r="S3187" s="503"/>
    </row>
    <row r="3188" spans="1:19" ht="9.75" customHeight="1">
      <c r="A3188" s="503"/>
      <c r="B3188" s="503"/>
      <c r="C3188" s="1"/>
      <c r="D3188" s="108" t="s">
        <v>115</v>
      </c>
      <c r="E3188" s="108"/>
      <c r="F3188" s="91"/>
      <c r="G3188" s="91"/>
      <c r="H3188" s="91"/>
      <c r="I3188" s="91"/>
      <c r="J3188" s="91"/>
      <c r="K3188" s="91"/>
      <c r="L3188" s="91"/>
      <c r="M3188" s="91"/>
      <c r="N3188" s="91"/>
      <c r="O3188" s="108"/>
      <c r="P3188" s="91"/>
      <c r="Q3188" s="91"/>
      <c r="R3188" s="107"/>
      <c r="S3188" s="503"/>
    </row>
    <row r="3189" spans="1:19" ht="9.75" customHeight="1">
      <c r="A3189" s="503"/>
      <c r="B3189" s="503"/>
      <c r="C3189" s="1"/>
      <c r="D3189" s="108" t="s">
        <v>32</v>
      </c>
      <c r="E3189" s="108"/>
      <c r="F3189" s="91"/>
      <c r="G3189" s="91"/>
      <c r="H3189" s="91"/>
      <c r="I3189" s="91"/>
      <c r="J3189" s="91"/>
      <c r="K3189" s="91"/>
      <c r="L3189" s="91"/>
      <c r="M3189" s="91"/>
      <c r="N3189" s="91"/>
      <c r="O3189" s="108"/>
      <c r="P3189" s="91"/>
      <c r="Q3189" s="91"/>
      <c r="R3189" s="107"/>
      <c r="S3189" s="503"/>
    </row>
    <row r="3190" spans="1:19" ht="9.75" customHeight="1">
      <c r="A3190" s="503"/>
      <c r="B3190" s="503"/>
      <c r="C3190" s="1"/>
      <c r="D3190" s="108" t="s">
        <v>437</v>
      </c>
      <c r="E3190" s="136">
        <v>32</v>
      </c>
      <c r="F3190" s="11">
        <v>30</v>
      </c>
      <c r="G3190" s="11">
        <v>27</v>
      </c>
      <c r="H3190" s="11">
        <v>28</v>
      </c>
      <c r="I3190" s="11">
        <v>25</v>
      </c>
      <c r="J3190" s="11">
        <v>24</v>
      </c>
      <c r="K3190" s="11">
        <v>23</v>
      </c>
      <c r="L3190" s="11">
        <v>21</v>
      </c>
      <c r="M3190" s="11">
        <v>21</v>
      </c>
      <c r="N3190" s="11">
        <v>25</v>
      </c>
      <c r="O3190" s="136">
        <v>27</v>
      </c>
      <c r="P3190" s="11">
        <f>MIN(F3190:O3190)</f>
        <v>21</v>
      </c>
      <c r="Q3190" s="11">
        <f>E3190-P3190</f>
        <v>11</v>
      </c>
      <c r="R3190" s="122">
        <f>Q3190/E3190</f>
        <v>0.34375</v>
      </c>
      <c r="S3190" s="503"/>
    </row>
    <row r="3191" spans="1:19" ht="9.75" customHeight="1">
      <c r="A3191" s="503"/>
      <c r="B3191" s="503"/>
      <c r="C3191" s="1"/>
      <c r="D3191" s="108" t="s">
        <v>120</v>
      </c>
      <c r="E3191" s="108"/>
      <c r="F3191" s="91"/>
      <c r="G3191" s="91"/>
      <c r="H3191" s="91"/>
      <c r="I3191" s="91"/>
      <c r="J3191" s="91"/>
      <c r="K3191" s="91"/>
      <c r="L3191" s="91"/>
      <c r="M3191" s="91"/>
      <c r="N3191" s="91"/>
      <c r="O3191" s="108"/>
      <c r="P3191" s="91"/>
      <c r="Q3191" s="91"/>
      <c r="R3191" s="107"/>
      <c r="S3191" s="503"/>
    </row>
    <row r="3192" spans="1:19" ht="9.75" customHeight="1">
      <c r="A3192" s="503"/>
      <c r="B3192" s="503"/>
      <c r="C3192" s="1"/>
      <c r="D3192" s="108" t="s">
        <v>120</v>
      </c>
      <c r="E3192" s="108"/>
      <c r="F3192" s="91"/>
      <c r="G3192" s="91"/>
      <c r="H3192" s="91"/>
      <c r="I3192" s="91"/>
      <c r="J3192" s="91"/>
      <c r="K3192" s="91"/>
      <c r="L3192" s="91"/>
      <c r="M3192" s="91"/>
      <c r="N3192" s="91"/>
      <c r="O3192" s="108"/>
      <c r="P3192" s="91"/>
      <c r="Q3192" s="91"/>
      <c r="R3192" s="107"/>
      <c r="S3192" s="503"/>
    </row>
    <row r="3193" spans="1:19" ht="9.75" customHeight="1">
      <c r="A3193" s="503"/>
      <c r="B3193" s="503"/>
      <c r="C3193" s="1"/>
      <c r="D3193" s="108" t="s">
        <v>120</v>
      </c>
      <c r="E3193" s="108"/>
      <c r="F3193" s="91"/>
      <c r="G3193" s="91"/>
      <c r="H3193" s="91"/>
      <c r="I3193" s="91"/>
      <c r="J3193" s="91"/>
      <c r="K3193" s="91"/>
      <c r="L3193" s="91"/>
      <c r="M3193" s="91"/>
      <c r="N3193" s="91"/>
      <c r="O3193" s="108"/>
      <c r="P3193" s="91"/>
      <c r="Q3193" s="91"/>
      <c r="R3193" s="107"/>
      <c r="S3193" s="503"/>
    </row>
    <row r="3194" spans="1:19" ht="9.75" customHeight="1">
      <c r="A3194" s="503"/>
      <c r="B3194" s="503"/>
      <c r="C3194" s="1"/>
      <c r="D3194" s="108" t="s">
        <v>120</v>
      </c>
      <c r="E3194" s="108"/>
      <c r="F3194" s="91"/>
      <c r="G3194" s="91"/>
      <c r="H3194" s="91"/>
      <c r="I3194" s="91"/>
      <c r="J3194" s="91"/>
      <c r="K3194" s="91"/>
      <c r="L3194" s="91"/>
      <c r="M3194" s="91"/>
      <c r="N3194" s="91"/>
      <c r="O3194" s="108"/>
      <c r="P3194" s="91"/>
      <c r="Q3194" s="91"/>
      <c r="R3194" s="107"/>
      <c r="S3194" s="503"/>
    </row>
    <row r="3195" spans="1:19" ht="9.75" customHeight="1">
      <c r="A3195" s="503"/>
      <c r="B3195" s="503"/>
      <c r="C3195" s="1"/>
      <c r="D3195" s="108" t="s">
        <v>120</v>
      </c>
      <c r="E3195" s="108"/>
      <c r="F3195" s="91"/>
      <c r="G3195" s="91"/>
      <c r="H3195" s="91"/>
      <c r="I3195" s="91"/>
      <c r="J3195" s="91"/>
      <c r="K3195" s="91"/>
      <c r="L3195" s="91"/>
      <c r="M3195" s="91"/>
      <c r="N3195" s="91"/>
      <c r="O3195" s="108"/>
      <c r="P3195" s="91"/>
      <c r="Q3195" s="91"/>
      <c r="R3195" s="107"/>
      <c r="S3195" s="503"/>
    </row>
    <row r="3196" spans="1:19" ht="9.75" customHeight="1">
      <c r="A3196" s="503"/>
      <c r="B3196" s="503"/>
      <c r="C3196" s="1"/>
      <c r="D3196" s="108" t="s">
        <v>34</v>
      </c>
      <c r="E3196" s="136">
        <v>3</v>
      </c>
      <c r="F3196" s="11">
        <v>3</v>
      </c>
      <c r="G3196" s="11">
        <v>3</v>
      </c>
      <c r="H3196" s="11">
        <v>3</v>
      </c>
      <c r="I3196" s="11">
        <v>3</v>
      </c>
      <c r="J3196" s="11">
        <v>3</v>
      </c>
      <c r="K3196" s="11">
        <v>3</v>
      </c>
      <c r="L3196" s="11">
        <v>3</v>
      </c>
      <c r="M3196" s="11">
        <v>3</v>
      </c>
      <c r="N3196" s="11">
        <v>3</v>
      </c>
      <c r="O3196" s="136">
        <v>3</v>
      </c>
      <c r="P3196" s="11">
        <f>MIN(F3196:O3196)</f>
        <v>3</v>
      </c>
      <c r="Q3196" s="11">
        <f>E3196-P3196</f>
        <v>0</v>
      </c>
      <c r="R3196" s="122">
        <f>Q3196/E3196</f>
        <v>0</v>
      </c>
      <c r="S3196" s="503"/>
    </row>
    <row r="3197" spans="1:19" ht="9.75" customHeight="1">
      <c r="A3197" s="503"/>
      <c r="B3197" s="503"/>
      <c r="C3197" s="1"/>
      <c r="D3197" s="108" t="s">
        <v>35</v>
      </c>
      <c r="E3197" s="108"/>
      <c r="F3197" s="91"/>
      <c r="G3197" s="91"/>
      <c r="H3197" s="91"/>
      <c r="I3197" s="91"/>
      <c r="J3197" s="91"/>
      <c r="K3197" s="91"/>
      <c r="L3197" s="91"/>
      <c r="M3197" s="91"/>
      <c r="N3197" s="91"/>
      <c r="O3197" s="108"/>
      <c r="P3197" s="91"/>
      <c r="Q3197" s="91"/>
      <c r="R3197" s="107"/>
      <c r="S3197" s="503"/>
    </row>
    <row r="3198" spans="1:19" ht="9.75" customHeight="1">
      <c r="A3198" s="503"/>
      <c r="B3198" s="503"/>
      <c r="C3198" s="1"/>
      <c r="D3198" s="108" t="s">
        <v>36</v>
      </c>
      <c r="E3198" s="108"/>
      <c r="F3198" s="91"/>
      <c r="G3198" s="91"/>
      <c r="H3198" s="91"/>
      <c r="I3198" s="91"/>
      <c r="J3198" s="91"/>
      <c r="K3198" s="91"/>
      <c r="L3198" s="91"/>
      <c r="M3198" s="91"/>
      <c r="N3198" s="91"/>
      <c r="O3198" s="108"/>
      <c r="P3198" s="91"/>
      <c r="Q3198" s="91"/>
      <c r="R3198" s="107"/>
      <c r="S3198" s="503"/>
    </row>
    <row r="3199" spans="1:19" ht="9.75" customHeight="1">
      <c r="A3199" s="503"/>
      <c r="B3199" s="503"/>
      <c r="C3199" s="1"/>
      <c r="D3199" s="113" t="s">
        <v>37</v>
      </c>
      <c r="E3199" s="113"/>
      <c r="F3199" s="112"/>
      <c r="G3199" s="112"/>
      <c r="H3199" s="112"/>
      <c r="I3199" s="112"/>
      <c r="J3199" s="112"/>
      <c r="K3199" s="112"/>
      <c r="L3199" s="112"/>
      <c r="M3199" s="112"/>
      <c r="N3199" s="112"/>
      <c r="O3199" s="113"/>
      <c r="P3199" s="112"/>
      <c r="Q3199" s="112"/>
      <c r="R3199" s="165"/>
      <c r="S3199" s="503"/>
    </row>
    <row r="3200" spans="1:19" ht="9.75" customHeight="1">
      <c r="A3200" s="503"/>
      <c r="B3200" s="503" t="s">
        <v>127</v>
      </c>
      <c r="C3200" s="25"/>
      <c r="D3200" s="5" t="s">
        <v>38</v>
      </c>
      <c r="E3200" s="166">
        <f t="shared" ref="E3200:O3200" si="585">SUM(E3184:E3199)</f>
        <v>35</v>
      </c>
      <c r="F3200" s="167">
        <f t="shared" si="585"/>
        <v>33</v>
      </c>
      <c r="G3200" s="167">
        <f t="shared" si="585"/>
        <v>30</v>
      </c>
      <c r="H3200" s="167">
        <f t="shared" si="585"/>
        <v>31</v>
      </c>
      <c r="I3200" s="167">
        <f t="shared" si="585"/>
        <v>28</v>
      </c>
      <c r="J3200" s="167">
        <f t="shared" si="585"/>
        <v>27</v>
      </c>
      <c r="K3200" s="167">
        <f t="shared" si="585"/>
        <v>26</v>
      </c>
      <c r="L3200" s="167">
        <f t="shared" si="585"/>
        <v>24</v>
      </c>
      <c r="M3200" s="167">
        <f t="shared" si="585"/>
        <v>24</v>
      </c>
      <c r="N3200" s="167">
        <f t="shared" si="585"/>
        <v>28</v>
      </c>
      <c r="O3200" s="166">
        <f t="shared" si="585"/>
        <v>30</v>
      </c>
      <c r="P3200" s="167">
        <f t="shared" ref="P3200:P3202" si="586">MIN(F3200:O3200)</f>
        <v>24</v>
      </c>
      <c r="Q3200" s="167">
        <f t="shared" ref="Q3200:Q3202" si="587">E3200-P3200</f>
        <v>11</v>
      </c>
      <c r="R3200" s="168">
        <f t="shared" ref="R3200:R3202" si="588">Q3200/E3200</f>
        <v>0.31428571428571428</v>
      </c>
      <c r="S3200" s="503"/>
    </row>
    <row r="3201" spans="1:19" ht="9.75" customHeight="1">
      <c r="A3201" s="503"/>
      <c r="B3201" s="503"/>
      <c r="C3201" s="1" t="s">
        <v>438</v>
      </c>
      <c r="D3201" s="108" t="s">
        <v>23</v>
      </c>
      <c r="E3201" s="136">
        <v>11</v>
      </c>
      <c r="F3201" s="11">
        <v>11</v>
      </c>
      <c r="G3201" s="11">
        <v>11</v>
      </c>
      <c r="H3201" s="11">
        <v>9</v>
      </c>
      <c r="I3201" s="11">
        <v>10</v>
      </c>
      <c r="J3201" s="11">
        <v>10</v>
      </c>
      <c r="K3201" s="11">
        <v>10</v>
      </c>
      <c r="L3201" s="11">
        <v>10</v>
      </c>
      <c r="M3201" s="11">
        <v>10</v>
      </c>
      <c r="N3201" s="11">
        <v>10</v>
      </c>
      <c r="O3201" s="136">
        <v>10</v>
      </c>
      <c r="P3201" s="11">
        <f t="shared" si="586"/>
        <v>9</v>
      </c>
      <c r="Q3201" s="11">
        <f t="shared" si="587"/>
        <v>2</v>
      </c>
      <c r="R3201" s="122">
        <f t="shared" si="588"/>
        <v>0.18181818181818182</v>
      </c>
      <c r="S3201" s="503"/>
    </row>
    <row r="3202" spans="1:19" ht="9.75" customHeight="1">
      <c r="A3202" s="503"/>
      <c r="B3202" s="503"/>
      <c r="C3202" s="13"/>
      <c r="D3202" s="108" t="s">
        <v>25</v>
      </c>
      <c r="E3202" s="136">
        <v>21</v>
      </c>
      <c r="F3202" s="11">
        <v>17</v>
      </c>
      <c r="G3202" s="11">
        <v>15</v>
      </c>
      <c r="H3202" s="11">
        <v>6</v>
      </c>
      <c r="I3202" s="11">
        <v>6</v>
      </c>
      <c r="J3202" s="11">
        <v>6</v>
      </c>
      <c r="K3202" s="11">
        <v>5</v>
      </c>
      <c r="L3202" s="11">
        <v>7</v>
      </c>
      <c r="M3202" s="11">
        <v>12</v>
      </c>
      <c r="N3202" s="11">
        <v>11</v>
      </c>
      <c r="O3202" s="136">
        <v>14</v>
      </c>
      <c r="P3202" s="11">
        <f t="shared" si="586"/>
        <v>5</v>
      </c>
      <c r="Q3202" s="11">
        <f t="shared" si="587"/>
        <v>16</v>
      </c>
      <c r="R3202" s="122">
        <f t="shared" si="588"/>
        <v>0.76190476190476186</v>
      </c>
      <c r="S3202" s="503"/>
    </row>
    <row r="3203" spans="1:19" ht="9.75" customHeight="1">
      <c r="A3203" s="503"/>
      <c r="B3203" s="503"/>
      <c r="C3203" s="13"/>
      <c r="D3203" s="108" t="s">
        <v>27</v>
      </c>
      <c r="E3203" s="108"/>
      <c r="F3203" s="91"/>
      <c r="G3203" s="91"/>
      <c r="H3203" s="91"/>
      <c r="I3203" s="91"/>
      <c r="J3203" s="91"/>
      <c r="K3203" s="91"/>
      <c r="L3203" s="91"/>
      <c r="M3203" s="91"/>
      <c r="N3203" s="91"/>
      <c r="O3203" s="108"/>
      <c r="P3203" s="91"/>
      <c r="Q3203" s="91"/>
      <c r="R3203" s="107"/>
      <c r="S3203" s="503"/>
    </row>
    <row r="3204" spans="1:19" ht="9.75" customHeight="1">
      <c r="A3204" s="503"/>
      <c r="B3204" s="503"/>
      <c r="C3204" s="13"/>
      <c r="D3204" s="108" t="s">
        <v>115</v>
      </c>
      <c r="E3204" s="108"/>
      <c r="F3204" s="91"/>
      <c r="G3204" s="91"/>
      <c r="H3204" s="91"/>
      <c r="I3204" s="91"/>
      <c r="J3204" s="91"/>
      <c r="K3204" s="91"/>
      <c r="L3204" s="91"/>
      <c r="M3204" s="91"/>
      <c r="N3204" s="91"/>
      <c r="O3204" s="108"/>
      <c r="P3204" s="91"/>
      <c r="Q3204" s="91"/>
      <c r="R3204" s="107"/>
      <c r="S3204" s="503"/>
    </row>
    <row r="3205" spans="1:19" ht="9.75" customHeight="1">
      <c r="A3205" s="503"/>
      <c r="B3205" s="503"/>
      <c r="C3205" s="1"/>
      <c r="D3205" s="108" t="s">
        <v>115</v>
      </c>
      <c r="E3205" s="108"/>
      <c r="F3205" s="91"/>
      <c r="G3205" s="91"/>
      <c r="H3205" s="91"/>
      <c r="I3205" s="91"/>
      <c r="J3205" s="91"/>
      <c r="K3205" s="91"/>
      <c r="L3205" s="91"/>
      <c r="M3205" s="91"/>
      <c r="N3205" s="91"/>
      <c r="O3205" s="108"/>
      <c r="P3205" s="91"/>
      <c r="Q3205" s="91"/>
      <c r="R3205" s="107"/>
      <c r="S3205" s="503"/>
    </row>
    <row r="3206" spans="1:19" ht="9.75" customHeight="1">
      <c r="A3206" s="503"/>
      <c r="B3206" s="503"/>
      <c r="C3206" s="1"/>
      <c r="D3206" s="108" t="s">
        <v>32</v>
      </c>
      <c r="E3206" s="136">
        <v>2</v>
      </c>
      <c r="F3206" s="11">
        <v>2</v>
      </c>
      <c r="G3206" s="11">
        <v>2</v>
      </c>
      <c r="H3206" s="11">
        <v>2</v>
      </c>
      <c r="I3206" s="11">
        <v>2</v>
      </c>
      <c r="J3206" s="11">
        <v>2</v>
      </c>
      <c r="K3206" s="11">
        <v>1</v>
      </c>
      <c r="L3206" s="11">
        <v>1</v>
      </c>
      <c r="M3206" s="11">
        <v>1</v>
      </c>
      <c r="N3206" s="11">
        <v>2</v>
      </c>
      <c r="O3206" s="136">
        <v>2</v>
      </c>
      <c r="P3206" s="11">
        <f t="shared" ref="P3206:P3208" si="589">MIN(F3206:O3206)</f>
        <v>1</v>
      </c>
      <c r="Q3206" s="11">
        <f t="shared" ref="Q3206:Q3208" si="590">E3206-P3206</f>
        <v>1</v>
      </c>
      <c r="R3206" s="122">
        <f t="shared" ref="R3206:R3208" si="591">Q3206/E3206</f>
        <v>0.5</v>
      </c>
      <c r="S3206" s="503"/>
    </row>
    <row r="3207" spans="1:19" ht="9.75" customHeight="1">
      <c r="A3207" s="503"/>
      <c r="B3207" s="503"/>
      <c r="C3207" s="1"/>
      <c r="D3207" s="108" t="s">
        <v>437</v>
      </c>
      <c r="E3207" s="136">
        <v>3</v>
      </c>
      <c r="F3207" s="11">
        <v>2</v>
      </c>
      <c r="G3207" s="11">
        <v>2</v>
      </c>
      <c r="H3207" s="11">
        <v>2</v>
      </c>
      <c r="I3207" s="11">
        <v>1</v>
      </c>
      <c r="J3207" s="11">
        <v>1</v>
      </c>
      <c r="K3207" s="11">
        <v>1</v>
      </c>
      <c r="L3207" s="11">
        <v>2</v>
      </c>
      <c r="M3207" s="11">
        <v>2</v>
      </c>
      <c r="N3207" s="11">
        <v>1</v>
      </c>
      <c r="O3207" s="136">
        <v>1</v>
      </c>
      <c r="P3207" s="11">
        <f t="shared" si="589"/>
        <v>1</v>
      </c>
      <c r="Q3207" s="11">
        <f t="shared" si="590"/>
        <v>2</v>
      </c>
      <c r="R3207" s="122">
        <f t="shared" si="591"/>
        <v>0.66666666666666663</v>
      </c>
      <c r="S3207" s="503"/>
    </row>
    <row r="3208" spans="1:19" ht="9.75" customHeight="1">
      <c r="A3208" s="503"/>
      <c r="B3208" s="503"/>
      <c r="C3208" s="1"/>
      <c r="D3208" s="108" t="s">
        <v>439</v>
      </c>
      <c r="E3208" s="136">
        <v>7</v>
      </c>
      <c r="F3208" s="11">
        <v>1</v>
      </c>
      <c r="G3208" s="11">
        <v>1</v>
      </c>
      <c r="H3208" s="11">
        <v>2</v>
      </c>
      <c r="I3208" s="11">
        <v>2</v>
      </c>
      <c r="J3208" s="11">
        <v>5</v>
      </c>
      <c r="K3208" s="11">
        <v>6</v>
      </c>
      <c r="L3208" s="11">
        <v>7</v>
      </c>
      <c r="M3208" s="11">
        <v>7</v>
      </c>
      <c r="N3208" s="11">
        <v>7</v>
      </c>
      <c r="O3208" s="136">
        <v>7</v>
      </c>
      <c r="P3208" s="11">
        <f t="shared" si="589"/>
        <v>1</v>
      </c>
      <c r="Q3208" s="11">
        <f t="shared" si="590"/>
        <v>6</v>
      </c>
      <c r="R3208" s="122">
        <f t="shared" si="591"/>
        <v>0.8571428571428571</v>
      </c>
      <c r="S3208" s="503"/>
    </row>
    <row r="3209" spans="1:19" ht="9.75" customHeight="1">
      <c r="A3209" s="503"/>
      <c r="B3209" s="503"/>
      <c r="C3209" s="1"/>
      <c r="D3209" s="108" t="s">
        <v>120</v>
      </c>
      <c r="E3209" s="108"/>
      <c r="F3209" s="91"/>
      <c r="G3209" s="91"/>
      <c r="H3209" s="91"/>
      <c r="I3209" s="91"/>
      <c r="J3209" s="91"/>
      <c r="K3209" s="91"/>
      <c r="L3209" s="91"/>
      <c r="M3209" s="91"/>
      <c r="N3209" s="91"/>
      <c r="O3209" s="108"/>
      <c r="P3209" s="91"/>
      <c r="Q3209" s="91"/>
      <c r="R3209" s="107"/>
      <c r="S3209" s="503"/>
    </row>
    <row r="3210" spans="1:19" ht="9.75" customHeight="1">
      <c r="A3210" s="503"/>
      <c r="B3210" s="503"/>
      <c r="C3210" s="1"/>
      <c r="D3210" s="108" t="s">
        <v>120</v>
      </c>
      <c r="E3210" s="108"/>
      <c r="F3210" s="91"/>
      <c r="G3210" s="91"/>
      <c r="H3210" s="91"/>
      <c r="I3210" s="91"/>
      <c r="J3210" s="91"/>
      <c r="K3210" s="91"/>
      <c r="L3210" s="91"/>
      <c r="M3210" s="91"/>
      <c r="N3210" s="91"/>
      <c r="O3210" s="108"/>
      <c r="P3210" s="91"/>
      <c r="Q3210" s="91"/>
      <c r="R3210" s="107"/>
      <c r="S3210" s="503"/>
    </row>
    <row r="3211" spans="1:19" ht="9.75" customHeight="1">
      <c r="A3211" s="503"/>
      <c r="B3211" s="503"/>
      <c r="C3211" s="1"/>
      <c r="D3211" s="108" t="s">
        <v>120</v>
      </c>
      <c r="E3211" s="108"/>
      <c r="F3211" s="91"/>
      <c r="G3211" s="91"/>
      <c r="H3211" s="91"/>
      <c r="I3211" s="91"/>
      <c r="J3211" s="91"/>
      <c r="K3211" s="91"/>
      <c r="L3211" s="91"/>
      <c r="M3211" s="91"/>
      <c r="N3211" s="91"/>
      <c r="O3211" s="108"/>
      <c r="P3211" s="91"/>
      <c r="Q3211" s="91"/>
      <c r="R3211" s="107"/>
      <c r="S3211" s="503"/>
    </row>
    <row r="3212" spans="1:19" ht="9.75" customHeight="1">
      <c r="A3212" s="503"/>
      <c r="B3212" s="503"/>
      <c r="C3212" s="1"/>
      <c r="D3212" s="108" t="s">
        <v>120</v>
      </c>
      <c r="E3212" s="108"/>
      <c r="F3212" s="91"/>
      <c r="G3212" s="91"/>
      <c r="H3212" s="91"/>
      <c r="I3212" s="91"/>
      <c r="J3212" s="91"/>
      <c r="K3212" s="91"/>
      <c r="L3212" s="91"/>
      <c r="M3212" s="91"/>
      <c r="N3212" s="91"/>
      <c r="O3212" s="108"/>
      <c r="P3212" s="91"/>
      <c r="Q3212" s="91"/>
      <c r="R3212" s="107"/>
      <c r="S3212" s="503"/>
    </row>
    <row r="3213" spans="1:19" ht="9.75" customHeight="1">
      <c r="A3213" s="503"/>
      <c r="B3213" s="503"/>
      <c r="C3213" s="1"/>
      <c r="D3213" s="108" t="s">
        <v>34</v>
      </c>
      <c r="E3213" s="136">
        <v>1</v>
      </c>
      <c r="F3213" s="11">
        <v>1</v>
      </c>
      <c r="G3213" s="11">
        <v>1</v>
      </c>
      <c r="H3213" s="11">
        <v>1</v>
      </c>
      <c r="I3213" s="11">
        <v>1</v>
      </c>
      <c r="J3213" s="11">
        <v>1</v>
      </c>
      <c r="K3213" s="11">
        <v>1</v>
      </c>
      <c r="L3213" s="11">
        <v>1</v>
      </c>
      <c r="M3213" s="11">
        <v>1</v>
      </c>
      <c r="N3213" s="11">
        <v>1</v>
      </c>
      <c r="O3213" s="136">
        <v>1</v>
      </c>
      <c r="P3213" s="11">
        <f>MIN(F3213:O3213)</f>
        <v>1</v>
      </c>
      <c r="Q3213" s="11">
        <f>E3213-P3213</f>
        <v>0</v>
      </c>
      <c r="R3213" s="122">
        <f>Q3213/E3213</f>
        <v>0</v>
      </c>
      <c r="S3213" s="503"/>
    </row>
    <row r="3214" spans="1:19" ht="9.75" customHeight="1">
      <c r="A3214" s="503"/>
      <c r="B3214" s="503"/>
      <c r="C3214" s="1"/>
      <c r="D3214" s="108" t="s">
        <v>35</v>
      </c>
      <c r="E3214" s="108"/>
      <c r="F3214" s="91"/>
      <c r="G3214" s="91"/>
      <c r="H3214" s="91"/>
      <c r="I3214" s="91"/>
      <c r="J3214" s="91"/>
      <c r="K3214" s="91"/>
      <c r="L3214" s="91"/>
      <c r="M3214" s="91"/>
      <c r="N3214" s="91"/>
      <c r="O3214" s="108"/>
      <c r="P3214" s="91"/>
      <c r="Q3214" s="91"/>
      <c r="R3214" s="107"/>
      <c r="S3214" s="503"/>
    </row>
    <row r="3215" spans="1:19" ht="9.75" customHeight="1">
      <c r="A3215" s="503"/>
      <c r="B3215" s="503"/>
      <c r="C3215" s="1"/>
      <c r="D3215" s="108" t="s">
        <v>36</v>
      </c>
      <c r="E3215" s="108"/>
      <c r="F3215" s="91"/>
      <c r="G3215" s="91"/>
      <c r="H3215" s="91"/>
      <c r="I3215" s="91"/>
      <c r="J3215" s="91"/>
      <c r="K3215" s="91"/>
      <c r="L3215" s="91"/>
      <c r="M3215" s="91"/>
      <c r="N3215" s="91"/>
      <c r="O3215" s="108"/>
      <c r="P3215" s="91"/>
      <c r="Q3215" s="91"/>
      <c r="R3215" s="107"/>
      <c r="S3215" s="503"/>
    </row>
    <row r="3216" spans="1:19" ht="9.75" customHeight="1">
      <c r="A3216" s="503"/>
      <c r="B3216" s="503"/>
      <c r="C3216" s="1"/>
      <c r="D3216" s="113" t="s">
        <v>37</v>
      </c>
      <c r="E3216" s="113"/>
      <c r="F3216" s="112"/>
      <c r="G3216" s="112"/>
      <c r="H3216" s="112"/>
      <c r="I3216" s="112"/>
      <c r="J3216" s="112"/>
      <c r="K3216" s="112"/>
      <c r="L3216" s="112"/>
      <c r="M3216" s="112"/>
      <c r="N3216" s="112"/>
      <c r="O3216" s="113"/>
      <c r="P3216" s="112"/>
      <c r="Q3216" s="112"/>
      <c r="R3216" s="165"/>
      <c r="S3216" s="503"/>
    </row>
    <row r="3217" spans="1:19" ht="9.75" customHeight="1">
      <c r="A3217" s="503"/>
      <c r="B3217" s="503" t="s">
        <v>127</v>
      </c>
      <c r="C3217" s="25"/>
      <c r="D3217" s="5" t="s">
        <v>38</v>
      </c>
      <c r="E3217" s="166">
        <f t="shared" ref="E3217:O3217" si="592">SUM(E3201:E3216)</f>
        <v>45</v>
      </c>
      <c r="F3217" s="167">
        <f>SUM(F3201:F3216)</f>
        <v>34</v>
      </c>
      <c r="G3217" s="167">
        <f>SUM(G3201:G3216)</f>
        <v>32</v>
      </c>
      <c r="H3217" s="167">
        <f>SUM(H3201:H3216)</f>
        <v>22</v>
      </c>
      <c r="I3217" s="167">
        <f>SUM(I3201:I3216)</f>
        <v>22</v>
      </c>
      <c r="J3217" s="167">
        <f>SUM(J3201:J3216)</f>
        <v>25</v>
      </c>
      <c r="K3217" s="167">
        <f t="shared" si="592"/>
        <v>24</v>
      </c>
      <c r="L3217" s="167">
        <f t="shared" si="592"/>
        <v>28</v>
      </c>
      <c r="M3217" s="167">
        <f t="shared" si="592"/>
        <v>33</v>
      </c>
      <c r="N3217" s="167">
        <f t="shared" si="592"/>
        <v>32</v>
      </c>
      <c r="O3217" s="166">
        <f t="shared" si="592"/>
        <v>35</v>
      </c>
      <c r="P3217" s="167">
        <f>MIN(F3217:O3217)</f>
        <v>22</v>
      </c>
      <c r="Q3217" s="167">
        <f>E3217-P3217</f>
        <v>23</v>
      </c>
      <c r="R3217" s="168">
        <f>Q3217/E3217</f>
        <v>0.51111111111111107</v>
      </c>
      <c r="S3217" s="503"/>
    </row>
    <row r="3218" spans="1:19" ht="9.75" customHeight="1">
      <c r="A3218" s="503"/>
      <c r="B3218" s="503"/>
      <c r="C3218" s="57" t="s">
        <v>440</v>
      </c>
      <c r="D3218" s="108" t="s">
        <v>23</v>
      </c>
      <c r="E3218" s="108"/>
      <c r="F3218" s="91"/>
      <c r="G3218" s="91"/>
      <c r="H3218" s="91"/>
      <c r="I3218" s="91"/>
      <c r="J3218" s="91"/>
      <c r="K3218" s="91"/>
      <c r="L3218" s="91"/>
      <c r="M3218" s="91"/>
      <c r="N3218" s="91"/>
      <c r="O3218" s="108"/>
      <c r="P3218" s="91"/>
      <c r="Q3218" s="91"/>
      <c r="R3218" s="107"/>
      <c r="S3218" s="503"/>
    </row>
    <row r="3219" spans="1:19" ht="9.75" customHeight="1">
      <c r="A3219" s="503"/>
      <c r="B3219" s="503"/>
      <c r="C3219" s="58" t="s">
        <v>353</v>
      </c>
      <c r="D3219" s="108" t="s">
        <v>25</v>
      </c>
      <c r="E3219" s="108"/>
      <c r="F3219" s="91"/>
      <c r="G3219" s="91"/>
      <c r="H3219" s="91"/>
      <c r="I3219" s="91"/>
      <c r="J3219" s="91"/>
      <c r="K3219" s="91"/>
      <c r="L3219" s="91"/>
      <c r="M3219" s="91"/>
      <c r="N3219" s="91"/>
      <c r="O3219" s="108"/>
      <c r="P3219" s="91"/>
      <c r="Q3219" s="91"/>
      <c r="R3219" s="107"/>
      <c r="S3219" s="503"/>
    </row>
    <row r="3220" spans="1:19" ht="9.75" customHeight="1">
      <c r="A3220" s="503"/>
      <c r="B3220" s="503"/>
      <c r="C3220" s="58" t="s">
        <v>74</v>
      </c>
      <c r="D3220" s="108" t="s">
        <v>27</v>
      </c>
      <c r="E3220" s="108"/>
      <c r="F3220" s="91"/>
      <c r="G3220" s="91"/>
      <c r="H3220" s="91"/>
      <c r="I3220" s="91"/>
      <c r="J3220" s="91"/>
      <c r="K3220" s="91"/>
      <c r="L3220" s="91"/>
      <c r="M3220" s="91"/>
      <c r="N3220" s="91"/>
      <c r="O3220" s="108"/>
      <c r="P3220" s="91"/>
      <c r="Q3220" s="91"/>
      <c r="R3220" s="107"/>
      <c r="S3220" s="503"/>
    </row>
    <row r="3221" spans="1:19" ht="9.75" customHeight="1">
      <c r="A3221" s="503"/>
      <c r="B3221" s="503"/>
      <c r="C3221" s="13"/>
      <c r="D3221" s="108" t="s">
        <v>115</v>
      </c>
      <c r="E3221" s="108"/>
      <c r="F3221" s="91"/>
      <c r="G3221" s="91"/>
      <c r="H3221" s="91"/>
      <c r="I3221" s="91"/>
      <c r="J3221" s="91"/>
      <c r="K3221" s="91"/>
      <c r="L3221" s="91"/>
      <c r="M3221" s="91"/>
      <c r="N3221" s="91"/>
      <c r="O3221" s="108"/>
      <c r="P3221" s="91"/>
      <c r="Q3221" s="91"/>
      <c r="R3221" s="107"/>
      <c r="S3221" s="503"/>
    </row>
    <row r="3222" spans="1:19" ht="9.75" customHeight="1">
      <c r="A3222" s="503"/>
      <c r="B3222" s="503"/>
      <c r="C3222" s="1"/>
      <c r="D3222" s="108" t="s">
        <v>115</v>
      </c>
      <c r="E3222" s="108"/>
      <c r="F3222" s="91"/>
      <c r="G3222" s="91"/>
      <c r="H3222" s="91"/>
      <c r="I3222" s="91"/>
      <c r="J3222" s="91"/>
      <c r="K3222" s="91"/>
      <c r="L3222" s="91"/>
      <c r="M3222" s="91"/>
      <c r="N3222" s="91"/>
      <c r="O3222" s="108"/>
      <c r="P3222" s="91"/>
      <c r="Q3222" s="91"/>
      <c r="R3222" s="107"/>
      <c r="S3222" s="503"/>
    </row>
    <row r="3223" spans="1:19" ht="9.75" customHeight="1">
      <c r="A3223" s="503"/>
      <c r="B3223" s="503"/>
      <c r="C3223" s="1"/>
      <c r="D3223" s="108" t="s">
        <v>32</v>
      </c>
      <c r="E3223" s="108"/>
      <c r="F3223" s="91"/>
      <c r="G3223" s="91"/>
      <c r="H3223" s="91"/>
      <c r="I3223" s="91"/>
      <c r="J3223" s="91"/>
      <c r="K3223" s="91"/>
      <c r="L3223" s="91"/>
      <c r="M3223" s="91"/>
      <c r="N3223" s="91"/>
      <c r="O3223" s="108"/>
      <c r="P3223" s="91"/>
      <c r="Q3223" s="91"/>
      <c r="R3223" s="107"/>
      <c r="S3223" s="503"/>
    </row>
    <row r="3224" spans="1:19" ht="9.75" customHeight="1">
      <c r="A3224" s="503"/>
      <c r="B3224" s="503"/>
      <c r="C3224" s="1"/>
      <c r="D3224" s="108" t="s">
        <v>441</v>
      </c>
      <c r="E3224" s="136"/>
      <c r="F3224" s="11"/>
      <c r="G3224" s="11"/>
      <c r="H3224" s="11"/>
      <c r="I3224" s="11"/>
      <c r="J3224" s="11"/>
      <c r="K3224" s="11"/>
      <c r="L3224" s="11"/>
      <c r="M3224" s="11"/>
      <c r="N3224" s="11"/>
      <c r="O3224" s="136"/>
      <c r="P3224" s="11"/>
      <c r="Q3224" s="11"/>
      <c r="R3224" s="122"/>
      <c r="S3224" s="503"/>
    </row>
    <row r="3225" spans="1:19" ht="9.75" customHeight="1">
      <c r="A3225" s="503"/>
      <c r="B3225" s="503"/>
      <c r="C3225" s="1"/>
      <c r="D3225" s="108" t="s">
        <v>191</v>
      </c>
      <c r="E3225" s="108"/>
      <c r="F3225" s="91"/>
      <c r="G3225" s="91"/>
      <c r="H3225" s="91"/>
      <c r="I3225" s="91"/>
      <c r="J3225" s="91"/>
      <c r="K3225" s="91"/>
      <c r="L3225" s="91"/>
      <c r="M3225" s="91"/>
      <c r="N3225" s="91"/>
      <c r="O3225" s="108"/>
      <c r="P3225" s="91"/>
      <c r="Q3225" s="91"/>
      <c r="R3225" s="107"/>
      <c r="S3225" s="503"/>
    </row>
    <row r="3226" spans="1:19" ht="9.75" customHeight="1">
      <c r="A3226" s="503"/>
      <c r="B3226" s="503"/>
      <c r="C3226" s="1"/>
      <c r="D3226" s="108" t="s">
        <v>120</v>
      </c>
      <c r="E3226" s="108"/>
      <c r="F3226" s="91"/>
      <c r="G3226" s="91"/>
      <c r="H3226" s="91"/>
      <c r="I3226" s="91"/>
      <c r="J3226" s="91"/>
      <c r="K3226" s="91"/>
      <c r="L3226" s="91"/>
      <c r="M3226" s="91"/>
      <c r="N3226" s="91"/>
      <c r="O3226" s="108"/>
      <c r="P3226" s="91"/>
      <c r="Q3226" s="91"/>
      <c r="R3226" s="107"/>
      <c r="S3226" s="503"/>
    </row>
    <row r="3227" spans="1:19" ht="9.75" customHeight="1">
      <c r="A3227" s="503"/>
      <c r="B3227" s="503"/>
      <c r="C3227" s="1"/>
      <c r="D3227" s="108" t="s">
        <v>120</v>
      </c>
      <c r="E3227" s="108"/>
      <c r="F3227" s="91"/>
      <c r="G3227" s="91"/>
      <c r="H3227" s="91"/>
      <c r="I3227" s="91"/>
      <c r="J3227" s="91"/>
      <c r="K3227" s="91"/>
      <c r="L3227" s="91"/>
      <c r="M3227" s="91"/>
      <c r="N3227" s="91"/>
      <c r="O3227" s="108"/>
      <c r="P3227" s="91"/>
      <c r="Q3227" s="91"/>
      <c r="R3227" s="107"/>
      <c r="S3227" s="503"/>
    </row>
    <row r="3228" spans="1:19" ht="9.75" customHeight="1">
      <c r="A3228" s="503"/>
      <c r="B3228" s="503"/>
      <c r="C3228" s="1"/>
      <c r="D3228" s="108" t="s">
        <v>120</v>
      </c>
      <c r="E3228" s="108"/>
      <c r="F3228" s="91"/>
      <c r="G3228" s="91"/>
      <c r="H3228" s="91"/>
      <c r="I3228" s="91"/>
      <c r="J3228" s="91"/>
      <c r="K3228" s="91"/>
      <c r="L3228" s="91"/>
      <c r="M3228" s="91"/>
      <c r="N3228" s="91"/>
      <c r="O3228" s="108"/>
      <c r="P3228" s="91"/>
      <c r="Q3228" s="91"/>
      <c r="R3228" s="107"/>
      <c r="S3228" s="503"/>
    </row>
    <row r="3229" spans="1:19" ht="9.75" customHeight="1">
      <c r="A3229" s="503"/>
      <c r="B3229" s="503"/>
      <c r="C3229" s="1"/>
      <c r="D3229" s="108" t="s">
        <v>120</v>
      </c>
      <c r="E3229" s="108"/>
      <c r="F3229" s="91"/>
      <c r="G3229" s="91"/>
      <c r="H3229" s="91"/>
      <c r="I3229" s="91"/>
      <c r="J3229" s="91"/>
      <c r="K3229" s="91"/>
      <c r="L3229" s="91"/>
      <c r="M3229" s="91"/>
      <c r="N3229" s="91"/>
      <c r="O3229" s="108"/>
      <c r="P3229" s="91"/>
      <c r="Q3229" s="91"/>
      <c r="R3229" s="107"/>
      <c r="S3229" s="503"/>
    </row>
    <row r="3230" spans="1:19" ht="9.75" customHeight="1">
      <c r="A3230" s="503"/>
      <c r="B3230" s="503"/>
      <c r="C3230" s="1"/>
      <c r="D3230" s="108" t="s">
        <v>34</v>
      </c>
      <c r="E3230" s="108"/>
      <c r="F3230" s="91"/>
      <c r="G3230" s="91"/>
      <c r="H3230" s="91"/>
      <c r="I3230" s="91"/>
      <c r="J3230" s="91"/>
      <c r="K3230" s="91"/>
      <c r="L3230" s="91"/>
      <c r="M3230" s="91"/>
      <c r="N3230" s="91"/>
      <c r="O3230" s="108"/>
      <c r="P3230" s="91"/>
      <c r="Q3230" s="91"/>
      <c r="R3230" s="107"/>
      <c r="S3230" s="503"/>
    </row>
    <row r="3231" spans="1:19" ht="9.75" customHeight="1">
      <c r="A3231" s="503"/>
      <c r="B3231" s="503"/>
      <c r="C3231" s="1"/>
      <c r="D3231" s="108" t="s">
        <v>35</v>
      </c>
      <c r="E3231" s="136"/>
      <c r="F3231" s="11"/>
      <c r="G3231" s="11"/>
      <c r="H3231" s="11"/>
      <c r="I3231" s="11"/>
      <c r="J3231" s="11"/>
      <c r="K3231" s="11"/>
      <c r="L3231" s="11"/>
      <c r="M3231" s="11"/>
      <c r="N3231" s="11"/>
      <c r="O3231" s="136"/>
      <c r="P3231" s="11"/>
      <c r="Q3231" s="11"/>
      <c r="R3231" s="122"/>
      <c r="S3231" s="503"/>
    </row>
    <row r="3232" spans="1:19" ht="9.75" customHeight="1">
      <c r="A3232" s="503"/>
      <c r="B3232" s="503"/>
      <c r="C3232" s="1"/>
      <c r="D3232" s="108" t="s">
        <v>36</v>
      </c>
      <c r="E3232" s="136">
        <v>2</v>
      </c>
      <c r="F3232" s="11">
        <v>2</v>
      </c>
      <c r="G3232" s="11">
        <v>2</v>
      </c>
      <c r="H3232" s="11">
        <v>2</v>
      </c>
      <c r="I3232" s="11">
        <v>2</v>
      </c>
      <c r="J3232" s="11">
        <v>2</v>
      </c>
      <c r="K3232" s="11">
        <v>1</v>
      </c>
      <c r="L3232" s="11">
        <v>1</v>
      </c>
      <c r="M3232" s="11">
        <v>1</v>
      </c>
      <c r="N3232" s="11">
        <v>1</v>
      </c>
      <c r="O3232" s="136">
        <v>1</v>
      </c>
      <c r="P3232" s="11">
        <f t="shared" ref="P3232:P3234" si="593">MIN(F3232:O3232)</f>
        <v>1</v>
      </c>
      <c r="Q3232" s="11">
        <f t="shared" ref="Q3232:Q3234" si="594">E3232-P3232</f>
        <v>1</v>
      </c>
      <c r="R3232" s="122">
        <f t="shared" ref="R3232:R3234" si="595">Q3232/E3232</f>
        <v>0.5</v>
      </c>
      <c r="S3232" s="503"/>
    </row>
    <row r="3233" spans="1:19" ht="9.75" customHeight="1">
      <c r="A3233" s="503"/>
      <c r="B3233" s="503"/>
      <c r="C3233" s="1"/>
      <c r="D3233" s="113" t="s">
        <v>37</v>
      </c>
      <c r="E3233" s="144">
        <v>2</v>
      </c>
      <c r="F3233" s="143">
        <v>2</v>
      </c>
      <c r="G3233" s="143">
        <v>2</v>
      </c>
      <c r="H3233" s="143">
        <v>2</v>
      </c>
      <c r="I3233" s="143">
        <v>0</v>
      </c>
      <c r="J3233" s="143">
        <v>0</v>
      </c>
      <c r="K3233" s="143">
        <v>0</v>
      </c>
      <c r="L3233" s="143">
        <v>0</v>
      </c>
      <c r="M3233" s="143">
        <v>0</v>
      </c>
      <c r="N3233" s="143">
        <v>1</v>
      </c>
      <c r="O3233" s="144">
        <v>2</v>
      </c>
      <c r="P3233" s="11">
        <f t="shared" si="593"/>
        <v>0</v>
      </c>
      <c r="Q3233" s="11">
        <f t="shared" si="594"/>
        <v>2</v>
      </c>
      <c r="R3233" s="122">
        <f t="shared" si="595"/>
        <v>1</v>
      </c>
      <c r="S3233" s="503"/>
    </row>
    <row r="3234" spans="1:19" ht="9.75" customHeight="1">
      <c r="A3234" s="503"/>
      <c r="B3234" s="503" t="s">
        <v>127</v>
      </c>
      <c r="C3234" s="25"/>
      <c r="D3234" s="5" t="s">
        <v>38</v>
      </c>
      <c r="E3234" s="166">
        <f t="shared" ref="E3234:O3234" si="596">SUM(E3218:E3233)</f>
        <v>4</v>
      </c>
      <c r="F3234" s="167">
        <f t="shared" si="596"/>
        <v>4</v>
      </c>
      <c r="G3234" s="167">
        <f t="shared" si="596"/>
        <v>4</v>
      </c>
      <c r="H3234" s="167">
        <f t="shared" si="596"/>
        <v>4</v>
      </c>
      <c r="I3234" s="167">
        <f t="shared" si="596"/>
        <v>2</v>
      </c>
      <c r="J3234" s="167">
        <f t="shared" si="596"/>
        <v>2</v>
      </c>
      <c r="K3234" s="167">
        <f t="shared" si="596"/>
        <v>1</v>
      </c>
      <c r="L3234" s="167">
        <f t="shared" si="596"/>
        <v>1</v>
      </c>
      <c r="M3234" s="167">
        <f t="shared" si="596"/>
        <v>1</v>
      </c>
      <c r="N3234" s="167">
        <f t="shared" si="596"/>
        <v>2</v>
      </c>
      <c r="O3234" s="166">
        <f t="shared" si="596"/>
        <v>3</v>
      </c>
      <c r="P3234" s="16">
        <f t="shared" si="593"/>
        <v>1</v>
      </c>
      <c r="Q3234" s="16">
        <f t="shared" si="594"/>
        <v>3</v>
      </c>
      <c r="R3234" s="59">
        <f t="shared" si="595"/>
        <v>0.75</v>
      </c>
      <c r="S3234" s="503"/>
    </row>
    <row r="3235" spans="1:19" ht="9.75" customHeight="1">
      <c r="A3235" s="503"/>
      <c r="B3235" s="503"/>
      <c r="C3235" s="1" t="s">
        <v>442</v>
      </c>
      <c r="D3235" s="108" t="s">
        <v>23</v>
      </c>
      <c r="E3235" s="108"/>
      <c r="F3235" s="91"/>
      <c r="G3235" s="91"/>
      <c r="H3235" s="91"/>
      <c r="I3235" s="91"/>
      <c r="J3235" s="91"/>
      <c r="K3235" s="91"/>
      <c r="L3235" s="91"/>
      <c r="M3235" s="91"/>
      <c r="N3235" s="91"/>
      <c r="O3235" s="108"/>
      <c r="P3235" s="91"/>
      <c r="Q3235" s="91"/>
      <c r="R3235" s="107"/>
      <c r="S3235" s="503"/>
    </row>
    <row r="3236" spans="1:19" ht="9.75" customHeight="1">
      <c r="A3236" s="503"/>
      <c r="B3236" s="503"/>
      <c r="C3236" s="13"/>
      <c r="D3236" s="108" t="s">
        <v>25</v>
      </c>
      <c r="E3236" s="136">
        <v>7</v>
      </c>
      <c r="F3236" s="11">
        <v>0</v>
      </c>
      <c r="G3236" s="11">
        <v>0</v>
      </c>
      <c r="H3236" s="11">
        <v>0</v>
      </c>
      <c r="I3236" s="11">
        <v>0</v>
      </c>
      <c r="J3236" s="11">
        <v>0</v>
      </c>
      <c r="K3236" s="11">
        <v>0</v>
      </c>
      <c r="L3236" s="11">
        <v>0</v>
      </c>
      <c r="M3236" s="11">
        <v>0</v>
      </c>
      <c r="N3236" s="11">
        <v>0</v>
      </c>
      <c r="O3236" s="136">
        <v>0</v>
      </c>
      <c r="P3236" s="11">
        <f>MIN(F3236:O3236)</f>
        <v>0</v>
      </c>
      <c r="Q3236" s="11">
        <f>E3236-P3236</f>
        <v>7</v>
      </c>
      <c r="R3236" s="122">
        <f>Q3236/E3236</f>
        <v>1</v>
      </c>
      <c r="S3236" s="503"/>
    </row>
    <row r="3237" spans="1:19" ht="9.75" customHeight="1">
      <c r="A3237" s="503"/>
      <c r="B3237" s="503"/>
      <c r="C3237" s="13"/>
      <c r="D3237" s="108" t="s">
        <v>27</v>
      </c>
      <c r="E3237" s="108"/>
      <c r="F3237" s="91"/>
      <c r="G3237" s="91"/>
      <c r="H3237" s="91"/>
      <c r="I3237" s="91"/>
      <c r="J3237" s="91"/>
      <c r="K3237" s="91"/>
      <c r="L3237" s="91"/>
      <c r="M3237" s="91"/>
      <c r="N3237" s="91"/>
      <c r="O3237" s="108"/>
      <c r="P3237" s="91"/>
      <c r="Q3237" s="91"/>
      <c r="R3237" s="107"/>
      <c r="S3237" s="503"/>
    </row>
    <row r="3238" spans="1:19" ht="9.75" customHeight="1">
      <c r="A3238" s="503"/>
      <c r="B3238" s="503"/>
      <c r="C3238" s="13"/>
      <c r="D3238" s="108" t="s">
        <v>115</v>
      </c>
      <c r="E3238" s="108"/>
      <c r="F3238" s="91"/>
      <c r="G3238" s="91"/>
      <c r="H3238" s="91"/>
      <c r="I3238" s="91"/>
      <c r="J3238" s="91"/>
      <c r="K3238" s="91"/>
      <c r="L3238" s="91"/>
      <c r="M3238" s="91"/>
      <c r="N3238" s="91"/>
      <c r="O3238" s="108"/>
      <c r="P3238" s="91"/>
      <c r="Q3238" s="91"/>
      <c r="R3238" s="107"/>
      <c r="S3238" s="503"/>
    </row>
    <row r="3239" spans="1:19" ht="9.75" customHeight="1">
      <c r="A3239" s="503"/>
      <c r="B3239" s="503"/>
      <c r="C3239" s="1"/>
      <c r="D3239" s="108" t="s">
        <v>115</v>
      </c>
      <c r="E3239" s="108"/>
      <c r="F3239" s="91"/>
      <c r="G3239" s="91"/>
      <c r="H3239" s="91"/>
      <c r="I3239" s="91"/>
      <c r="J3239" s="91"/>
      <c r="K3239" s="91"/>
      <c r="L3239" s="91"/>
      <c r="M3239" s="91"/>
      <c r="N3239" s="91"/>
      <c r="O3239" s="108"/>
      <c r="P3239" s="91"/>
      <c r="Q3239" s="91"/>
      <c r="R3239" s="107"/>
      <c r="S3239" s="503"/>
    </row>
    <row r="3240" spans="1:19" ht="9.75" customHeight="1">
      <c r="A3240" s="503"/>
      <c r="B3240" s="503"/>
      <c r="C3240" s="1"/>
      <c r="D3240" s="108" t="s">
        <v>32</v>
      </c>
      <c r="E3240" s="136">
        <v>4</v>
      </c>
      <c r="F3240" s="11">
        <v>1</v>
      </c>
      <c r="G3240" s="11">
        <v>1</v>
      </c>
      <c r="H3240" s="11">
        <v>1</v>
      </c>
      <c r="I3240" s="11">
        <v>2</v>
      </c>
      <c r="J3240" s="11">
        <v>2</v>
      </c>
      <c r="K3240" s="11">
        <v>2</v>
      </c>
      <c r="L3240" s="11">
        <v>1</v>
      </c>
      <c r="M3240" s="11">
        <v>1</v>
      </c>
      <c r="N3240" s="11">
        <v>1</v>
      </c>
      <c r="O3240" s="136">
        <v>1</v>
      </c>
      <c r="P3240" s="11">
        <f>MIN(F3240:O3240)</f>
        <v>1</v>
      </c>
      <c r="Q3240" s="11">
        <f>E3240-P3240</f>
        <v>3</v>
      </c>
      <c r="R3240" s="122">
        <f>Q3240/E3240</f>
        <v>0.75</v>
      </c>
      <c r="S3240" s="503"/>
    </row>
    <row r="3241" spans="1:19" ht="9.75" customHeight="1">
      <c r="A3241" s="503"/>
      <c r="B3241" s="503"/>
      <c r="C3241" s="1"/>
      <c r="D3241" s="108" t="s">
        <v>120</v>
      </c>
      <c r="E3241" s="108"/>
      <c r="F3241" s="91"/>
      <c r="G3241" s="91"/>
      <c r="H3241" s="91"/>
      <c r="I3241" s="91"/>
      <c r="J3241" s="91"/>
      <c r="K3241" s="91"/>
      <c r="L3241" s="91"/>
      <c r="M3241" s="91"/>
      <c r="N3241" s="91"/>
      <c r="O3241" s="108"/>
      <c r="P3241" s="91"/>
      <c r="Q3241" s="91"/>
      <c r="R3241" s="107"/>
      <c r="S3241" s="503"/>
    </row>
    <row r="3242" spans="1:19" ht="9.75" customHeight="1">
      <c r="A3242" s="503"/>
      <c r="B3242" s="503"/>
      <c r="C3242" s="1"/>
      <c r="D3242" s="108" t="s">
        <v>120</v>
      </c>
      <c r="E3242" s="108"/>
      <c r="F3242" s="91"/>
      <c r="G3242" s="91"/>
      <c r="H3242" s="91"/>
      <c r="I3242" s="91"/>
      <c r="J3242" s="91"/>
      <c r="K3242" s="91"/>
      <c r="L3242" s="91"/>
      <c r="M3242" s="91"/>
      <c r="N3242" s="91"/>
      <c r="O3242" s="108"/>
      <c r="P3242" s="91"/>
      <c r="Q3242" s="91"/>
      <c r="R3242" s="107"/>
      <c r="S3242" s="503"/>
    </row>
    <row r="3243" spans="1:19" ht="9.75" customHeight="1">
      <c r="A3243" s="503"/>
      <c r="B3243" s="503"/>
      <c r="C3243" s="1"/>
      <c r="D3243" s="108" t="s">
        <v>120</v>
      </c>
      <c r="E3243" s="108"/>
      <c r="F3243" s="91"/>
      <c r="G3243" s="91"/>
      <c r="H3243" s="91"/>
      <c r="I3243" s="91"/>
      <c r="J3243" s="91"/>
      <c r="K3243" s="91"/>
      <c r="L3243" s="91"/>
      <c r="M3243" s="91"/>
      <c r="N3243" s="91"/>
      <c r="O3243" s="108"/>
      <c r="P3243" s="91"/>
      <c r="Q3243" s="91"/>
      <c r="R3243" s="107"/>
      <c r="S3243" s="503"/>
    </row>
    <row r="3244" spans="1:19" ht="9.75" customHeight="1">
      <c r="A3244" s="503"/>
      <c r="B3244" s="503"/>
      <c r="C3244" s="1"/>
      <c r="D3244" s="108" t="s">
        <v>120</v>
      </c>
      <c r="E3244" s="108"/>
      <c r="F3244" s="91"/>
      <c r="G3244" s="91"/>
      <c r="H3244" s="91"/>
      <c r="I3244" s="91"/>
      <c r="J3244" s="91"/>
      <c r="K3244" s="91"/>
      <c r="L3244" s="91"/>
      <c r="M3244" s="91"/>
      <c r="N3244" s="91"/>
      <c r="O3244" s="108"/>
      <c r="P3244" s="91"/>
      <c r="Q3244" s="91"/>
      <c r="R3244" s="107"/>
      <c r="S3244" s="503"/>
    </row>
    <row r="3245" spans="1:19" ht="9.75" customHeight="1">
      <c r="A3245" s="503"/>
      <c r="B3245" s="503"/>
      <c r="C3245" s="1"/>
      <c r="D3245" s="108" t="s">
        <v>120</v>
      </c>
      <c r="E3245" s="108"/>
      <c r="F3245" s="91"/>
      <c r="G3245" s="91"/>
      <c r="H3245" s="91"/>
      <c r="I3245" s="91"/>
      <c r="J3245" s="91"/>
      <c r="K3245" s="91"/>
      <c r="L3245" s="91"/>
      <c r="M3245" s="91"/>
      <c r="N3245" s="91"/>
      <c r="O3245" s="108"/>
      <c r="P3245" s="91"/>
      <c r="Q3245" s="91"/>
      <c r="R3245" s="107"/>
      <c r="S3245" s="503"/>
    </row>
    <row r="3246" spans="1:19" ht="9.75" customHeight="1">
      <c r="A3246" s="503"/>
      <c r="B3246" s="503"/>
      <c r="C3246" s="1"/>
      <c r="D3246" s="108" t="s">
        <v>120</v>
      </c>
      <c r="E3246" s="108"/>
      <c r="F3246" s="91"/>
      <c r="G3246" s="91"/>
      <c r="H3246" s="91"/>
      <c r="I3246" s="91"/>
      <c r="J3246" s="91"/>
      <c r="K3246" s="91"/>
      <c r="L3246" s="91"/>
      <c r="M3246" s="91"/>
      <c r="N3246" s="91"/>
      <c r="O3246" s="108"/>
      <c r="P3246" s="91"/>
      <c r="Q3246" s="91"/>
      <c r="R3246" s="107"/>
      <c r="S3246" s="503"/>
    </row>
    <row r="3247" spans="1:19" ht="9.75" customHeight="1">
      <c r="A3247" s="503"/>
      <c r="B3247" s="503"/>
      <c r="C3247" s="1"/>
      <c r="D3247" s="108" t="s">
        <v>34</v>
      </c>
      <c r="E3247" s="136">
        <v>3</v>
      </c>
      <c r="F3247" s="11">
        <v>0</v>
      </c>
      <c r="G3247" s="11">
        <v>0</v>
      </c>
      <c r="H3247" s="11">
        <v>0</v>
      </c>
      <c r="I3247" s="11">
        <v>1</v>
      </c>
      <c r="J3247" s="11">
        <v>1</v>
      </c>
      <c r="K3247" s="11">
        <v>2</v>
      </c>
      <c r="L3247" s="11">
        <v>2</v>
      </c>
      <c r="M3247" s="11">
        <v>1</v>
      </c>
      <c r="N3247" s="11">
        <v>1</v>
      </c>
      <c r="O3247" s="136">
        <v>1</v>
      </c>
      <c r="P3247" s="11">
        <f t="shared" ref="P3247:P3248" si="597">MIN(F3247:O3247)</f>
        <v>0</v>
      </c>
      <c r="Q3247" s="11">
        <f t="shared" ref="Q3247:Q3248" si="598">E3247-P3247</f>
        <v>3</v>
      </c>
      <c r="R3247" s="122">
        <f t="shared" ref="R3247:R3248" si="599">Q3247/E3247</f>
        <v>1</v>
      </c>
      <c r="S3247" s="503"/>
    </row>
    <row r="3248" spans="1:19" ht="9.75" customHeight="1">
      <c r="A3248" s="503"/>
      <c r="B3248" s="503"/>
      <c r="C3248" s="1"/>
      <c r="D3248" s="108" t="s">
        <v>35</v>
      </c>
      <c r="E3248" s="136">
        <v>3</v>
      </c>
      <c r="F3248" s="11">
        <v>1</v>
      </c>
      <c r="G3248" s="11">
        <v>1</v>
      </c>
      <c r="H3248" s="11">
        <v>2</v>
      </c>
      <c r="I3248" s="11">
        <v>0</v>
      </c>
      <c r="J3248" s="11">
        <v>2</v>
      </c>
      <c r="K3248" s="11">
        <v>0</v>
      </c>
      <c r="L3248" s="11">
        <v>0</v>
      </c>
      <c r="M3248" s="11">
        <v>2</v>
      </c>
      <c r="N3248" s="11">
        <v>1</v>
      </c>
      <c r="O3248" s="136">
        <v>0</v>
      </c>
      <c r="P3248" s="11">
        <f t="shared" si="597"/>
        <v>0</v>
      </c>
      <c r="Q3248" s="11">
        <f t="shared" si="598"/>
        <v>3</v>
      </c>
      <c r="R3248" s="122">
        <f t="shared" si="599"/>
        <v>1</v>
      </c>
      <c r="S3248" s="503"/>
    </row>
    <row r="3249" spans="1:19" ht="9.75" customHeight="1">
      <c r="A3249" s="503"/>
      <c r="B3249" s="503"/>
      <c r="C3249" s="1"/>
      <c r="D3249" s="108" t="s">
        <v>36</v>
      </c>
      <c r="E3249" s="108"/>
      <c r="F3249" s="91"/>
      <c r="G3249" s="91"/>
      <c r="H3249" s="91"/>
      <c r="I3249" s="91"/>
      <c r="J3249" s="91"/>
      <c r="K3249" s="91"/>
      <c r="L3249" s="91"/>
      <c r="M3249" s="91"/>
      <c r="N3249" s="91"/>
      <c r="O3249" s="108"/>
      <c r="P3249" s="91"/>
      <c r="Q3249" s="91"/>
      <c r="R3249" s="107"/>
      <c r="S3249" s="503"/>
    </row>
    <row r="3250" spans="1:19" ht="9.75" customHeight="1">
      <c r="A3250" s="503"/>
      <c r="B3250" s="503"/>
      <c r="C3250" s="1"/>
      <c r="D3250" s="113" t="s">
        <v>37</v>
      </c>
      <c r="E3250" s="113"/>
      <c r="F3250" s="112"/>
      <c r="G3250" s="112"/>
      <c r="H3250" s="112"/>
      <c r="I3250" s="112"/>
      <c r="J3250" s="112"/>
      <c r="K3250" s="112"/>
      <c r="L3250" s="112"/>
      <c r="M3250" s="112"/>
      <c r="N3250" s="112"/>
      <c r="O3250" s="113"/>
      <c r="P3250" s="112"/>
      <c r="Q3250" s="112"/>
      <c r="R3250" s="165"/>
      <c r="S3250" s="503"/>
    </row>
    <row r="3251" spans="1:19" ht="9.75" customHeight="1">
      <c r="A3251" s="503"/>
      <c r="B3251" s="503" t="s">
        <v>127</v>
      </c>
      <c r="C3251" s="25"/>
      <c r="D3251" s="5" t="s">
        <v>38</v>
      </c>
      <c r="E3251" s="166">
        <f t="shared" ref="E3251:O3251" si="600">SUM(E3235:E3250)</f>
        <v>17</v>
      </c>
      <c r="F3251" s="167">
        <f>SUM(F3235:F3250)</f>
        <v>2</v>
      </c>
      <c r="G3251" s="167">
        <f>SUM(G3235:G3250)</f>
        <v>2</v>
      </c>
      <c r="H3251" s="167">
        <f>SUM(H3235:H3250)</f>
        <v>3</v>
      </c>
      <c r="I3251" s="167">
        <f>SUM(I3235:I3250)</f>
        <v>3</v>
      </c>
      <c r="J3251" s="167">
        <f>SUM(J3235:J3250)</f>
        <v>5</v>
      </c>
      <c r="K3251" s="167">
        <f t="shared" si="600"/>
        <v>4</v>
      </c>
      <c r="L3251" s="167">
        <f t="shared" si="600"/>
        <v>3</v>
      </c>
      <c r="M3251" s="167">
        <f t="shared" si="600"/>
        <v>4</v>
      </c>
      <c r="N3251" s="167">
        <f t="shared" si="600"/>
        <v>3</v>
      </c>
      <c r="O3251" s="166">
        <f t="shared" si="600"/>
        <v>2</v>
      </c>
      <c r="P3251" s="167">
        <f>MIN(F3251:O3251)</f>
        <v>2</v>
      </c>
      <c r="Q3251" s="167">
        <f>E3251-P3251</f>
        <v>15</v>
      </c>
      <c r="R3251" s="168">
        <f>Q3251/E3251</f>
        <v>0.88235294117647056</v>
      </c>
      <c r="S3251" s="503"/>
    </row>
    <row r="3252" spans="1:19" ht="9.75" customHeight="1">
      <c r="A3252" s="503"/>
      <c r="B3252" s="503"/>
      <c r="C3252" s="1" t="s">
        <v>443</v>
      </c>
      <c r="D3252" s="108" t="s">
        <v>23</v>
      </c>
      <c r="E3252" s="108"/>
      <c r="F3252" s="91"/>
      <c r="G3252" s="91"/>
      <c r="H3252" s="91"/>
      <c r="I3252" s="91"/>
      <c r="J3252" s="91"/>
      <c r="K3252" s="91"/>
      <c r="L3252" s="91"/>
      <c r="M3252" s="91"/>
      <c r="N3252" s="91"/>
      <c r="O3252" s="108"/>
      <c r="P3252" s="91"/>
      <c r="Q3252" s="91"/>
      <c r="R3252" s="107"/>
      <c r="S3252" s="503"/>
    </row>
    <row r="3253" spans="1:19" ht="9.75" customHeight="1">
      <c r="A3253" s="503"/>
      <c r="B3253" s="503"/>
      <c r="C3253" s="13"/>
      <c r="D3253" s="108" t="s">
        <v>25</v>
      </c>
      <c r="E3253" s="108"/>
      <c r="F3253" s="91"/>
      <c r="G3253" s="91"/>
      <c r="H3253" s="91"/>
      <c r="I3253" s="91"/>
      <c r="J3253" s="91"/>
      <c r="K3253" s="91"/>
      <c r="L3253" s="91"/>
      <c r="M3253" s="91"/>
      <c r="N3253" s="91"/>
      <c r="O3253" s="108"/>
      <c r="P3253" s="91"/>
      <c r="Q3253" s="91"/>
      <c r="R3253" s="107"/>
      <c r="S3253" s="503"/>
    </row>
    <row r="3254" spans="1:19" ht="9.75" customHeight="1">
      <c r="A3254" s="503"/>
      <c r="B3254" s="503"/>
      <c r="C3254" s="13"/>
      <c r="D3254" s="108" t="s">
        <v>27</v>
      </c>
      <c r="E3254" s="108"/>
      <c r="F3254" s="91"/>
      <c r="G3254" s="91"/>
      <c r="H3254" s="91"/>
      <c r="I3254" s="91"/>
      <c r="J3254" s="91"/>
      <c r="K3254" s="91"/>
      <c r="L3254" s="91"/>
      <c r="M3254" s="91"/>
      <c r="N3254" s="91"/>
      <c r="O3254" s="108"/>
      <c r="P3254" s="91"/>
      <c r="Q3254" s="91"/>
      <c r="R3254" s="107"/>
      <c r="S3254" s="503"/>
    </row>
    <row r="3255" spans="1:19" ht="9.75" customHeight="1">
      <c r="A3255" s="503"/>
      <c r="B3255" s="503"/>
      <c r="C3255" s="13"/>
      <c r="D3255" s="108" t="s">
        <v>115</v>
      </c>
      <c r="E3255" s="108"/>
      <c r="F3255" s="91"/>
      <c r="G3255" s="91"/>
      <c r="H3255" s="91"/>
      <c r="I3255" s="91"/>
      <c r="J3255" s="91"/>
      <c r="K3255" s="91"/>
      <c r="L3255" s="91"/>
      <c r="M3255" s="91"/>
      <c r="N3255" s="91"/>
      <c r="O3255" s="108"/>
      <c r="P3255" s="91"/>
      <c r="Q3255" s="91"/>
      <c r="R3255" s="107"/>
      <c r="S3255" s="503"/>
    </row>
    <row r="3256" spans="1:19" ht="9.75" customHeight="1">
      <c r="A3256" s="503"/>
      <c r="B3256" s="503"/>
      <c r="C3256" s="1"/>
      <c r="D3256" s="108" t="s">
        <v>115</v>
      </c>
      <c r="E3256" s="108"/>
      <c r="F3256" s="91"/>
      <c r="G3256" s="91"/>
      <c r="H3256" s="91"/>
      <c r="I3256" s="91"/>
      <c r="J3256" s="91"/>
      <c r="K3256" s="91"/>
      <c r="L3256" s="91"/>
      <c r="M3256" s="91"/>
      <c r="N3256" s="91"/>
      <c r="O3256" s="108"/>
      <c r="P3256" s="91"/>
      <c r="Q3256" s="91"/>
      <c r="R3256" s="107"/>
      <c r="S3256" s="503"/>
    </row>
    <row r="3257" spans="1:19" ht="9.75" customHeight="1">
      <c r="A3257" s="503"/>
      <c r="B3257" s="503"/>
      <c r="C3257" s="1"/>
      <c r="D3257" s="108" t="s">
        <v>32</v>
      </c>
      <c r="E3257" s="136">
        <v>25</v>
      </c>
      <c r="F3257" s="11">
        <v>20</v>
      </c>
      <c r="G3257" s="11">
        <v>21</v>
      </c>
      <c r="H3257" s="11">
        <v>15</v>
      </c>
      <c r="I3257" s="11">
        <v>16</v>
      </c>
      <c r="J3257" s="11">
        <v>17</v>
      </c>
      <c r="K3257" s="11">
        <v>20</v>
      </c>
      <c r="L3257" s="11">
        <v>21</v>
      </c>
      <c r="M3257" s="11">
        <v>22</v>
      </c>
      <c r="N3257" s="11">
        <v>21</v>
      </c>
      <c r="O3257" s="136">
        <v>25</v>
      </c>
      <c r="P3257" s="11">
        <f>MIN(F3257:O3257)</f>
        <v>15</v>
      </c>
      <c r="Q3257" s="11">
        <f>E3257-P3257</f>
        <v>10</v>
      </c>
      <c r="R3257" s="122">
        <f>Q3257/E3257</f>
        <v>0.4</v>
      </c>
      <c r="S3257" s="503"/>
    </row>
    <row r="3258" spans="1:19" ht="9.75" customHeight="1">
      <c r="A3258" s="503"/>
      <c r="B3258" s="503"/>
      <c r="C3258" s="1"/>
      <c r="D3258" s="108" t="s">
        <v>120</v>
      </c>
      <c r="E3258" s="136"/>
      <c r="F3258" s="91"/>
      <c r="G3258" s="91"/>
      <c r="H3258" s="91"/>
      <c r="I3258" s="91"/>
      <c r="J3258" s="91"/>
      <c r="K3258" s="91"/>
      <c r="L3258" s="91"/>
      <c r="M3258" s="91"/>
      <c r="N3258" s="91"/>
      <c r="O3258" s="108"/>
      <c r="P3258" s="91"/>
      <c r="Q3258" s="91"/>
      <c r="R3258" s="107"/>
      <c r="S3258" s="503"/>
    </row>
    <row r="3259" spans="1:19" ht="9.75" customHeight="1">
      <c r="A3259" s="503"/>
      <c r="B3259" s="503"/>
      <c r="C3259" s="1"/>
      <c r="D3259" s="108" t="s">
        <v>444</v>
      </c>
      <c r="E3259" s="136">
        <v>12</v>
      </c>
      <c r="F3259" s="11">
        <v>6</v>
      </c>
      <c r="G3259" s="11">
        <v>12</v>
      </c>
      <c r="H3259" s="11">
        <v>11</v>
      </c>
      <c r="I3259" s="11">
        <v>5</v>
      </c>
      <c r="J3259" s="11">
        <v>6</v>
      </c>
      <c r="K3259" s="11">
        <v>7</v>
      </c>
      <c r="L3259" s="11">
        <v>9</v>
      </c>
      <c r="M3259" s="11">
        <v>10</v>
      </c>
      <c r="N3259" s="11">
        <v>11</v>
      </c>
      <c r="O3259" s="136">
        <v>9</v>
      </c>
      <c r="P3259" s="11">
        <f>MIN(F3259:O3259)</f>
        <v>5</v>
      </c>
      <c r="Q3259" s="11">
        <f>E3259-P3259</f>
        <v>7</v>
      </c>
      <c r="R3259" s="122">
        <f>Q3259/E3259</f>
        <v>0.58333333333333337</v>
      </c>
      <c r="S3259" s="503"/>
    </row>
    <row r="3260" spans="1:19" ht="9.75" customHeight="1">
      <c r="A3260" s="503"/>
      <c r="B3260" s="503"/>
      <c r="C3260" s="1"/>
      <c r="D3260" s="108" t="s">
        <v>120</v>
      </c>
      <c r="E3260" s="108"/>
      <c r="F3260" s="91"/>
      <c r="G3260" s="91"/>
      <c r="H3260" s="91"/>
      <c r="I3260" s="91"/>
      <c r="J3260" s="91"/>
      <c r="K3260" s="91"/>
      <c r="L3260" s="91"/>
      <c r="M3260" s="91"/>
      <c r="N3260" s="91"/>
      <c r="O3260" s="108"/>
      <c r="P3260" s="91"/>
      <c r="Q3260" s="91"/>
      <c r="R3260" s="107"/>
      <c r="S3260" s="503"/>
    </row>
    <row r="3261" spans="1:19" ht="9.75" customHeight="1">
      <c r="A3261" s="503"/>
      <c r="B3261" s="503"/>
      <c r="C3261" s="1"/>
      <c r="D3261" s="108" t="s">
        <v>120</v>
      </c>
      <c r="E3261" s="108"/>
      <c r="F3261" s="91"/>
      <c r="G3261" s="91"/>
      <c r="H3261" s="91"/>
      <c r="I3261" s="91"/>
      <c r="J3261" s="91"/>
      <c r="K3261" s="91"/>
      <c r="L3261" s="91"/>
      <c r="M3261" s="91"/>
      <c r="N3261" s="91"/>
      <c r="O3261" s="108"/>
      <c r="P3261" s="91"/>
      <c r="Q3261" s="91"/>
      <c r="R3261" s="107"/>
      <c r="S3261" s="503"/>
    </row>
    <row r="3262" spans="1:19" ht="9.75" customHeight="1">
      <c r="A3262" s="503"/>
      <c r="B3262" s="503"/>
      <c r="C3262" s="1"/>
      <c r="D3262" s="108" t="s">
        <v>120</v>
      </c>
      <c r="E3262" s="108"/>
      <c r="F3262" s="91"/>
      <c r="G3262" s="91"/>
      <c r="H3262" s="91"/>
      <c r="I3262" s="91"/>
      <c r="J3262" s="91"/>
      <c r="K3262" s="91"/>
      <c r="L3262" s="91"/>
      <c r="M3262" s="91"/>
      <c r="N3262" s="91"/>
      <c r="O3262" s="108"/>
      <c r="P3262" s="91"/>
      <c r="Q3262" s="91"/>
      <c r="R3262" s="107"/>
      <c r="S3262" s="503"/>
    </row>
    <row r="3263" spans="1:19" ht="9.75" customHeight="1">
      <c r="A3263" s="503"/>
      <c r="B3263" s="503"/>
      <c r="C3263" s="1"/>
      <c r="D3263" s="108" t="s">
        <v>120</v>
      </c>
      <c r="E3263" s="108"/>
      <c r="F3263" s="91"/>
      <c r="G3263" s="91"/>
      <c r="H3263" s="91"/>
      <c r="I3263" s="91"/>
      <c r="J3263" s="91"/>
      <c r="K3263" s="91"/>
      <c r="L3263" s="91"/>
      <c r="M3263" s="91"/>
      <c r="N3263" s="91"/>
      <c r="O3263" s="108"/>
      <c r="P3263" s="91"/>
      <c r="Q3263" s="91"/>
      <c r="R3263" s="107"/>
      <c r="S3263" s="503"/>
    </row>
    <row r="3264" spans="1:19" ht="9.75" customHeight="1">
      <c r="A3264" s="503"/>
      <c r="B3264" s="503"/>
      <c r="C3264" s="1"/>
      <c r="D3264" s="108" t="s">
        <v>34</v>
      </c>
      <c r="E3264" s="136">
        <v>3</v>
      </c>
      <c r="F3264" s="11">
        <v>1</v>
      </c>
      <c r="G3264" s="11">
        <v>2</v>
      </c>
      <c r="H3264" s="11">
        <v>2</v>
      </c>
      <c r="I3264" s="11">
        <v>2</v>
      </c>
      <c r="J3264" s="11">
        <v>3</v>
      </c>
      <c r="K3264" s="11">
        <v>2</v>
      </c>
      <c r="L3264" s="11">
        <v>2</v>
      </c>
      <c r="M3264" s="11">
        <v>1</v>
      </c>
      <c r="N3264" s="11">
        <v>2</v>
      </c>
      <c r="O3264" s="136">
        <v>3</v>
      </c>
      <c r="P3264" s="11">
        <f>MIN(F3264:O3264)</f>
        <v>1</v>
      </c>
      <c r="Q3264" s="11">
        <f>E3264-P3264</f>
        <v>2</v>
      </c>
      <c r="R3264" s="122">
        <f>Q3264/E3264</f>
        <v>0.66666666666666663</v>
      </c>
      <c r="S3264" s="503"/>
    </row>
    <row r="3265" spans="1:19" ht="9.75" customHeight="1">
      <c r="A3265" s="503"/>
      <c r="B3265" s="503"/>
      <c r="C3265" s="1"/>
      <c r="D3265" s="108" t="s">
        <v>35</v>
      </c>
      <c r="E3265" s="108"/>
      <c r="F3265" s="91"/>
      <c r="G3265" s="91"/>
      <c r="H3265" s="91"/>
      <c r="I3265" s="91"/>
      <c r="J3265" s="91"/>
      <c r="K3265" s="91"/>
      <c r="L3265" s="91"/>
      <c r="M3265" s="91"/>
      <c r="N3265" s="91"/>
      <c r="O3265" s="108"/>
      <c r="P3265" s="91"/>
      <c r="Q3265" s="91"/>
      <c r="R3265" s="107"/>
      <c r="S3265" s="503"/>
    </row>
    <row r="3266" spans="1:19" ht="9.75" customHeight="1">
      <c r="A3266" s="503"/>
      <c r="B3266" s="503"/>
      <c r="C3266" s="1"/>
      <c r="D3266" s="108" t="s">
        <v>36</v>
      </c>
      <c r="E3266" s="108"/>
      <c r="F3266" s="91"/>
      <c r="G3266" s="91"/>
      <c r="H3266" s="91"/>
      <c r="I3266" s="91"/>
      <c r="J3266" s="91"/>
      <c r="K3266" s="91"/>
      <c r="L3266" s="91"/>
      <c r="M3266" s="91"/>
      <c r="N3266" s="91"/>
      <c r="O3266" s="108"/>
      <c r="P3266" s="91"/>
      <c r="Q3266" s="91"/>
      <c r="R3266" s="107"/>
      <c r="S3266" s="503"/>
    </row>
    <row r="3267" spans="1:19" ht="9.75" customHeight="1">
      <c r="A3267" s="503"/>
      <c r="B3267" s="503"/>
      <c r="C3267" s="1"/>
      <c r="D3267" s="113" t="s">
        <v>37</v>
      </c>
      <c r="E3267" s="113"/>
      <c r="F3267" s="112"/>
      <c r="G3267" s="112"/>
      <c r="H3267" s="112"/>
      <c r="I3267" s="112"/>
      <c r="J3267" s="112"/>
      <c r="K3267" s="112"/>
      <c r="L3267" s="112"/>
      <c r="M3267" s="112"/>
      <c r="N3267" s="112"/>
      <c r="O3267" s="113"/>
      <c r="P3267" s="112"/>
      <c r="Q3267" s="112"/>
      <c r="R3267" s="165"/>
      <c r="S3267" s="503"/>
    </row>
    <row r="3268" spans="1:19" ht="9.75" customHeight="1">
      <c r="A3268" s="503"/>
      <c r="B3268" s="503" t="s">
        <v>127</v>
      </c>
      <c r="C3268" s="25"/>
      <c r="D3268" s="5" t="s">
        <v>38</v>
      </c>
      <c r="E3268" s="166">
        <f t="shared" ref="E3268:O3268" si="601">SUM(E3252:E3267)</f>
        <v>40</v>
      </c>
      <c r="F3268" s="167">
        <f>SUM(F3252:F3267)</f>
        <v>27</v>
      </c>
      <c r="G3268" s="167">
        <f>SUM(G3252:G3267)</f>
        <v>35</v>
      </c>
      <c r="H3268" s="167">
        <f>SUM(H3252:H3267)</f>
        <v>28</v>
      </c>
      <c r="I3268" s="167">
        <f>SUM(I3252:I3267)</f>
        <v>23</v>
      </c>
      <c r="J3268" s="167">
        <f>SUM(J3252:J3267)</f>
        <v>26</v>
      </c>
      <c r="K3268" s="167">
        <f t="shared" si="601"/>
        <v>29</v>
      </c>
      <c r="L3268" s="167">
        <f t="shared" si="601"/>
        <v>32</v>
      </c>
      <c r="M3268" s="167">
        <f t="shared" si="601"/>
        <v>33</v>
      </c>
      <c r="N3268" s="167">
        <f t="shared" si="601"/>
        <v>34</v>
      </c>
      <c r="O3268" s="166">
        <f t="shared" si="601"/>
        <v>37</v>
      </c>
      <c r="P3268" s="167">
        <f t="shared" ref="P3268:P3269" si="602">MIN(F3268:O3268)</f>
        <v>23</v>
      </c>
      <c r="Q3268" s="167">
        <f t="shared" ref="Q3268:Q3269" si="603">E3268-P3268</f>
        <v>17</v>
      </c>
      <c r="R3268" s="168">
        <f t="shared" ref="R3268:R3269" si="604">Q3268/E3268</f>
        <v>0.42499999999999999</v>
      </c>
      <c r="S3268" s="503"/>
    </row>
    <row r="3269" spans="1:19" ht="9.75" customHeight="1">
      <c r="A3269" s="503"/>
      <c r="B3269" s="503"/>
      <c r="C3269" s="1" t="s">
        <v>445</v>
      </c>
      <c r="D3269" s="108" t="s">
        <v>23</v>
      </c>
      <c r="E3269" s="136">
        <v>15</v>
      </c>
      <c r="F3269" s="11">
        <v>5</v>
      </c>
      <c r="G3269" s="11">
        <v>5</v>
      </c>
      <c r="H3269" s="11">
        <v>0</v>
      </c>
      <c r="I3269" s="11">
        <v>0</v>
      </c>
      <c r="J3269" s="11">
        <v>1</v>
      </c>
      <c r="K3269" s="11">
        <v>2</v>
      </c>
      <c r="L3269" s="11">
        <v>4</v>
      </c>
      <c r="M3269" s="11">
        <v>0</v>
      </c>
      <c r="N3269" s="11">
        <v>0</v>
      </c>
      <c r="O3269" s="136">
        <v>1</v>
      </c>
      <c r="P3269" s="11">
        <f t="shared" si="602"/>
        <v>0</v>
      </c>
      <c r="Q3269" s="11">
        <f t="shared" si="603"/>
        <v>15</v>
      </c>
      <c r="R3269" s="122">
        <f t="shared" si="604"/>
        <v>1</v>
      </c>
      <c r="S3269" s="503"/>
    </row>
    <row r="3270" spans="1:19" ht="9.75" customHeight="1">
      <c r="A3270" s="503"/>
      <c r="B3270" s="503"/>
      <c r="C3270" s="13"/>
      <c r="D3270" s="108" t="s">
        <v>25</v>
      </c>
      <c r="E3270" s="108"/>
      <c r="F3270" s="91"/>
      <c r="G3270" s="91"/>
      <c r="H3270" s="91"/>
      <c r="I3270" s="91"/>
      <c r="J3270" s="91"/>
      <c r="K3270" s="91"/>
      <c r="L3270" s="91"/>
      <c r="M3270" s="91"/>
      <c r="N3270" s="91"/>
      <c r="O3270" s="108"/>
      <c r="P3270" s="91"/>
      <c r="Q3270" s="91"/>
      <c r="R3270" s="107"/>
      <c r="S3270" s="503"/>
    </row>
    <row r="3271" spans="1:19" ht="9.75" customHeight="1">
      <c r="A3271" s="503"/>
      <c r="B3271" s="503"/>
      <c r="C3271" s="13"/>
      <c r="D3271" s="108" t="s">
        <v>27</v>
      </c>
      <c r="E3271" s="108"/>
      <c r="F3271" s="91"/>
      <c r="G3271" s="91"/>
      <c r="H3271" s="91"/>
      <c r="I3271" s="91"/>
      <c r="J3271" s="91"/>
      <c r="K3271" s="91"/>
      <c r="L3271" s="91"/>
      <c r="M3271" s="91"/>
      <c r="N3271" s="91"/>
      <c r="O3271" s="108"/>
      <c r="P3271" s="91"/>
      <c r="Q3271" s="91"/>
      <c r="R3271" s="107"/>
      <c r="S3271" s="503"/>
    </row>
    <row r="3272" spans="1:19" ht="9.75" customHeight="1">
      <c r="A3272" s="503"/>
      <c r="B3272" s="503"/>
      <c r="C3272" s="13"/>
      <c r="D3272" s="108" t="s">
        <v>115</v>
      </c>
      <c r="E3272" s="108"/>
      <c r="F3272" s="91"/>
      <c r="G3272" s="91"/>
      <c r="H3272" s="91"/>
      <c r="I3272" s="91"/>
      <c r="J3272" s="91"/>
      <c r="K3272" s="91"/>
      <c r="L3272" s="91"/>
      <c r="M3272" s="91"/>
      <c r="N3272" s="91"/>
      <c r="O3272" s="108"/>
      <c r="P3272" s="91"/>
      <c r="Q3272" s="91"/>
      <c r="R3272" s="107"/>
      <c r="S3272" s="503"/>
    </row>
    <row r="3273" spans="1:19" ht="9.75" customHeight="1">
      <c r="A3273" s="503"/>
      <c r="B3273" s="503"/>
      <c r="C3273" s="1"/>
      <c r="D3273" s="108" t="s">
        <v>115</v>
      </c>
      <c r="E3273" s="108"/>
      <c r="F3273" s="91"/>
      <c r="G3273" s="91"/>
      <c r="H3273" s="91"/>
      <c r="I3273" s="91"/>
      <c r="J3273" s="91"/>
      <c r="K3273" s="91"/>
      <c r="L3273" s="91"/>
      <c r="M3273" s="91"/>
      <c r="N3273" s="91"/>
      <c r="O3273" s="108"/>
      <c r="P3273" s="91"/>
      <c r="Q3273" s="91"/>
      <c r="R3273" s="107"/>
      <c r="S3273" s="503"/>
    </row>
    <row r="3274" spans="1:19" ht="9.75" customHeight="1">
      <c r="A3274" s="503"/>
      <c r="B3274" s="503"/>
      <c r="C3274" s="1"/>
      <c r="D3274" s="108" t="s">
        <v>32</v>
      </c>
      <c r="E3274" s="136">
        <v>17</v>
      </c>
      <c r="F3274" s="11">
        <v>15</v>
      </c>
      <c r="G3274" s="11">
        <v>9</v>
      </c>
      <c r="H3274" s="11">
        <v>8</v>
      </c>
      <c r="I3274" s="11">
        <v>7</v>
      </c>
      <c r="J3274" s="11">
        <v>9</v>
      </c>
      <c r="K3274" s="11">
        <v>10</v>
      </c>
      <c r="L3274" s="11">
        <v>12</v>
      </c>
      <c r="M3274" s="11">
        <v>13</v>
      </c>
      <c r="N3274" s="11">
        <v>12</v>
      </c>
      <c r="O3274" s="136">
        <v>14</v>
      </c>
      <c r="P3274" s="11">
        <f t="shared" ref="P3274:P3275" si="605">MIN(F3274:O3274)</f>
        <v>7</v>
      </c>
      <c r="Q3274" s="11">
        <f t="shared" ref="Q3274:Q3275" si="606">E3274-P3274</f>
        <v>10</v>
      </c>
      <c r="R3274" s="122">
        <f t="shared" ref="R3274:R3275" si="607">Q3274/E3274</f>
        <v>0.58823529411764708</v>
      </c>
      <c r="S3274" s="503"/>
    </row>
    <row r="3275" spans="1:19" ht="9.75" customHeight="1">
      <c r="A3275" s="503"/>
      <c r="B3275" s="503"/>
      <c r="C3275" s="1"/>
      <c r="D3275" s="108" t="s">
        <v>446</v>
      </c>
      <c r="E3275" s="136">
        <v>1</v>
      </c>
      <c r="F3275" s="11">
        <v>0</v>
      </c>
      <c r="G3275" s="11">
        <v>0</v>
      </c>
      <c r="H3275" s="11">
        <v>0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  <c r="O3275" s="136">
        <v>0</v>
      </c>
      <c r="P3275" s="11">
        <f t="shared" si="605"/>
        <v>0</v>
      </c>
      <c r="Q3275" s="11">
        <f t="shared" si="606"/>
        <v>1</v>
      </c>
      <c r="R3275" s="122">
        <f t="shared" si="607"/>
        <v>1</v>
      </c>
      <c r="S3275" s="503"/>
    </row>
    <row r="3276" spans="1:19" ht="9.75" customHeight="1">
      <c r="A3276" s="503"/>
      <c r="B3276" s="503"/>
      <c r="C3276" s="1"/>
      <c r="D3276" s="108" t="s">
        <v>120</v>
      </c>
      <c r="E3276" s="108"/>
      <c r="F3276" s="91"/>
      <c r="G3276" s="91"/>
      <c r="H3276" s="91"/>
      <c r="I3276" s="91"/>
      <c r="J3276" s="91"/>
      <c r="K3276" s="91"/>
      <c r="L3276" s="91"/>
      <c r="M3276" s="91"/>
      <c r="N3276" s="91"/>
      <c r="O3276" s="108"/>
      <c r="P3276" s="91"/>
      <c r="Q3276" s="91"/>
      <c r="R3276" s="107"/>
      <c r="S3276" s="503"/>
    </row>
    <row r="3277" spans="1:19" ht="9.75" customHeight="1">
      <c r="A3277" s="503"/>
      <c r="B3277" s="503"/>
      <c r="C3277" s="1"/>
      <c r="D3277" s="108" t="s">
        <v>120</v>
      </c>
      <c r="E3277" s="108"/>
      <c r="F3277" s="91"/>
      <c r="G3277" s="91"/>
      <c r="H3277" s="91"/>
      <c r="I3277" s="91"/>
      <c r="J3277" s="91"/>
      <c r="K3277" s="91"/>
      <c r="L3277" s="91"/>
      <c r="M3277" s="91"/>
      <c r="N3277" s="91"/>
      <c r="O3277" s="108"/>
      <c r="P3277" s="91"/>
      <c r="Q3277" s="91"/>
      <c r="R3277" s="107"/>
      <c r="S3277" s="503"/>
    </row>
    <row r="3278" spans="1:19" ht="9.75" customHeight="1">
      <c r="A3278" s="503"/>
      <c r="B3278" s="503"/>
      <c r="C3278" s="1"/>
      <c r="D3278" s="108" t="s">
        <v>120</v>
      </c>
      <c r="E3278" s="108"/>
      <c r="F3278" s="91"/>
      <c r="G3278" s="91"/>
      <c r="H3278" s="91"/>
      <c r="I3278" s="91"/>
      <c r="J3278" s="91"/>
      <c r="K3278" s="91"/>
      <c r="L3278" s="91"/>
      <c r="M3278" s="91"/>
      <c r="N3278" s="91"/>
      <c r="O3278" s="108"/>
      <c r="P3278" s="91"/>
      <c r="Q3278" s="91"/>
      <c r="R3278" s="107"/>
      <c r="S3278" s="503"/>
    </row>
    <row r="3279" spans="1:19" ht="9.75" customHeight="1">
      <c r="A3279" s="503"/>
      <c r="B3279" s="503"/>
      <c r="C3279" s="1"/>
      <c r="D3279" s="108" t="s">
        <v>120</v>
      </c>
      <c r="E3279" s="108"/>
      <c r="F3279" s="91"/>
      <c r="G3279" s="91"/>
      <c r="H3279" s="91"/>
      <c r="I3279" s="91"/>
      <c r="J3279" s="91"/>
      <c r="K3279" s="91"/>
      <c r="L3279" s="91"/>
      <c r="M3279" s="91"/>
      <c r="N3279" s="91"/>
      <c r="O3279" s="108"/>
      <c r="P3279" s="91"/>
      <c r="Q3279" s="91"/>
      <c r="R3279" s="107"/>
      <c r="S3279" s="503"/>
    </row>
    <row r="3280" spans="1:19" ht="9.75" customHeight="1">
      <c r="A3280" s="503"/>
      <c r="B3280" s="503"/>
      <c r="C3280" s="1"/>
      <c r="D3280" s="108" t="s">
        <v>120</v>
      </c>
      <c r="E3280" s="108"/>
      <c r="F3280" s="91"/>
      <c r="G3280" s="91"/>
      <c r="H3280" s="91"/>
      <c r="I3280" s="91"/>
      <c r="J3280" s="91"/>
      <c r="K3280" s="91"/>
      <c r="L3280" s="91"/>
      <c r="M3280" s="91"/>
      <c r="N3280" s="91"/>
      <c r="O3280" s="108"/>
      <c r="P3280" s="91"/>
      <c r="Q3280" s="91"/>
      <c r="R3280" s="107"/>
      <c r="S3280" s="503"/>
    </row>
    <row r="3281" spans="1:19" ht="9.75" customHeight="1">
      <c r="A3281" s="503"/>
      <c r="B3281" s="503"/>
      <c r="C3281" s="1"/>
      <c r="D3281" s="108" t="s">
        <v>34</v>
      </c>
      <c r="E3281" s="136">
        <v>1</v>
      </c>
      <c r="F3281" s="11">
        <v>0</v>
      </c>
      <c r="G3281" s="11">
        <v>0</v>
      </c>
      <c r="H3281" s="11">
        <v>0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  <c r="O3281" s="136">
        <v>0</v>
      </c>
      <c r="P3281" s="11">
        <f t="shared" ref="P3281:P3286" si="608">MIN(F3281:O3281)</f>
        <v>0</v>
      </c>
      <c r="Q3281" s="11">
        <f t="shared" ref="Q3281:Q3286" si="609">E3281-P3281</f>
        <v>1</v>
      </c>
      <c r="R3281" s="122">
        <f t="shared" ref="R3281:R3286" si="610">Q3281/E3281</f>
        <v>1</v>
      </c>
      <c r="S3281" s="503"/>
    </row>
    <row r="3282" spans="1:19" ht="9.75" customHeight="1">
      <c r="A3282" s="503"/>
      <c r="B3282" s="503"/>
      <c r="C3282" s="1"/>
      <c r="D3282" s="108" t="s">
        <v>301</v>
      </c>
      <c r="E3282" s="136">
        <v>7</v>
      </c>
      <c r="F3282" s="11">
        <v>3</v>
      </c>
      <c r="G3282" s="11">
        <v>3</v>
      </c>
      <c r="H3282" s="11">
        <v>3</v>
      </c>
      <c r="I3282" s="11">
        <v>2</v>
      </c>
      <c r="J3282" s="11">
        <v>2</v>
      </c>
      <c r="K3282" s="11">
        <v>1</v>
      </c>
      <c r="L3282" s="11">
        <v>1</v>
      </c>
      <c r="M3282" s="11">
        <v>1</v>
      </c>
      <c r="N3282" s="11">
        <v>3</v>
      </c>
      <c r="O3282" s="136">
        <v>2</v>
      </c>
      <c r="P3282" s="11">
        <f t="shared" si="608"/>
        <v>1</v>
      </c>
      <c r="Q3282" s="11">
        <f t="shared" si="609"/>
        <v>6</v>
      </c>
      <c r="R3282" s="122">
        <f t="shared" si="610"/>
        <v>0.8571428571428571</v>
      </c>
      <c r="S3282" s="503"/>
    </row>
    <row r="3283" spans="1:19" ht="9.75" customHeight="1">
      <c r="A3283" s="503"/>
      <c r="B3283" s="503"/>
      <c r="C3283" s="1"/>
      <c r="D3283" s="108" t="s">
        <v>36</v>
      </c>
      <c r="E3283" s="136">
        <v>4</v>
      </c>
      <c r="F3283" s="11">
        <v>2</v>
      </c>
      <c r="G3283" s="11">
        <v>2</v>
      </c>
      <c r="H3283" s="11">
        <v>2</v>
      </c>
      <c r="I3283" s="11">
        <v>2</v>
      </c>
      <c r="J3283" s="11">
        <v>1</v>
      </c>
      <c r="K3283" s="11">
        <v>1</v>
      </c>
      <c r="L3283" s="11">
        <v>1</v>
      </c>
      <c r="M3283" s="11">
        <v>2</v>
      </c>
      <c r="N3283" s="11">
        <v>2</v>
      </c>
      <c r="O3283" s="136">
        <v>1</v>
      </c>
      <c r="P3283" s="11">
        <f t="shared" si="608"/>
        <v>1</v>
      </c>
      <c r="Q3283" s="11">
        <f t="shared" si="609"/>
        <v>3</v>
      </c>
      <c r="R3283" s="122">
        <f t="shared" si="610"/>
        <v>0.75</v>
      </c>
      <c r="S3283" s="503"/>
    </row>
    <row r="3284" spans="1:19" ht="9.75" customHeight="1">
      <c r="A3284" s="503"/>
      <c r="B3284" s="503"/>
      <c r="C3284" s="1"/>
      <c r="D3284" s="113" t="s">
        <v>37</v>
      </c>
      <c r="E3284" s="144">
        <v>2</v>
      </c>
      <c r="F3284" s="143">
        <v>0</v>
      </c>
      <c r="G3284" s="143">
        <v>0</v>
      </c>
      <c r="H3284" s="143">
        <v>0</v>
      </c>
      <c r="I3284" s="143">
        <v>0</v>
      </c>
      <c r="J3284" s="143">
        <v>1</v>
      </c>
      <c r="K3284" s="143">
        <v>1</v>
      </c>
      <c r="L3284" s="143">
        <v>1</v>
      </c>
      <c r="M3284" s="143">
        <v>0</v>
      </c>
      <c r="N3284" s="143">
        <v>0</v>
      </c>
      <c r="O3284" s="144">
        <v>0</v>
      </c>
      <c r="P3284" s="143">
        <f t="shared" si="608"/>
        <v>0</v>
      </c>
      <c r="Q3284" s="143">
        <f t="shared" si="609"/>
        <v>2</v>
      </c>
      <c r="R3284" s="169">
        <f t="shared" si="610"/>
        <v>1</v>
      </c>
      <c r="S3284" s="503"/>
    </row>
    <row r="3285" spans="1:19" ht="9.75" customHeight="1">
      <c r="A3285" s="503"/>
      <c r="B3285" s="503" t="s">
        <v>127</v>
      </c>
      <c r="C3285" s="25"/>
      <c r="D3285" s="5" t="s">
        <v>38</v>
      </c>
      <c r="E3285" s="166">
        <f t="shared" ref="E3285:O3285" si="611">SUM(E3269:E3284)</f>
        <v>47</v>
      </c>
      <c r="F3285" s="167">
        <f t="shared" si="611"/>
        <v>25</v>
      </c>
      <c r="G3285" s="167">
        <f t="shared" si="611"/>
        <v>19</v>
      </c>
      <c r="H3285" s="167">
        <f t="shared" si="611"/>
        <v>13</v>
      </c>
      <c r="I3285" s="167">
        <f t="shared" si="611"/>
        <v>11</v>
      </c>
      <c r="J3285" s="167">
        <f t="shared" si="611"/>
        <v>14</v>
      </c>
      <c r="K3285" s="167">
        <f t="shared" si="611"/>
        <v>15</v>
      </c>
      <c r="L3285" s="167">
        <f t="shared" si="611"/>
        <v>19</v>
      </c>
      <c r="M3285" s="167">
        <f t="shared" si="611"/>
        <v>16</v>
      </c>
      <c r="N3285" s="167">
        <f t="shared" si="611"/>
        <v>17</v>
      </c>
      <c r="O3285" s="166">
        <f t="shared" si="611"/>
        <v>18</v>
      </c>
      <c r="P3285" s="167">
        <f t="shared" si="608"/>
        <v>11</v>
      </c>
      <c r="Q3285" s="167">
        <f t="shared" si="609"/>
        <v>36</v>
      </c>
      <c r="R3285" s="168">
        <f t="shared" si="610"/>
        <v>0.76595744680851063</v>
      </c>
      <c r="S3285" s="503"/>
    </row>
    <row r="3286" spans="1:19" ht="9.75" customHeight="1">
      <c r="A3286" s="503"/>
      <c r="B3286" s="503"/>
      <c r="C3286" s="1" t="s">
        <v>447</v>
      </c>
      <c r="D3286" s="108" t="s">
        <v>23</v>
      </c>
      <c r="E3286" s="136">
        <v>2</v>
      </c>
      <c r="F3286" s="11">
        <v>2</v>
      </c>
      <c r="G3286" s="11">
        <v>0</v>
      </c>
      <c r="H3286" s="11">
        <v>0</v>
      </c>
      <c r="I3286" s="11">
        <v>0</v>
      </c>
      <c r="J3286" s="11">
        <v>0</v>
      </c>
      <c r="K3286" s="11">
        <v>1</v>
      </c>
      <c r="L3286" s="11">
        <v>1</v>
      </c>
      <c r="M3286" s="11">
        <v>2</v>
      </c>
      <c r="N3286" s="11">
        <v>2</v>
      </c>
      <c r="O3286" s="136">
        <v>2</v>
      </c>
      <c r="P3286" s="11">
        <f t="shared" si="608"/>
        <v>0</v>
      </c>
      <c r="Q3286" s="11">
        <f t="shared" si="609"/>
        <v>2</v>
      </c>
      <c r="R3286" s="122">
        <f t="shared" si="610"/>
        <v>1</v>
      </c>
      <c r="S3286" s="503"/>
    </row>
    <row r="3287" spans="1:19" ht="9.75" customHeight="1">
      <c r="A3287" s="503"/>
      <c r="B3287" s="503"/>
      <c r="C3287" s="13"/>
      <c r="D3287" s="108" t="s">
        <v>25</v>
      </c>
      <c r="E3287" s="108"/>
      <c r="F3287" s="91"/>
      <c r="G3287" s="91"/>
      <c r="H3287" s="91"/>
      <c r="I3287" s="91"/>
      <c r="J3287" s="91"/>
      <c r="K3287" s="91"/>
      <c r="L3287" s="91"/>
      <c r="M3287" s="91"/>
      <c r="N3287" s="91"/>
      <c r="O3287" s="108"/>
      <c r="P3287" s="91"/>
      <c r="Q3287" s="91"/>
      <c r="R3287" s="107"/>
      <c r="S3287" s="503"/>
    </row>
    <row r="3288" spans="1:19" ht="9.75" customHeight="1">
      <c r="A3288" s="503"/>
      <c r="B3288" s="503"/>
      <c r="C3288" s="13"/>
      <c r="D3288" s="108" t="s">
        <v>27</v>
      </c>
      <c r="E3288" s="108"/>
      <c r="F3288" s="91"/>
      <c r="G3288" s="91"/>
      <c r="H3288" s="91"/>
      <c r="I3288" s="91"/>
      <c r="J3288" s="91"/>
      <c r="K3288" s="91"/>
      <c r="L3288" s="91"/>
      <c r="M3288" s="91"/>
      <c r="N3288" s="91"/>
      <c r="O3288" s="108"/>
      <c r="P3288" s="91"/>
      <c r="Q3288" s="91"/>
      <c r="R3288" s="107"/>
      <c r="S3288" s="503"/>
    </row>
    <row r="3289" spans="1:19" ht="9.75" customHeight="1">
      <c r="A3289" s="503"/>
      <c r="B3289" s="503"/>
      <c r="C3289" s="13"/>
      <c r="D3289" s="108" t="s">
        <v>115</v>
      </c>
      <c r="E3289" s="108"/>
      <c r="F3289" s="91"/>
      <c r="G3289" s="91"/>
      <c r="H3289" s="91"/>
      <c r="I3289" s="91"/>
      <c r="J3289" s="91"/>
      <c r="K3289" s="91"/>
      <c r="L3289" s="91"/>
      <c r="M3289" s="91"/>
      <c r="N3289" s="91"/>
      <c r="O3289" s="108"/>
      <c r="P3289" s="91"/>
      <c r="Q3289" s="91"/>
      <c r="R3289" s="107"/>
      <c r="S3289" s="503"/>
    </row>
    <row r="3290" spans="1:19" ht="9.75" customHeight="1">
      <c r="A3290" s="503"/>
      <c r="B3290" s="503"/>
      <c r="C3290" s="1"/>
      <c r="D3290" s="108" t="s">
        <v>115</v>
      </c>
      <c r="E3290" s="108"/>
      <c r="F3290" s="91"/>
      <c r="G3290" s="91"/>
      <c r="H3290" s="91"/>
      <c r="I3290" s="91"/>
      <c r="J3290" s="91"/>
      <c r="K3290" s="91"/>
      <c r="L3290" s="91"/>
      <c r="M3290" s="91"/>
      <c r="N3290" s="91"/>
      <c r="O3290" s="108"/>
      <c r="P3290" s="91"/>
      <c r="Q3290" s="91"/>
      <c r="R3290" s="107"/>
      <c r="S3290" s="503"/>
    </row>
    <row r="3291" spans="1:19" ht="9.75" customHeight="1">
      <c r="A3291" s="503"/>
      <c r="B3291" s="503"/>
      <c r="C3291" s="1"/>
      <c r="D3291" s="108" t="s">
        <v>32</v>
      </c>
      <c r="E3291" s="108"/>
      <c r="F3291" s="91"/>
      <c r="G3291" s="91"/>
      <c r="H3291" s="91"/>
      <c r="I3291" s="91"/>
      <c r="J3291" s="91"/>
      <c r="K3291" s="91"/>
      <c r="L3291" s="91"/>
      <c r="M3291" s="91"/>
      <c r="N3291" s="91"/>
      <c r="O3291" s="108"/>
      <c r="P3291" s="91"/>
      <c r="Q3291" s="91"/>
      <c r="R3291" s="107"/>
      <c r="S3291" s="503"/>
    </row>
    <row r="3292" spans="1:19" ht="9.75" customHeight="1">
      <c r="A3292" s="503"/>
      <c r="B3292" s="503"/>
      <c r="C3292" s="1"/>
      <c r="D3292" s="108" t="s">
        <v>120</v>
      </c>
      <c r="E3292" s="108"/>
      <c r="F3292" s="91"/>
      <c r="G3292" s="91"/>
      <c r="H3292" s="91"/>
      <c r="I3292" s="91"/>
      <c r="J3292" s="91"/>
      <c r="K3292" s="91"/>
      <c r="L3292" s="91"/>
      <c r="M3292" s="91"/>
      <c r="N3292" s="91"/>
      <c r="O3292" s="108"/>
      <c r="P3292" s="91"/>
      <c r="Q3292" s="91"/>
      <c r="R3292" s="107"/>
      <c r="S3292" s="503"/>
    </row>
    <row r="3293" spans="1:19" ht="9.75" customHeight="1">
      <c r="A3293" s="503"/>
      <c r="B3293" s="503"/>
      <c r="C3293" s="1"/>
      <c r="D3293" s="108" t="s">
        <v>120</v>
      </c>
      <c r="E3293" s="108"/>
      <c r="F3293" s="91"/>
      <c r="G3293" s="91"/>
      <c r="H3293" s="91"/>
      <c r="I3293" s="91"/>
      <c r="J3293" s="91"/>
      <c r="K3293" s="91"/>
      <c r="L3293" s="91"/>
      <c r="M3293" s="91"/>
      <c r="N3293" s="91"/>
      <c r="O3293" s="108"/>
      <c r="P3293" s="91"/>
      <c r="Q3293" s="91"/>
      <c r="R3293" s="107"/>
      <c r="S3293" s="503"/>
    </row>
    <row r="3294" spans="1:19" ht="9.75" customHeight="1">
      <c r="A3294" s="503"/>
      <c r="B3294" s="503"/>
      <c r="C3294" s="1"/>
      <c r="D3294" s="108" t="s">
        <v>120</v>
      </c>
      <c r="E3294" s="108"/>
      <c r="F3294" s="91"/>
      <c r="G3294" s="91"/>
      <c r="H3294" s="91"/>
      <c r="I3294" s="91"/>
      <c r="J3294" s="91"/>
      <c r="K3294" s="91"/>
      <c r="L3294" s="91"/>
      <c r="M3294" s="91"/>
      <c r="N3294" s="91"/>
      <c r="O3294" s="108"/>
      <c r="P3294" s="91"/>
      <c r="Q3294" s="91"/>
      <c r="R3294" s="107"/>
      <c r="S3294" s="503"/>
    </row>
    <row r="3295" spans="1:19" ht="9.75" customHeight="1">
      <c r="A3295" s="503"/>
      <c r="B3295" s="503"/>
      <c r="C3295" s="1"/>
      <c r="D3295" s="108" t="s">
        <v>120</v>
      </c>
      <c r="E3295" s="108"/>
      <c r="F3295" s="91"/>
      <c r="G3295" s="91"/>
      <c r="H3295" s="91"/>
      <c r="I3295" s="91"/>
      <c r="J3295" s="91"/>
      <c r="K3295" s="91"/>
      <c r="L3295" s="91"/>
      <c r="M3295" s="91"/>
      <c r="N3295" s="91"/>
      <c r="O3295" s="108"/>
      <c r="P3295" s="91"/>
      <c r="Q3295" s="91"/>
      <c r="R3295" s="107"/>
      <c r="S3295" s="503"/>
    </row>
    <row r="3296" spans="1:19" ht="9.75" customHeight="1">
      <c r="A3296" s="503"/>
      <c r="B3296" s="503"/>
      <c r="C3296" s="1"/>
      <c r="D3296" s="108" t="s">
        <v>120</v>
      </c>
      <c r="E3296" s="108"/>
      <c r="F3296" s="91"/>
      <c r="G3296" s="91"/>
      <c r="H3296" s="91"/>
      <c r="I3296" s="91"/>
      <c r="J3296" s="91"/>
      <c r="K3296" s="91"/>
      <c r="L3296" s="91"/>
      <c r="M3296" s="91"/>
      <c r="N3296" s="91"/>
      <c r="O3296" s="108"/>
      <c r="P3296" s="91"/>
      <c r="Q3296" s="91"/>
      <c r="R3296" s="107"/>
      <c r="S3296" s="503"/>
    </row>
    <row r="3297" spans="1:19" ht="9.75" customHeight="1">
      <c r="A3297" s="503"/>
      <c r="B3297" s="503"/>
      <c r="C3297" s="1"/>
      <c r="D3297" s="108" t="s">
        <v>120</v>
      </c>
      <c r="E3297" s="108"/>
      <c r="F3297" s="91"/>
      <c r="G3297" s="91"/>
      <c r="H3297" s="91"/>
      <c r="I3297" s="91"/>
      <c r="J3297" s="91"/>
      <c r="K3297" s="91"/>
      <c r="L3297" s="91"/>
      <c r="M3297" s="91"/>
      <c r="N3297" s="91"/>
      <c r="O3297" s="108"/>
      <c r="P3297" s="91"/>
      <c r="Q3297" s="91"/>
      <c r="R3297" s="107"/>
      <c r="S3297" s="503"/>
    </row>
    <row r="3298" spans="1:19" ht="9.75" customHeight="1">
      <c r="A3298" s="503"/>
      <c r="B3298" s="503"/>
      <c r="C3298" s="1"/>
      <c r="D3298" s="108" t="s">
        <v>34</v>
      </c>
      <c r="E3298" s="108"/>
      <c r="F3298" s="91"/>
      <c r="G3298" s="91"/>
      <c r="H3298" s="91"/>
      <c r="I3298" s="91"/>
      <c r="J3298" s="91"/>
      <c r="K3298" s="91"/>
      <c r="L3298" s="91"/>
      <c r="M3298" s="91"/>
      <c r="N3298" s="91"/>
      <c r="O3298" s="108"/>
      <c r="P3298" s="91"/>
      <c r="Q3298" s="91"/>
      <c r="R3298" s="107"/>
      <c r="S3298" s="503"/>
    </row>
    <row r="3299" spans="1:19" ht="9.75" customHeight="1">
      <c r="A3299" s="503"/>
      <c r="B3299" s="503"/>
      <c r="C3299" s="1"/>
      <c r="D3299" s="108" t="s">
        <v>35</v>
      </c>
      <c r="E3299" s="108"/>
      <c r="F3299" s="91"/>
      <c r="G3299" s="91"/>
      <c r="H3299" s="91"/>
      <c r="I3299" s="91"/>
      <c r="J3299" s="91"/>
      <c r="K3299" s="91"/>
      <c r="L3299" s="91"/>
      <c r="M3299" s="91"/>
      <c r="N3299" s="91"/>
      <c r="O3299" s="108"/>
      <c r="P3299" s="91"/>
      <c r="Q3299" s="91"/>
      <c r="R3299" s="107"/>
      <c r="S3299" s="503"/>
    </row>
    <row r="3300" spans="1:19" ht="9.75" customHeight="1">
      <c r="A3300" s="503"/>
      <c r="B3300" s="503"/>
      <c r="C3300" s="1"/>
      <c r="D3300" s="108" t="s">
        <v>36</v>
      </c>
      <c r="E3300" s="136">
        <v>6</v>
      </c>
      <c r="F3300" s="11">
        <v>5</v>
      </c>
      <c r="G3300" s="11">
        <v>5</v>
      </c>
      <c r="H3300" s="11">
        <v>5</v>
      </c>
      <c r="I3300" s="11">
        <v>5</v>
      </c>
      <c r="J3300" s="11">
        <v>4</v>
      </c>
      <c r="K3300" s="11">
        <v>4</v>
      </c>
      <c r="L3300" s="11">
        <v>4</v>
      </c>
      <c r="M3300" s="11">
        <v>5</v>
      </c>
      <c r="N3300" s="11">
        <v>5</v>
      </c>
      <c r="O3300" s="136">
        <v>4</v>
      </c>
      <c r="P3300" s="11">
        <f>MIN(F3300:O3300)</f>
        <v>4</v>
      </c>
      <c r="Q3300" s="11">
        <f>E3300-P3300</f>
        <v>2</v>
      </c>
      <c r="R3300" s="122">
        <f>Q3300/E3300</f>
        <v>0.33333333333333331</v>
      </c>
      <c r="S3300" s="503"/>
    </row>
    <row r="3301" spans="1:19" ht="9.75" customHeight="1">
      <c r="A3301" s="503"/>
      <c r="B3301" s="503"/>
      <c r="C3301" s="1"/>
      <c r="D3301" s="113" t="s">
        <v>37</v>
      </c>
      <c r="E3301" s="144"/>
      <c r="F3301" s="143"/>
      <c r="G3301" s="143"/>
      <c r="H3301" s="143"/>
      <c r="I3301" s="143"/>
      <c r="J3301" s="143"/>
      <c r="K3301" s="143"/>
      <c r="L3301" s="143"/>
      <c r="M3301" s="143"/>
      <c r="N3301" s="143"/>
      <c r="O3301" s="144"/>
      <c r="P3301" s="143"/>
      <c r="Q3301" s="143"/>
      <c r="R3301" s="169"/>
      <c r="S3301" s="503"/>
    </row>
    <row r="3302" spans="1:19" ht="9.75" customHeight="1">
      <c r="A3302" s="503"/>
      <c r="B3302" s="503" t="s">
        <v>127</v>
      </c>
      <c r="C3302" s="25"/>
      <c r="D3302" s="5" t="s">
        <v>38</v>
      </c>
      <c r="E3302" s="166">
        <f t="shared" ref="E3302:O3302" si="612">SUM(E3286:E3301)</f>
        <v>8</v>
      </c>
      <c r="F3302" s="167">
        <f t="shared" si="612"/>
        <v>7</v>
      </c>
      <c r="G3302" s="167">
        <f t="shared" si="612"/>
        <v>5</v>
      </c>
      <c r="H3302" s="167">
        <f t="shared" si="612"/>
        <v>5</v>
      </c>
      <c r="I3302" s="167">
        <f t="shared" si="612"/>
        <v>5</v>
      </c>
      <c r="J3302" s="167">
        <f t="shared" si="612"/>
        <v>4</v>
      </c>
      <c r="K3302" s="167">
        <f t="shared" si="612"/>
        <v>5</v>
      </c>
      <c r="L3302" s="167">
        <f t="shared" si="612"/>
        <v>5</v>
      </c>
      <c r="M3302" s="167">
        <f t="shared" si="612"/>
        <v>7</v>
      </c>
      <c r="N3302" s="167">
        <f t="shared" si="612"/>
        <v>7</v>
      </c>
      <c r="O3302" s="166">
        <f t="shared" si="612"/>
        <v>6</v>
      </c>
      <c r="P3302" s="167">
        <f t="shared" ref="P3302:P3304" si="613">MIN(F3302:O3302)</f>
        <v>4</v>
      </c>
      <c r="Q3302" s="167">
        <f t="shared" ref="Q3302:Q3304" si="614">E3302-P3302</f>
        <v>4</v>
      </c>
      <c r="R3302" s="168">
        <f t="shared" ref="R3302:R3304" si="615">Q3302/E3302</f>
        <v>0.5</v>
      </c>
      <c r="S3302" s="503"/>
    </row>
    <row r="3303" spans="1:19" ht="9.75" customHeight="1">
      <c r="A3303" s="503"/>
      <c r="B3303" s="503"/>
      <c r="C3303" s="1" t="s">
        <v>448</v>
      </c>
      <c r="D3303" s="108" t="s">
        <v>23</v>
      </c>
      <c r="E3303" s="136">
        <v>12</v>
      </c>
      <c r="F3303" s="11">
        <v>3</v>
      </c>
      <c r="G3303" s="11">
        <v>1</v>
      </c>
      <c r="H3303" s="11">
        <v>0</v>
      </c>
      <c r="I3303" s="11">
        <v>0</v>
      </c>
      <c r="J3303" s="11">
        <v>0</v>
      </c>
      <c r="K3303" s="11">
        <v>3</v>
      </c>
      <c r="L3303" s="11">
        <v>5</v>
      </c>
      <c r="M3303" s="11">
        <v>6</v>
      </c>
      <c r="N3303" s="11">
        <v>7</v>
      </c>
      <c r="O3303" s="136">
        <v>10</v>
      </c>
      <c r="P3303" s="11">
        <f t="shared" si="613"/>
        <v>0</v>
      </c>
      <c r="Q3303" s="11">
        <f t="shared" si="614"/>
        <v>12</v>
      </c>
      <c r="R3303" s="122">
        <f t="shared" si="615"/>
        <v>1</v>
      </c>
      <c r="S3303" s="503"/>
    </row>
    <row r="3304" spans="1:19" ht="9.75" customHeight="1">
      <c r="A3304" s="503"/>
      <c r="B3304" s="503"/>
      <c r="C3304" s="13"/>
      <c r="D3304" s="108" t="s">
        <v>25</v>
      </c>
      <c r="E3304" s="136">
        <v>5</v>
      </c>
      <c r="F3304" s="11">
        <v>0</v>
      </c>
      <c r="G3304" s="11">
        <v>0</v>
      </c>
      <c r="H3304" s="11">
        <v>0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  <c r="O3304" s="136">
        <v>0</v>
      </c>
      <c r="P3304" s="11">
        <f t="shared" si="613"/>
        <v>0</v>
      </c>
      <c r="Q3304" s="11">
        <f t="shared" si="614"/>
        <v>5</v>
      </c>
      <c r="R3304" s="122">
        <f t="shared" si="615"/>
        <v>1</v>
      </c>
      <c r="S3304" s="503"/>
    </row>
    <row r="3305" spans="1:19" ht="9.75" customHeight="1">
      <c r="A3305" s="503"/>
      <c r="B3305" s="503"/>
      <c r="C3305" s="13"/>
      <c r="D3305" s="108" t="s">
        <v>27</v>
      </c>
      <c r="E3305" s="108"/>
      <c r="F3305" s="91"/>
      <c r="G3305" s="91"/>
      <c r="H3305" s="91"/>
      <c r="I3305" s="91"/>
      <c r="J3305" s="91"/>
      <c r="K3305" s="91"/>
      <c r="L3305" s="91"/>
      <c r="M3305" s="91"/>
      <c r="N3305" s="91"/>
      <c r="O3305" s="108"/>
      <c r="P3305" s="91"/>
      <c r="Q3305" s="91"/>
      <c r="R3305" s="107"/>
      <c r="S3305" s="503"/>
    </row>
    <row r="3306" spans="1:19" ht="9.75" customHeight="1">
      <c r="A3306" s="503"/>
      <c r="B3306" s="503"/>
      <c r="C3306" s="13"/>
      <c r="D3306" s="108" t="s">
        <v>115</v>
      </c>
      <c r="E3306" s="108"/>
      <c r="F3306" s="91"/>
      <c r="G3306" s="91"/>
      <c r="H3306" s="91"/>
      <c r="I3306" s="91"/>
      <c r="J3306" s="91"/>
      <c r="K3306" s="91"/>
      <c r="L3306" s="91"/>
      <c r="M3306" s="91"/>
      <c r="N3306" s="91"/>
      <c r="O3306" s="108"/>
      <c r="P3306" s="91"/>
      <c r="Q3306" s="91"/>
      <c r="R3306" s="107"/>
      <c r="S3306" s="503"/>
    </row>
    <row r="3307" spans="1:19" ht="9.75" customHeight="1">
      <c r="A3307" s="503"/>
      <c r="B3307" s="503"/>
      <c r="C3307" s="1"/>
      <c r="D3307" s="108" t="s">
        <v>115</v>
      </c>
      <c r="E3307" s="108"/>
      <c r="F3307" s="91"/>
      <c r="G3307" s="91"/>
      <c r="H3307" s="91"/>
      <c r="I3307" s="91"/>
      <c r="J3307" s="91"/>
      <c r="K3307" s="91"/>
      <c r="L3307" s="91"/>
      <c r="M3307" s="91"/>
      <c r="N3307" s="91"/>
      <c r="O3307" s="108"/>
      <c r="P3307" s="91"/>
      <c r="Q3307" s="91"/>
      <c r="R3307" s="107"/>
      <c r="S3307" s="503"/>
    </row>
    <row r="3308" spans="1:19" ht="9.75" customHeight="1">
      <c r="A3308" s="503"/>
      <c r="B3308" s="503"/>
      <c r="C3308" s="1"/>
      <c r="D3308" s="108" t="s">
        <v>32</v>
      </c>
      <c r="E3308" s="136">
        <v>22</v>
      </c>
      <c r="F3308" s="11">
        <v>20</v>
      </c>
      <c r="G3308" s="11">
        <v>19</v>
      </c>
      <c r="H3308" s="11">
        <v>17</v>
      </c>
      <c r="I3308" s="11">
        <v>15</v>
      </c>
      <c r="J3308" s="11">
        <v>14</v>
      </c>
      <c r="K3308" s="11">
        <v>13</v>
      </c>
      <c r="L3308" s="11">
        <v>13</v>
      </c>
      <c r="M3308" s="11">
        <v>13</v>
      </c>
      <c r="N3308" s="11">
        <v>12</v>
      </c>
      <c r="O3308" s="136">
        <v>14</v>
      </c>
      <c r="P3308" s="11">
        <f t="shared" ref="P3308:P3313" si="616">MIN(F3308:O3308)</f>
        <v>12</v>
      </c>
      <c r="Q3308" s="11">
        <f t="shared" ref="Q3308:Q3313" si="617">E3308-P3308</f>
        <v>10</v>
      </c>
      <c r="R3308" s="122">
        <f t="shared" ref="R3308:R3313" si="618">Q3308/E3308</f>
        <v>0.45454545454545453</v>
      </c>
      <c r="S3308" s="503"/>
    </row>
    <row r="3309" spans="1:19" ht="9.75" customHeight="1">
      <c r="A3309" s="503"/>
      <c r="B3309" s="503"/>
      <c r="C3309" s="1"/>
      <c r="D3309" s="108" t="s">
        <v>449</v>
      </c>
      <c r="E3309" s="136">
        <v>16</v>
      </c>
      <c r="F3309" s="11">
        <v>15</v>
      </c>
      <c r="G3309" s="11">
        <v>14</v>
      </c>
      <c r="H3309" s="11">
        <v>13</v>
      </c>
      <c r="I3309" s="11">
        <v>12</v>
      </c>
      <c r="J3309" s="11">
        <v>12</v>
      </c>
      <c r="K3309" s="11">
        <v>12</v>
      </c>
      <c r="L3309" s="11">
        <v>12</v>
      </c>
      <c r="M3309" s="11">
        <v>12</v>
      </c>
      <c r="N3309" s="11">
        <v>13</v>
      </c>
      <c r="O3309" s="136">
        <v>14</v>
      </c>
      <c r="P3309" s="11">
        <f t="shared" si="616"/>
        <v>12</v>
      </c>
      <c r="Q3309" s="11">
        <f t="shared" si="617"/>
        <v>4</v>
      </c>
      <c r="R3309" s="122">
        <f t="shared" si="618"/>
        <v>0.25</v>
      </c>
      <c r="S3309" s="503"/>
    </row>
    <row r="3310" spans="1:19" ht="9.75" customHeight="1">
      <c r="A3310" s="503"/>
      <c r="B3310" s="503"/>
      <c r="C3310" s="1"/>
      <c r="D3310" s="108" t="s">
        <v>450</v>
      </c>
      <c r="E3310" s="136">
        <v>3</v>
      </c>
      <c r="F3310" s="11">
        <v>3</v>
      </c>
      <c r="G3310" s="11">
        <v>3</v>
      </c>
      <c r="H3310" s="11">
        <v>3</v>
      </c>
      <c r="I3310" s="11">
        <v>3</v>
      </c>
      <c r="J3310" s="11">
        <v>2</v>
      </c>
      <c r="K3310" s="11">
        <v>2</v>
      </c>
      <c r="L3310" s="11">
        <v>2</v>
      </c>
      <c r="M3310" s="11">
        <v>2</v>
      </c>
      <c r="N3310" s="11">
        <v>3</v>
      </c>
      <c r="O3310" s="136">
        <v>3</v>
      </c>
      <c r="P3310" s="11">
        <f t="shared" si="616"/>
        <v>2</v>
      </c>
      <c r="Q3310" s="11">
        <f t="shared" si="617"/>
        <v>1</v>
      </c>
      <c r="R3310" s="122">
        <f t="shared" si="618"/>
        <v>0.33333333333333331</v>
      </c>
      <c r="S3310" s="503"/>
    </row>
    <row r="3311" spans="1:19" ht="9.75" customHeight="1">
      <c r="A3311" s="503"/>
      <c r="B3311" s="503"/>
      <c r="C3311" s="1"/>
      <c r="D3311" s="108" t="s">
        <v>451</v>
      </c>
      <c r="E3311" s="136">
        <v>1</v>
      </c>
      <c r="F3311" s="11">
        <v>1</v>
      </c>
      <c r="G3311" s="11">
        <v>1</v>
      </c>
      <c r="H3311" s="11">
        <v>1</v>
      </c>
      <c r="I3311" s="11">
        <v>1</v>
      </c>
      <c r="J3311" s="11">
        <v>1</v>
      </c>
      <c r="K3311" s="11">
        <v>1</v>
      </c>
      <c r="L3311" s="11">
        <v>1</v>
      </c>
      <c r="M3311" s="11">
        <v>1</v>
      </c>
      <c r="N3311" s="11">
        <v>1</v>
      </c>
      <c r="O3311" s="136">
        <v>1</v>
      </c>
      <c r="P3311" s="11">
        <f t="shared" si="616"/>
        <v>1</v>
      </c>
      <c r="Q3311" s="11">
        <f t="shared" si="617"/>
        <v>0</v>
      </c>
      <c r="R3311" s="122">
        <f t="shared" si="618"/>
        <v>0</v>
      </c>
      <c r="S3311" s="503"/>
    </row>
    <row r="3312" spans="1:19" ht="9.75" customHeight="1">
      <c r="A3312" s="503"/>
      <c r="B3312" s="503"/>
      <c r="C3312" s="1"/>
      <c r="D3312" s="108" t="s">
        <v>243</v>
      </c>
      <c r="E3312" s="136">
        <v>1</v>
      </c>
      <c r="F3312" s="11">
        <v>0</v>
      </c>
      <c r="G3312" s="11">
        <v>0</v>
      </c>
      <c r="H3312" s="11">
        <v>0</v>
      </c>
      <c r="I3312" s="11">
        <v>0</v>
      </c>
      <c r="J3312" s="11">
        <v>1</v>
      </c>
      <c r="K3312" s="11">
        <v>1</v>
      </c>
      <c r="L3312" s="11">
        <v>1</v>
      </c>
      <c r="M3312" s="11">
        <v>1</v>
      </c>
      <c r="N3312" s="11">
        <v>0</v>
      </c>
      <c r="O3312" s="136">
        <v>0</v>
      </c>
      <c r="P3312" s="11">
        <f t="shared" si="616"/>
        <v>0</v>
      </c>
      <c r="Q3312" s="11">
        <f t="shared" si="617"/>
        <v>1</v>
      </c>
      <c r="R3312" s="122">
        <f t="shared" si="618"/>
        <v>1</v>
      </c>
      <c r="S3312" s="503"/>
    </row>
    <row r="3313" spans="1:19" ht="9.75" customHeight="1">
      <c r="A3313" s="503"/>
      <c r="B3313" s="503"/>
      <c r="C3313" s="1"/>
      <c r="D3313" s="108" t="s">
        <v>452</v>
      </c>
      <c r="E3313" s="136">
        <v>1</v>
      </c>
      <c r="F3313" s="11">
        <v>0</v>
      </c>
      <c r="G3313" s="11">
        <v>0</v>
      </c>
      <c r="H3313" s="11">
        <v>0</v>
      </c>
      <c r="I3313" s="11">
        <v>0</v>
      </c>
      <c r="J3313" s="11">
        <v>1</v>
      </c>
      <c r="K3313" s="11">
        <v>1</v>
      </c>
      <c r="L3313" s="11">
        <v>1</v>
      </c>
      <c r="M3313" s="11">
        <v>1</v>
      </c>
      <c r="N3313" s="11">
        <v>0</v>
      </c>
      <c r="O3313" s="136">
        <v>0</v>
      </c>
      <c r="P3313" s="11">
        <f t="shared" si="616"/>
        <v>0</v>
      </c>
      <c r="Q3313" s="11">
        <f t="shared" si="617"/>
        <v>1</v>
      </c>
      <c r="R3313" s="122">
        <f t="shared" si="618"/>
        <v>1</v>
      </c>
      <c r="S3313" s="503"/>
    </row>
    <row r="3314" spans="1:19" ht="9.75" customHeight="1">
      <c r="A3314" s="503"/>
      <c r="B3314" s="503"/>
      <c r="C3314" s="1"/>
      <c r="D3314" s="108" t="s">
        <v>120</v>
      </c>
      <c r="E3314" s="108"/>
      <c r="F3314" s="91"/>
      <c r="G3314" s="91"/>
      <c r="H3314" s="91"/>
      <c r="I3314" s="91"/>
      <c r="J3314" s="91"/>
      <c r="K3314" s="91"/>
      <c r="L3314" s="91"/>
      <c r="M3314" s="91"/>
      <c r="N3314" s="91"/>
      <c r="O3314" s="108"/>
      <c r="P3314" s="91"/>
      <c r="Q3314" s="91"/>
      <c r="R3314" s="107"/>
      <c r="S3314" s="503"/>
    </row>
    <row r="3315" spans="1:19" ht="9.75" customHeight="1">
      <c r="A3315" s="503"/>
      <c r="B3315" s="503"/>
      <c r="C3315" s="1"/>
      <c r="D3315" s="108" t="s">
        <v>34</v>
      </c>
      <c r="E3315" s="136">
        <v>11</v>
      </c>
      <c r="F3315" s="11">
        <v>0</v>
      </c>
      <c r="G3315" s="11">
        <v>0</v>
      </c>
      <c r="H3315" s="11">
        <v>0</v>
      </c>
      <c r="I3315" s="11">
        <v>0</v>
      </c>
      <c r="J3315" s="11">
        <v>5</v>
      </c>
      <c r="K3315" s="11">
        <v>5</v>
      </c>
      <c r="L3315" s="11">
        <v>4</v>
      </c>
      <c r="M3315" s="11">
        <v>6</v>
      </c>
      <c r="N3315" s="11">
        <v>0</v>
      </c>
      <c r="O3315" s="136">
        <v>0</v>
      </c>
      <c r="P3315" s="11">
        <f t="shared" ref="P3315:P3316" si="619">MIN(F3315:O3315)</f>
        <v>0</v>
      </c>
      <c r="Q3315" s="11">
        <f t="shared" ref="Q3315:Q3316" si="620">E3315-P3315</f>
        <v>11</v>
      </c>
      <c r="R3315" s="122">
        <f t="shared" ref="R3315:R3316" si="621">Q3315/E3315</f>
        <v>1</v>
      </c>
      <c r="S3315" s="503"/>
    </row>
    <row r="3316" spans="1:19" ht="9.75" customHeight="1">
      <c r="A3316" s="503"/>
      <c r="B3316" s="503"/>
      <c r="C3316" s="1"/>
      <c r="D3316" s="108" t="s">
        <v>35</v>
      </c>
      <c r="E3316" s="136">
        <v>2</v>
      </c>
      <c r="F3316" s="11">
        <v>2</v>
      </c>
      <c r="G3316" s="11">
        <v>2</v>
      </c>
      <c r="H3316" s="11">
        <v>2</v>
      </c>
      <c r="I3316" s="11">
        <v>2</v>
      </c>
      <c r="J3316" s="11">
        <v>1</v>
      </c>
      <c r="K3316" s="11">
        <v>1</v>
      </c>
      <c r="L3316" s="11">
        <v>1</v>
      </c>
      <c r="M3316" s="11">
        <v>1</v>
      </c>
      <c r="N3316" s="11">
        <v>0</v>
      </c>
      <c r="O3316" s="136">
        <v>0</v>
      </c>
      <c r="P3316" s="11">
        <f t="shared" si="619"/>
        <v>0</v>
      </c>
      <c r="Q3316" s="11">
        <f t="shared" si="620"/>
        <v>2</v>
      </c>
      <c r="R3316" s="122">
        <f t="shared" si="621"/>
        <v>1</v>
      </c>
      <c r="S3316" s="503"/>
    </row>
    <row r="3317" spans="1:19" ht="9.75" customHeight="1">
      <c r="A3317" s="503"/>
      <c r="B3317" s="503"/>
      <c r="C3317" s="1"/>
      <c r="D3317" s="108" t="s">
        <v>36</v>
      </c>
      <c r="E3317" s="108"/>
      <c r="F3317" s="91"/>
      <c r="G3317" s="91"/>
      <c r="H3317" s="91"/>
      <c r="I3317" s="91"/>
      <c r="J3317" s="91"/>
      <c r="K3317" s="91"/>
      <c r="L3317" s="91"/>
      <c r="M3317" s="91"/>
      <c r="N3317" s="91"/>
      <c r="O3317" s="108"/>
      <c r="P3317" s="91"/>
      <c r="Q3317" s="91"/>
      <c r="R3317" s="107"/>
      <c r="S3317" s="503"/>
    </row>
    <row r="3318" spans="1:19" ht="9.75" customHeight="1">
      <c r="A3318" s="503"/>
      <c r="B3318" s="503"/>
      <c r="C3318" s="1"/>
      <c r="D3318" s="113" t="s">
        <v>37</v>
      </c>
      <c r="E3318" s="144">
        <v>2</v>
      </c>
      <c r="F3318" s="143">
        <v>0</v>
      </c>
      <c r="G3318" s="143">
        <v>0</v>
      </c>
      <c r="H3318" s="143">
        <v>0</v>
      </c>
      <c r="I3318" s="143">
        <v>0</v>
      </c>
      <c r="J3318" s="143">
        <v>1</v>
      </c>
      <c r="K3318" s="143">
        <v>1</v>
      </c>
      <c r="L3318" s="143">
        <v>1</v>
      </c>
      <c r="M3318" s="143">
        <v>1</v>
      </c>
      <c r="N3318" s="143">
        <v>1</v>
      </c>
      <c r="O3318" s="144">
        <v>1</v>
      </c>
      <c r="P3318" s="143">
        <f t="shared" ref="P3318:P3319" si="622">MIN(F3318:O3318)</f>
        <v>0</v>
      </c>
      <c r="Q3318" s="143">
        <f t="shared" ref="Q3318:Q3319" si="623">E3318-P3318</f>
        <v>2</v>
      </c>
      <c r="R3318" s="169">
        <f t="shared" ref="R3318:R3319" si="624">Q3318/E3318</f>
        <v>1</v>
      </c>
      <c r="S3318" s="503"/>
    </row>
    <row r="3319" spans="1:19" ht="9.75" customHeight="1">
      <c r="A3319" s="503"/>
      <c r="B3319" s="503" t="s">
        <v>127</v>
      </c>
      <c r="C3319" s="25"/>
      <c r="D3319" s="5" t="s">
        <v>38</v>
      </c>
      <c r="E3319" s="166">
        <f t="shared" ref="E3319:O3319" si="625">SUM(E3303:E3318)</f>
        <v>76</v>
      </c>
      <c r="F3319" s="167">
        <f t="shared" si="625"/>
        <v>44</v>
      </c>
      <c r="G3319" s="167">
        <f t="shared" si="625"/>
        <v>40</v>
      </c>
      <c r="H3319" s="167">
        <f t="shared" si="625"/>
        <v>36</v>
      </c>
      <c r="I3319" s="167">
        <f t="shared" si="625"/>
        <v>33</v>
      </c>
      <c r="J3319" s="167">
        <f t="shared" si="625"/>
        <v>38</v>
      </c>
      <c r="K3319" s="167">
        <f t="shared" si="625"/>
        <v>40</v>
      </c>
      <c r="L3319" s="167">
        <f t="shared" si="625"/>
        <v>41</v>
      </c>
      <c r="M3319" s="167">
        <f t="shared" si="625"/>
        <v>44</v>
      </c>
      <c r="N3319" s="167">
        <f t="shared" si="625"/>
        <v>37</v>
      </c>
      <c r="O3319" s="166">
        <f t="shared" si="625"/>
        <v>43</v>
      </c>
      <c r="P3319" s="167">
        <f t="shared" si="622"/>
        <v>33</v>
      </c>
      <c r="Q3319" s="167">
        <f t="shared" si="623"/>
        <v>43</v>
      </c>
      <c r="R3319" s="168">
        <f t="shared" si="624"/>
        <v>0.56578947368421051</v>
      </c>
      <c r="S3319" s="503"/>
    </row>
    <row r="3320" spans="1:19" ht="9.75" customHeight="1">
      <c r="A3320" s="503"/>
      <c r="B3320" s="503"/>
      <c r="C3320" s="1" t="s">
        <v>453</v>
      </c>
      <c r="D3320" s="108" t="s">
        <v>23</v>
      </c>
      <c r="E3320" s="108"/>
      <c r="F3320" s="91"/>
      <c r="G3320" s="91"/>
      <c r="H3320" s="91"/>
      <c r="I3320" s="91"/>
      <c r="J3320" s="91"/>
      <c r="K3320" s="91"/>
      <c r="L3320" s="91"/>
      <c r="M3320" s="91"/>
      <c r="N3320" s="91"/>
      <c r="O3320" s="108"/>
      <c r="P3320" s="91"/>
      <c r="Q3320" s="91"/>
      <c r="R3320" s="107"/>
      <c r="S3320" s="503"/>
    </row>
    <row r="3321" spans="1:19" ht="9.75" customHeight="1">
      <c r="A3321" s="503"/>
      <c r="B3321" s="503"/>
      <c r="C3321" s="13"/>
      <c r="D3321" s="108" t="s">
        <v>25</v>
      </c>
      <c r="E3321" s="108"/>
      <c r="F3321" s="91"/>
      <c r="G3321" s="91"/>
      <c r="H3321" s="91"/>
      <c r="I3321" s="91"/>
      <c r="J3321" s="91"/>
      <c r="K3321" s="91"/>
      <c r="L3321" s="91"/>
      <c r="M3321" s="91"/>
      <c r="N3321" s="91"/>
      <c r="O3321" s="108"/>
      <c r="P3321" s="91"/>
      <c r="Q3321" s="91"/>
      <c r="R3321" s="107"/>
      <c r="S3321" s="503"/>
    </row>
    <row r="3322" spans="1:19" ht="9.75" customHeight="1">
      <c r="A3322" s="503"/>
      <c r="B3322" s="503"/>
      <c r="C3322" s="13"/>
      <c r="D3322" s="108" t="s">
        <v>27</v>
      </c>
      <c r="E3322" s="108"/>
      <c r="F3322" s="91"/>
      <c r="G3322" s="91"/>
      <c r="H3322" s="91"/>
      <c r="I3322" s="91"/>
      <c r="J3322" s="91"/>
      <c r="K3322" s="91"/>
      <c r="L3322" s="91"/>
      <c r="M3322" s="91"/>
      <c r="N3322" s="91"/>
      <c r="O3322" s="108"/>
      <c r="P3322" s="91"/>
      <c r="Q3322" s="91"/>
      <c r="R3322" s="107"/>
      <c r="S3322" s="503"/>
    </row>
    <row r="3323" spans="1:19" ht="9.75" customHeight="1">
      <c r="A3323" s="503"/>
      <c r="B3323" s="503"/>
      <c r="C3323" s="13"/>
      <c r="D3323" s="108" t="s">
        <v>115</v>
      </c>
      <c r="E3323" s="108"/>
      <c r="F3323" s="91"/>
      <c r="G3323" s="91"/>
      <c r="H3323" s="91"/>
      <c r="I3323" s="91"/>
      <c r="J3323" s="91"/>
      <c r="K3323" s="91"/>
      <c r="L3323" s="91"/>
      <c r="M3323" s="91"/>
      <c r="N3323" s="91"/>
      <c r="O3323" s="108"/>
      <c r="P3323" s="91"/>
      <c r="Q3323" s="91"/>
      <c r="R3323" s="107"/>
      <c r="S3323" s="503"/>
    </row>
    <row r="3324" spans="1:19" ht="9.75" customHeight="1">
      <c r="A3324" s="503"/>
      <c r="B3324" s="503"/>
      <c r="C3324" s="1"/>
      <c r="D3324" s="108" t="s">
        <v>115</v>
      </c>
      <c r="E3324" s="108"/>
      <c r="F3324" s="91"/>
      <c r="G3324" s="91"/>
      <c r="H3324" s="91"/>
      <c r="I3324" s="91"/>
      <c r="J3324" s="91"/>
      <c r="K3324" s="91"/>
      <c r="L3324" s="91"/>
      <c r="M3324" s="91"/>
      <c r="N3324" s="91"/>
      <c r="O3324" s="108"/>
      <c r="P3324" s="91"/>
      <c r="Q3324" s="91"/>
      <c r="R3324" s="107"/>
      <c r="S3324" s="503"/>
    </row>
    <row r="3325" spans="1:19" ht="9.75" customHeight="1">
      <c r="A3325" s="503"/>
      <c r="B3325" s="503"/>
      <c r="C3325" s="1"/>
      <c r="D3325" s="108" t="s">
        <v>32</v>
      </c>
      <c r="E3325" s="136">
        <v>5</v>
      </c>
      <c r="F3325" s="11">
        <v>2</v>
      </c>
      <c r="G3325" s="11">
        <v>2</v>
      </c>
      <c r="H3325" s="11">
        <v>2</v>
      </c>
      <c r="I3325" s="11">
        <v>2</v>
      </c>
      <c r="J3325" s="11">
        <v>3</v>
      </c>
      <c r="K3325" s="11">
        <v>3</v>
      </c>
      <c r="L3325" s="11">
        <v>3</v>
      </c>
      <c r="M3325" s="11">
        <v>2</v>
      </c>
      <c r="N3325" s="11">
        <v>2</v>
      </c>
      <c r="O3325" s="136">
        <v>2</v>
      </c>
      <c r="P3325" s="11">
        <f t="shared" ref="P3325:P3326" si="626">MIN(F3325:O3325)</f>
        <v>2</v>
      </c>
      <c r="Q3325" s="11">
        <f t="shared" ref="Q3325:Q3326" si="627">E3325-P3325</f>
        <v>3</v>
      </c>
      <c r="R3325" s="122">
        <f t="shared" ref="R3325:R3326" si="628">Q3325/E3325</f>
        <v>0.6</v>
      </c>
      <c r="S3325" s="503"/>
    </row>
    <row r="3326" spans="1:19" ht="9.75" customHeight="1">
      <c r="A3326" s="503"/>
      <c r="B3326" s="503"/>
      <c r="C3326" s="1"/>
      <c r="D3326" s="108" t="s">
        <v>454</v>
      </c>
      <c r="E3326" s="136">
        <v>6</v>
      </c>
      <c r="F3326" s="11">
        <v>4</v>
      </c>
      <c r="G3326" s="11">
        <v>3</v>
      </c>
      <c r="H3326" s="11">
        <v>3</v>
      </c>
      <c r="I3326" s="11">
        <v>3</v>
      </c>
      <c r="J3326" s="11">
        <v>4</v>
      </c>
      <c r="K3326" s="11">
        <v>2</v>
      </c>
      <c r="L3326" s="11">
        <v>2</v>
      </c>
      <c r="M3326" s="11">
        <v>4</v>
      </c>
      <c r="N3326" s="11">
        <v>5</v>
      </c>
      <c r="O3326" s="136">
        <v>3</v>
      </c>
      <c r="P3326" s="11">
        <f t="shared" si="626"/>
        <v>2</v>
      </c>
      <c r="Q3326" s="11">
        <f t="shared" si="627"/>
        <v>4</v>
      </c>
      <c r="R3326" s="122">
        <f t="shared" si="628"/>
        <v>0.66666666666666663</v>
      </c>
      <c r="S3326" s="503"/>
    </row>
    <row r="3327" spans="1:19" ht="9.75" customHeight="1">
      <c r="A3327" s="503"/>
      <c r="B3327" s="503"/>
      <c r="C3327" s="1"/>
      <c r="D3327" s="108" t="s">
        <v>120</v>
      </c>
      <c r="E3327" s="108"/>
      <c r="F3327" s="91"/>
      <c r="G3327" s="91"/>
      <c r="H3327" s="91"/>
      <c r="I3327" s="91"/>
      <c r="J3327" s="91"/>
      <c r="K3327" s="91"/>
      <c r="L3327" s="91"/>
      <c r="M3327" s="91"/>
      <c r="N3327" s="91"/>
      <c r="O3327" s="108"/>
      <c r="P3327" s="91"/>
      <c r="Q3327" s="91"/>
      <c r="R3327" s="107"/>
      <c r="S3327" s="503"/>
    </row>
    <row r="3328" spans="1:19" ht="9.75" customHeight="1">
      <c r="A3328" s="503"/>
      <c r="B3328" s="503"/>
      <c r="C3328" s="1"/>
      <c r="D3328" s="108" t="s">
        <v>120</v>
      </c>
      <c r="E3328" s="108"/>
      <c r="F3328" s="91"/>
      <c r="G3328" s="91"/>
      <c r="H3328" s="91"/>
      <c r="I3328" s="91"/>
      <c r="J3328" s="91"/>
      <c r="K3328" s="91"/>
      <c r="L3328" s="91"/>
      <c r="M3328" s="91"/>
      <c r="N3328" s="91"/>
      <c r="O3328" s="108"/>
      <c r="P3328" s="91"/>
      <c r="Q3328" s="91"/>
      <c r="R3328" s="107"/>
      <c r="S3328" s="503"/>
    </row>
    <row r="3329" spans="1:19" ht="9.75" customHeight="1">
      <c r="A3329" s="503"/>
      <c r="B3329" s="503"/>
      <c r="C3329" s="1"/>
      <c r="D3329" s="108" t="s">
        <v>120</v>
      </c>
      <c r="E3329" s="108"/>
      <c r="F3329" s="91"/>
      <c r="G3329" s="91"/>
      <c r="H3329" s="91"/>
      <c r="I3329" s="91"/>
      <c r="J3329" s="91"/>
      <c r="K3329" s="91"/>
      <c r="L3329" s="91"/>
      <c r="M3329" s="91"/>
      <c r="N3329" s="91"/>
      <c r="O3329" s="108"/>
      <c r="P3329" s="91"/>
      <c r="Q3329" s="91"/>
      <c r="R3329" s="107"/>
      <c r="S3329" s="503"/>
    </row>
    <row r="3330" spans="1:19" ht="9.75" customHeight="1">
      <c r="A3330" s="503"/>
      <c r="B3330" s="503"/>
      <c r="C3330" s="1"/>
      <c r="D3330" s="108" t="s">
        <v>120</v>
      </c>
      <c r="E3330" s="108"/>
      <c r="F3330" s="91"/>
      <c r="G3330" s="91"/>
      <c r="H3330" s="91"/>
      <c r="I3330" s="91"/>
      <c r="J3330" s="91"/>
      <c r="K3330" s="91"/>
      <c r="L3330" s="91"/>
      <c r="M3330" s="91"/>
      <c r="N3330" s="91"/>
      <c r="O3330" s="108"/>
      <c r="P3330" s="91"/>
      <c r="Q3330" s="91"/>
      <c r="R3330" s="107"/>
      <c r="S3330" s="503"/>
    </row>
    <row r="3331" spans="1:19" ht="9.75" customHeight="1">
      <c r="A3331" s="503"/>
      <c r="B3331" s="503"/>
      <c r="C3331" s="1"/>
      <c r="D3331" s="108" t="s">
        <v>120</v>
      </c>
      <c r="E3331" s="108"/>
      <c r="F3331" s="91"/>
      <c r="G3331" s="91"/>
      <c r="H3331" s="91"/>
      <c r="I3331" s="91"/>
      <c r="J3331" s="91"/>
      <c r="K3331" s="91"/>
      <c r="L3331" s="91"/>
      <c r="M3331" s="91"/>
      <c r="N3331" s="91"/>
      <c r="O3331" s="108"/>
      <c r="P3331" s="91"/>
      <c r="Q3331" s="91"/>
      <c r="R3331" s="107"/>
      <c r="S3331" s="503"/>
    </row>
    <row r="3332" spans="1:19" ht="9.75" customHeight="1">
      <c r="A3332" s="503"/>
      <c r="B3332" s="503"/>
      <c r="C3332" s="1"/>
      <c r="D3332" s="108" t="s">
        <v>34</v>
      </c>
      <c r="E3332" s="108"/>
      <c r="F3332" s="91"/>
      <c r="G3332" s="91"/>
      <c r="H3332" s="91"/>
      <c r="I3332" s="91"/>
      <c r="J3332" s="91"/>
      <c r="K3332" s="91"/>
      <c r="L3332" s="91"/>
      <c r="M3332" s="91"/>
      <c r="N3332" s="91"/>
      <c r="O3332" s="108"/>
      <c r="P3332" s="91"/>
      <c r="Q3332" s="91"/>
      <c r="R3332" s="107"/>
      <c r="S3332" s="503"/>
    </row>
    <row r="3333" spans="1:19" ht="9.75" customHeight="1">
      <c r="A3333" s="503"/>
      <c r="B3333" s="503"/>
      <c r="C3333" s="1"/>
      <c r="D3333" s="108" t="s">
        <v>35</v>
      </c>
      <c r="E3333" s="108"/>
      <c r="F3333" s="91"/>
      <c r="G3333" s="91"/>
      <c r="H3333" s="91"/>
      <c r="I3333" s="91"/>
      <c r="J3333" s="91"/>
      <c r="K3333" s="91"/>
      <c r="L3333" s="91"/>
      <c r="M3333" s="91"/>
      <c r="N3333" s="91"/>
      <c r="O3333" s="108"/>
      <c r="P3333" s="91"/>
      <c r="Q3333" s="91"/>
      <c r="R3333" s="107"/>
      <c r="S3333" s="503"/>
    </row>
    <row r="3334" spans="1:19" ht="9.75" customHeight="1">
      <c r="A3334" s="503"/>
      <c r="B3334" s="503"/>
      <c r="C3334" s="1"/>
      <c r="D3334" s="108" t="s">
        <v>36</v>
      </c>
      <c r="E3334" s="108"/>
      <c r="F3334" s="91"/>
      <c r="G3334" s="91"/>
      <c r="H3334" s="91"/>
      <c r="I3334" s="91"/>
      <c r="J3334" s="91"/>
      <c r="K3334" s="91"/>
      <c r="L3334" s="91"/>
      <c r="M3334" s="91"/>
      <c r="N3334" s="91"/>
      <c r="O3334" s="108"/>
      <c r="P3334" s="91"/>
      <c r="Q3334" s="91"/>
      <c r="R3334" s="107"/>
      <c r="S3334" s="503"/>
    </row>
    <row r="3335" spans="1:19" ht="9.75" customHeight="1">
      <c r="A3335" s="503"/>
      <c r="B3335" s="503"/>
      <c r="C3335" s="1"/>
      <c r="D3335" s="113" t="s">
        <v>37</v>
      </c>
      <c r="E3335" s="113"/>
      <c r="F3335" s="112"/>
      <c r="G3335" s="112"/>
      <c r="H3335" s="112"/>
      <c r="I3335" s="112"/>
      <c r="J3335" s="112"/>
      <c r="K3335" s="112"/>
      <c r="L3335" s="112"/>
      <c r="M3335" s="112"/>
      <c r="N3335" s="112"/>
      <c r="O3335" s="113"/>
      <c r="P3335" s="112"/>
      <c r="Q3335" s="112"/>
      <c r="R3335" s="165"/>
      <c r="S3335" s="503"/>
    </row>
    <row r="3336" spans="1:19" ht="9.75" customHeight="1">
      <c r="A3336" s="503"/>
      <c r="B3336" s="503" t="s">
        <v>127</v>
      </c>
      <c r="C3336" s="25"/>
      <c r="D3336" s="5" t="s">
        <v>38</v>
      </c>
      <c r="E3336" s="166">
        <f t="shared" ref="E3336:O3336" si="629">SUM(E3320:E3335)</f>
        <v>11</v>
      </c>
      <c r="F3336" s="167">
        <f t="shared" si="629"/>
        <v>6</v>
      </c>
      <c r="G3336" s="167">
        <f t="shared" si="629"/>
        <v>5</v>
      </c>
      <c r="H3336" s="167">
        <f t="shared" si="629"/>
        <v>5</v>
      </c>
      <c r="I3336" s="167">
        <f t="shared" si="629"/>
        <v>5</v>
      </c>
      <c r="J3336" s="167">
        <f t="shared" si="629"/>
        <v>7</v>
      </c>
      <c r="K3336" s="167">
        <f t="shared" si="629"/>
        <v>5</v>
      </c>
      <c r="L3336" s="167">
        <f t="shared" si="629"/>
        <v>5</v>
      </c>
      <c r="M3336" s="167">
        <f t="shared" si="629"/>
        <v>6</v>
      </c>
      <c r="N3336" s="167">
        <f t="shared" si="629"/>
        <v>7</v>
      </c>
      <c r="O3336" s="166">
        <f t="shared" si="629"/>
        <v>5</v>
      </c>
      <c r="P3336" s="167">
        <f>MIN(F3336:O3336)</f>
        <v>5</v>
      </c>
      <c r="Q3336" s="167">
        <f>E3336-P3336</f>
        <v>6</v>
      </c>
      <c r="R3336" s="168">
        <f>Q3336/E3336</f>
        <v>0.54545454545454541</v>
      </c>
      <c r="S3336" s="503"/>
    </row>
    <row r="3337" spans="1:19" ht="9.75" customHeight="1">
      <c r="A3337" s="503"/>
      <c r="B3337" s="503"/>
      <c r="C3337" s="1" t="s">
        <v>455</v>
      </c>
      <c r="D3337" s="108" t="s">
        <v>23</v>
      </c>
      <c r="E3337" s="108"/>
      <c r="F3337" s="91"/>
      <c r="G3337" s="91"/>
      <c r="H3337" s="91"/>
      <c r="I3337" s="91"/>
      <c r="J3337" s="91"/>
      <c r="K3337" s="91"/>
      <c r="L3337" s="91"/>
      <c r="M3337" s="91"/>
      <c r="N3337" s="91"/>
      <c r="O3337" s="108"/>
      <c r="P3337" s="91"/>
      <c r="Q3337" s="91"/>
      <c r="R3337" s="107"/>
      <c r="S3337" s="503"/>
    </row>
    <row r="3338" spans="1:19" ht="9.75" customHeight="1">
      <c r="A3338" s="503"/>
      <c r="B3338" s="503"/>
      <c r="C3338" s="13"/>
      <c r="D3338" s="108" t="s">
        <v>25</v>
      </c>
      <c r="E3338" s="136">
        <v>118</v>
      </c>
      <c r="F3338" s="11">
        <v>59</v>
      </c>
      <c r="G3338" s="11">
        <v>55</v>
      </c>
      <c r="H3338" s="11">
        <v>56</v>
      </c>
      <c r="I3338" s="11">
        <v>60</v>
      </c>
      <c r="J3338" s="11">
        <v>65</v>
      </c>
      <c r="K3338" s="11">
        <v>70</v>
      </c>
      <c r="L3338" s="11">
        <v>79</v>
      </c>
      <c r="M3338" s="11">
        <v>78</v>
      </c>
      <c r="N3338" s="11">
        <v>80</v>
      </c>
      <c r="O3338" s="136">
        <v>81</v>
      </c>
      <c r="P3338" s="11">
        <f>MIN(F3338:O3338)</f>
        <v>55</v>
      </c>
      <c r="Q3338" s="11">
        <f>E3338-P3338</f>
        <v>63</v>
      </c>
      <c r="R3338" s="122">
        <f>Q3338/E3338</f>
        <v>0.53389830508474578</v>
      </c>
      <c r="S3338" s="503"/>
    </row>
    <row r="3339" spans="1:19" ht="9.75" customHeight="1">
      <c r="A3339" s="503"/>
      <c r="B3339" s="503"/>
      <c r="C3339" s="13"/>
      <c r="D3339" s="108" t="s">
        <v>27</v>
      </c>
      <c r="E3339" s="108"/>
      <c r="F3339" s="91"/>
      <c r="G3339" s="91"/>
      <c r="H3339" s="91"/>
      <c r="I3339" s="91"/>
      <c r="J3339" s="91"/>
      <c r="K3339" s="91"/>
      <c r="L3339" s="91"/>
      <c r="M3339" s="91"/>
      <c r="N3339" s="91"/>
      <c r="O3339" s="108"/>
      <c r="P3339" s="91"/>
      <c r="Q3339" s="91"/>
      <c r="R3339" s="107"/>
      <c r="S3339" s="503"/>
    </row>
    <row r="3340" spans="1:19" ht="9.75" customHeight="1">
      <c r="A3340" s="503"/>
      <c r="B3340" s="503"/>
      <c r="C3340" s="13"/>
      <c r="D3340" s="108" t="s">
        <v>115</v>
      </c>
      <c r="E3340" s="108"/>
      <c r="F3340" s="91"/>
      <c r="G3340" s="91"/>
      <c r="H3340" s="91"/>
      <c r="I3340" s="91"/>
      <c r="J3340" s="91"/>
      <c r="K3340" s="91"/>
      <c r="L3340" s="91"/>
      <c r="M3340" s="91"/>
      <c r="N3340" s="91"/>
      <c r="O3340" s="108"/>
      <c r="P3340" s="91"/>
      <c r="Q3340" s="91"/>
      <c r="R3340" s="107"/>
      <c r="S3340" s="503"/>
    </row>
    <row r="3341" spans="1:19" ht="9.75" customHeight="1">
      <c r="A3341" s="503"/>
      <c r="B3341" s="503"/>
      <c r="C3341" s="1"/>
      <c r="D3341" s="108" t="s">
        <v>115</v>
      </c>
      <c r="E3341" s="108"/>
      <c r="F3341" s="91"/>
      <c r="G3341" s="91"/>
      <c r="H3341" s="91"/>
      <c r="I3341" s="91"/>
      <c r="J3341" s="91"/>
      <c r="K3341" s="91"/>
      <c r="L3341" s="91"/>
      <c r="M3341" s="91"/>
      <c r="N3341" s="91"/>
      <c r="O3341" s="108"/>
      <c r="P3341" s="91"/>
      <c r="Q3341" s="91"/>
      <c r="R3341" s="107"/>
      <c r="S3341" s="503"/>
    </row>
    <row r="3342" spans="1:19" ht="9.75" customHeight="1">
      <c r="A3342" s="503"/>
      <c r="B3342" s="503"/>
      <c r="C3342" s="1"/>
      <c r="D3342" s="108" t="s">
        <v>32</v>
      </c>
      <c r="E3342" s="108"/>
      <c r="F3342" s="91"/>
      <c r="G3342" s="91"/>
      <c r="H3342" s="91"/>
      <c r="I3342" s="91"/>
      <c r="J3342" s="91"/>
      <c r="K3342" s="91"/>
      <c r="L3342" s="91"/>
      <c r="M3342" s="91"/>
      <c r="N3342" s="91"/>
      <c r="O3342" s="108"/>
      <c r="P3342" s="91"/>
      <c r="Q3342" s="91"/>
      <c r="R3342" s="107"/>
      <c r="S3342" s="503"/>
    </row>
    <row r="3343" spans="1:19" ht="9.75" customHeight="1">
      <c r="A3343" s="503"/>
      <c r="B3343" s="503"/>
      <c r="C3343" s="1"/>
      <c r="D3343" s="108" t="s">
        <v>120</v>
      </c>
      <c r="E3343" s="108"/>
      <c r="F3343" s="91"/>
      <c r="G3343" s="91"/>
      <c r="H3343" s="91"/>
      <c r="I3343" s="91"/>
      <c r="J3343" s="91"/>
      <c r="K3343" s="91"/>
      <c r="L3343" s="91"/>
      <c r="M3343" s="91"/>
      <c r="N3343" s="91"/>
      <c r="O3343" s="108"/>
      <c r="P3343" s="91"/>
      <c r="Q3343" s="91"/>
      <c r="R3343" s="107"/>
      <c r="S3343" s="503"/>
    </row>
    <row r="3344" spans="1:19" ht="9.75" customHeight="1">
      <c r="A3344" s="503"/>
      <c r="B3344" s="503"/>
      <c r="C3344" s="1"/>
      <c r="D3344" s="108" t="s">
        <v>120</v>
      </c>
      <c r="E3344" s="108"/>
      <c r="F3344" s="91"/>
      <c r="G3344" s="91"/>
      <c r="H3344" s="91"/>
      <c r="I3344" s="91"/>
      <c r="J3344" s="91"/>
      <c r="K3344" s="91"/>
      <c r="L3344" s="91"/>
      <c r="M3344" s="91"/>
      <c r="N3344" s="91"/>
      <c r="O3344" s="108"/>
      <c r="P3344" s="91"/>
      <c r="Q3344" s="91"/>
      <c r="R3344" s="107"/>
      <c r="S3344" s="503"/>
    </row>
    <row r="3345" spans="1:19" ht="9.75" customHeight="1">
      <c r="A3345" s="503"/>
      <c r="B3345" s="503"/>
      <c r="C3345" s="1"/>
      <c r="D3345" s="108" t="s">
        <v>120</v>
      </c>
      <c r="E3345" s="108"/>
      <c r="F3345" s="91"/>
      <c r="G3345" s="91"/>
      <c r="H3345" s="91"/>
      <c r="I3345" s="91"/>
      <c r="J3345" s="91"/>
      <c r="K3345" s="91"/>
      <c r="L3345" s="91"/>
      <c r="M3345" s="91"/>
      <c r="N3345" s="91"/>
      <c r="O3345" s="108"/>
      <c r="P3345" s="91"/>
      <c r="Q3345" s="91"/>
      <c r="R3345" s="107"/>
      <c r="S3345" s="503"/>
    </row>
    <row r="3346" spans="1:19" ht="9.75" customHeight="1">
      <c r="A3346" s="503"/>
      <c r="B3346" s="503"/>
      <c r="C3346" s="1"/>
      <c r="D3346" s="108" t="s">
        <v>120</v>
      </c>
      <c r="E3346" s="108"/>
      <c r="F3346" s="91"/>
      <c r="G3346" s="91"/>
      <c r="H3346" s="91"/>
      <c r="I3346" s="91"/>
      <c r="J3346" s="91"/>
      <c r="K3346" s="91"/>
      <c r="L3346" s="91"/>
      <c r="M3346" s="91"/>
      <c r="N3346" s="91"/>
      <c r="O3346" s="108"/>
      <c r="P3346" s="91"/>
      <c r="Q3346" s="91"/>
      <c r="R3346" s="107"/>
      <c r="S3346" s="503"/>
    </row>
    <row r="3347" spans="1:19" ht="9.75" customHeight="1">
      <c r="A3347" s="503"/>
      <c r="B3347" s="503"/>
      <c r="C3347" s="1"/>
      <c r="D3347" s="108" t="s">
        <v>120</v>
      </c>
      <c r="E3347" s="108"/>
      <c r="F3347" s="91"/>
      <c r="G3347" s="91"/>
      <c r="H3347" s="91"/>
      <c r="I3347" s="91"/>
      <c r="J3347" s="91"/>
      <c r="K3347" s="91"/>
      <c r="L3347" s="91"/>
      <c r="M3347" s="91"/>
      <c r="N3347" s="91"/>
      <c r="O3347" s="108"/>
      <c r="P3347" s="91"/>
      <c r="Q3347" s="91"/>
      <c r="R3347" s="107"/>
      <c r="S3347" s="503"/>
    </row>
    <row r="3348" spans="1:19" ht="9.75" customHeight="1">
      <c r="A3348" s="503"/>
      <c r="B3348" s="503"/>
      <c r="C3348" s="1"/>
      <c r="D3348" s="108" t="s">
        <v>120</v>
      </c>
      <c r="E3348" s="108"/>
      <c r="F3348" s="91"/>
      <c r="G3348" s="91"/>
      <c r="H3348" s="91"/>
      <c r="I3348" s="91"/>
      <c r="J3348" s="91"/>
      <c r="K3348" s="91"/>
      <c r="L3348" s="91"/>
      <c r="M3348" s="91"/>
      <c r="N3348" s="91"/>
      <c r="O3348" s="108"/>
      <c r="P3348" s="91"/>
      <c r="Q3348" s="91"/>
      <c r="R3348" s="107"/>
      <c r="S3348" s="503"/>
    </row>
    <row r="3349" spans="1:19" ht="9.75" customHeight="1">
      <c r="A3349" s="503"/>
      <c r="B3349" s="503"/>
      <c r="C3349" s="1"/>
      <c r="D3349" s="108" t="s">
        <v>34</v>
      </c>
      <c r="E3349" s="108"/>
      <c r="F3349" s="91"/>
      <c r="G3349" s="91"/>
      <c r="H3349" s="91"/>
      <c r="I3349" s="91"/>
      <c r="J3349" s="91"/>
      <c r="K3349" s="91"/>
      <c r="L3349" s="91"/>
      <c r="M3349" s="91"/>
      <c r="N3349" s="91"/>
      <c r="O3349" s="108"/>
      <c r="P3349" s="91"/>
      <c r="Q3349" s="91"/>
      <c r="R3349" s="107"/>
      <c r="S3349" s="503"/>
    </row>
    <row r="3350" spans="1:19" ht="9.75" customHeight="1">
      <c r="A3350" s="503"/>
      <c r="B3350" s="503"/>
      <c r="C3350" s="1"/>
      <c r="D3350" s="108" t="s">
        <v>35</v>
      </c>
      <c r="E3350" s="108"/>
      <c r="F3350" s="91"/>
      <c r="G3350" s="91"/>
      <c r="H3350" s="91"/>
      <c r="I3350" s="91"/>
      <c r="J3350" s="91"/>
      <c r="K3350" s="91"/>
      <c r="L3350" s="91"/>
      <c r="M3350" s="91"/>
      <c r="N3350" s="91"/>
      <c r="O3350" s="108"/>
      <c r="P3350" s="91"/>
      <c r="Q3350" s="91"/>
      <c r="R3350" s="107"/>
      <c r="S3350" s="503"/>
    </row>
    <row r="3351" spans="1:19" ht="9.75" customHeight="1">
      <c r="A3351" s="503"/>
      <c r="B3351" s="503"/>
      <c r="C3351" s="1"/>
      <c r="D3351" s="108" t="s">
        <v>36</v>
      </c>
      <c r="E3351" s="108"/>
      <c r="F3351" s="91"/>
      <c r="G3351" s="91"/>
      <c r="H3351" s="91"/>
      <c r="I3351" s="91"/>
      <c r="J3351" s="91"/>
      <c r="K3351" s="91"/>
      <c r="L3351" s="91"/>
      <c r="M3351" s="91"/>
      <c r="N3351" s="91"/>
      <c r="O3351" s="108"/>
      <c r="P3351" s="91"/>
      <c r="Q3351" s="91"/>
      <c r="R3351" s="107"/>
      <c r="S3351" s="503"/>
    </row>
    <row r="3352" spans="1:19" ht="9.75" customHeight="1">
      <c r="A3352" s="503"/>
      <c r="B3352" s="503"/>
      <c r="C3352" s="1"/>
      <c r="D3352" s="113" t="s">
        <v>37</v>
      </c>
      <c r="E3352" s="113"/>
      <c r="F3352" s="112"/>
      <c r="G3352" s="112"/>
      <c r="H3352" s="112"/>
      <c r="I3352" s="112"/>
      <c r="J3352" s="112"/>
      <c r="K3352" s="112"/>
      <c r="L3352" s="112"/>
      <c r="M3352" s="112"/>
      <c r="N3352" s="112"/>
      <c r="O3352" s="113"/>
      <c r="P3352" s="112"/>
      <c r="Q3352" s="112"/>
      <c r="R3352" s="165"/>
      <c r="S3352" s="503"/>
    </row>
    <row r="3353" spans="1:19" ht="9.75" customHeight="1">
      <c r="A3353" s="503"/>
      <c r="B3353" s="503" t="s">
        <v>127</v>
      </c>
      <c r="C3353" s="25"/>
      <c r="D3353" s="5" t="s">
        <v>38</v>
      </c>
      <c r="E3353" s="166">
        <f t="shared" ref="E3353:O3353" si="630">SUM(E3337:E3352)</f>
        <v>118</v>
      </c>
      <c r="F3353" s="167">
        <f t="shared" si="630"/>
        <v>59</v>
      </c>
      <c r="G3353" s="167">
        <f t="shared" si="630"/>
        <v>55</v>
      </c>
      <c r="H3353" s="167">
        <f t="shared" si="630"/>
        <v>56</v>
      </c>
      <c r="I3353" s="167">
        <f t="shared" si="630"/>
        <v>60</v>
      </c>
      <c r="J3353" s="167">
        <f t="shared" si="630"/>
        <v>65</v>
      </c>
      <c r="K3353" s="167">
        <f t="shared" si="630"/>
        <v>70</v>
      </c>
      <c r="L3353" s="167">
        <f t="shared" si="630"/>
        <v>79</v>
      </c>
      <c r="M3353" s="167">
        <f t="shared" si="630"/>
        <v>78</v>
      </c>
      <c r="N3353" s="167">
        <f t="shared" si="630"/>
        <v>80</v>
      </c>
      <c r="O3353" s="166">
        <f t="shared" si="630"/>
        <v>81</v>
      </c>
      <c r="P3353" s="167">
        <f>MIN(F3353:O3353)</f>
        <v>55</v>
      </c>
      <c r="Q3353" s="167">
        <f>E3353-P3353</f>
        <v>63</v>
      </c>
      <c r="R3353" s="168">
        <f>Q3353/E3353</f>
        <v>0.53389830508474578</v>
      </c>
      <c r="S3353" s="503"/>
    </row>
    <row r="3354" spans="1:19" ht="9.75" customHeight="1">
      <c r="A3354" s="503"/>
      <c r="B3354" s="503"/>
      <c r="C3354" s="1" t="s">
        <v>456</v>
      </c>
      <c r="D3354" s="108" t="s">
        <v>23</v>
      </c>
      <c r="E3354" s="108"/>
      <c r="F3354" s="91"/>
      <c r="G3354" s="91"/>
      <c r="H3354" s="91"/>
      <c r="I3354" s="91"/>
      <c r="J3354" s="91"/>
      <c r="K3354" s="91"/>
      <c r="L3354" s="91"/>
      <c r="M3354" s="91"/>
      <c r="N3354" s="91"/>
      <c r="O3354" s="108"/>
      <c r="P3354" s="91"/>
      <c r="Q3354" s="91"/>
      <c r="R3354" s="107"/>
      <c r="S3354" s="503"/>
    </row>
    <row r="3355" spans="1:19" ht="9.75" customHeight="1">
      <c r="A3355" s="503"/>
      <c r="B3355" s="503"/>
      <c r="C3355" s="13"/>
      <c r="D3355" s="108" t="s">
        <v>25</v>
      </c>
      <c r="E3355" s="136">
        <v>60</v>
      </c>
      <c r="F3355" s="11">
        <v>55</v>
      </c>
      <c r="G3355" s="11">
        <v>53</v>
      </c>
      <c r="H3355" s="11">
        <v>51</v>
      </c>
      <c r="I3355" s="11">
        <v>50</v>
      </c>
      <c r="J3355" s="11">
        <v>50</v>
      </c>
      <c r="K3355" s="11">
        <v>51</v>
      </c>
      <c r="L3355" s="11">
        <v>52</v>
      </c>
      <c r="M3355" s="11">
        <v>55</v>
      </c>
      <c r="N3355" s="11">
        <v>52</v>
      </c>
      <c r="O3355" s="136">
        <v>51</v>
      </c>
      <c r="P3355" s="11">
        <f>MIN(F3355:O3355)</f>
        <v>50</v>
      </c>
      <c r="Q3355" s="11">
        <f>E3355-P3355</f>
        <v>10</v>
      </c>
      <c r="R3355" s="122">
        <f>Q3355/E3355</f>
        <v>0.16666666666666666</v>
      </c>
      <c r="S3355" s="503"/>
    </row>
    <row r="3356" spans="1:19" ht="9.75" customHeight="1">
      <c r="A3356" s="503"/>
      <c r="B3356" s="503"/>
      <c r="C3356" s="13"/>
      <c r="D3356" s="108" t="s">
        <v>27</v>
      </c>
      <c r="E3356" s="108"/>
      <c r="F3356" s="91"/>
      <c r="G3356" s="91"/>
      <c r="H3356" s="91"/>
      <c r="I3356" s="91"/>
      <c r="J3356" s="91"/>
      <c r="K3356" s="91"/>
      <c r="L3356" s="91"/>
      <c r="M3356" s="91"/>
      <c r="N3356" s="91"/>
      <c r="O3356" s="108"/>
      <c r="P3356" s="91"/>
      <c r="Q3356" s="91"/>
      <c r="R3356" s="107"/>
      <c r="S3356" s="503"/>
    </row>
    <row r="3357" spans="1:19" ht="9.75" customHeight="1">
      <c r="A3357" s="503"/>
      <c r="B3357" s="503"/>
      <c r="C3357" s="13"/>
      <c r="D3357" s="108" t="s">
        <v>115</v>
      </c>
      <c r="E3357" s="108"/>
      <c r="F3357" s="91"/>
      <c r="G3357" s="91"/>
      <c r="H3357" s="91"/>
      <c r="I3357" s="91"/>
      <c r="J3357" s="91"/>
      <c r="K3357" s="91"/>
      <c r="L3357" s="91"/>
      <c r="M3357" s="91"/>
      <c r="N3357" s="91"/>
      <c r="O3357" s="108"/>
      <c r="P3357" s="91"/>
      <c r="Q3357" s="91"/>
      <c r="R3357" s="107"/>
      <c r="S3357" s="503"/>
    </row>
    <row r="3358" spans="1:19" ht="9.75" customHeight="1">
      <c r="A3358" s="503"/>
      <c r="B3358" s="503"/>
      <c r="C3358" s="1"/>
      <c r="D3358" s="108" t="s">
        <v>115</v>
      </c>
      <c r="E3358" s="108"/>
      <c r="F3358" s="91"/>
      <c r="G3358" s="91"/>
      <c r="H3358" s="91"/>
      <c r="I3358" s="91"/>
      <c r="J3358" s="91"/>
      <c r="K3358" s="91"/>
      <c r="L3358" s="91"/>
      <c r="M3358" s="91"/>
      <c r="N3358" s="91"/>
      <c r="O3358" s="108"/>
      <c r="P3358" s="91"/>
      <c r="Q3358" s="91"/>
      <c r="R3358" s="107"/>
      <c r="S3358" s="503"/>
    </row>
    <row r="3359" spans="1:19" ht="9.75" customHeight="1">
      <c r="A3359" s="503"/>
      <c r="B3359" s="503"/>
      <c r="C3359" s="1"/>
      <c r="D3359" s="108" t="s">
        <v>32</v>
      </c>
      <c r="E3359" s="108"/>
      <c r="F3359" s="91"/>
      <c r="G3359" s="91"/>
      <c r="H3359" s="91"/>
      <c r="I3359" s="91"/>
      <c r="J3359" s="91"/>
      <c r="K3359" s="91"/>
      <c r="L3359" s="91"/>
      <c r="M3359" s="91"/>
      <c r="N3359" s="91"/>
      <c r="O3359" s="108"/>
      <c r="P3359" s="91"/>
      <c r="Q3359" s="91"/>
      <c r="R3359" s="107"/>
      <c r="S3359" s="503"/>
    </row>
    <row r="3360" spans="1:19" ht="9.75" customHeight="1">
      <c r="A3360" s="503"/>
      <c r="B3360" s="503"/>
      <c r="C3360" s="1"/>
      <c r="D3360" s="108" t="s">
        <v>120</v>
      </c>
      <c r="E3360" s="108"/>
      <c r="F3360" s="91"/>
      <c r="G3360" s="91"/>
      <c r="H3360" s="91"/>
      <c r="I3360" s="91"/>
      <c r="J3360" s="91"/>
      <c r="K3360" s="91"/>
      <c r="L3360" s="91"/>
      <c r="M3360" s="91"/>
      <c r="N3360" s="91"/>
      <c r="O3360" s="108"/>
      <c r="P3360" s="91"/>
      <c r="Q3360" s="91"/>
      <c r="R3360" s="107"/>
      <c r="S3360" s="503"/>
    </row>
    <row r="3361" spans="1:19" ht="9.75" customHeight="1">
      <c r="A3361" s="503"/>
      <c r="B3361" s="503"/>
      <c r="C3361" s="1"/>
      <c r="D3361" s="108" t="s">
        <v>120</v>
      </c>
      <c r="E3361" s="108"/>
      <c r="F3361" s="91"/>
      <c r="G3361" s="91"/>
      <c r="H3361" s="91"/>
      <c r="I3361" s="91"/>
      <c r="J3361" s="91"/>
      <c r="K3361" s="91"/>
      <c r="L3361" s="91"/>
      <c r="M3361" s="91"/>
      <c r="N3361" s="91"/>
      <c r="O3361" s="108"/>
      <c r="P3361" s="91"/>
      <c r="Q3361" s="91"/>
      <c r="R3361" s="107"/>
      <c r="S3361" s="503"/>
    </row>
    <row r="3362" spans="1:19" ht="9.75" customHeight="1">
      <c r="A3362" s="503"/>
      <c r="B3362" s="503"/>
      <c r="C3362" s="1"/>
      <c r="D3362" s="108" t="s">
        <v>120</v>
      </c>
      <c r="E3362" s="108"/>
      <c r="F3362" s="91"/>
      <c r="G3362" s="91"/>
      <c r="H3362" s="91"/>
      <c r="I3362" s="91"/>
      <c r="J3362" s="91"/>
      <c r="K3362" s="91"/>
      <c r="L3362" s="91"/>
      <c r="M3362" s="91"/>
      <c r="N3362" s="91"/>
      <c r="O3362" s="108"/>
      <c r="P3362" s="91"/>
      <c r="Q3362" s="91"/>
      <c r="R3362" s="107"/>
      <c r="S3362" s="503"/>
    </row>
    <row r="3363" spans="1:19" ht="9.75" customHeight="1">
      <c r="A3363" s="503"/>
      <c r="B3363" s="503"/>
      <c r="C3363" s="1"/>
      <c r="D3363" s="108" t="s">
        <v>120</v>
      </c>
      <c r="E3363" s="108"/>
      <c r="F3363" s="91"/>
      <c r="G3363" s="91"/>
      <c r="H3363" s="91"/>
      <c r="I3363" s="91"/>
      <c r="J3363" s="91"/>
      <c r="K3363" s="91"/>
      <c r="L3363" s="91"/>
      <c r="M3363" s="91"/>
      <c r="N3363" s="91"/>
      <c r="O3363" s="108"/>
      <c r="P3363" s="91"/>
      <c r="Q3363" s="91"/>
      <c r="R3363" s="107"/>
      <c r="S3363" s="503"/>
    </row>
    <row r="3364" spans="1:19" ht="9.75" customHeight="1">
      <c r="A3364" s="503"/>
      <c r="B3364" s="503"/>
      <c r="C3364" s="1"/>
      <c r="D3364" s="108" t="s">
        <v>120</v>
      </c>
      <c r="E3364" s="108"/>
      <c r="F3364" s="91"/>
      <c r="G3364" s="91"/>
      <c r="H3364" s="91"/>
      <c r="I3364" s="91"/>
      <c r="J3364" s="91"/>
      <c r="K3364" s="91"/>
      <c r="L3364" s="91"/>
      <c r="M3364" s="91"/>
      <c r="N3364" s="91"/>
      <c r="O3364" s="108"/>
      <c r="P3364" s="91"/>
      <c r="Q3364" s="91"/>
      <c r="R3364" s="107"/>
      <c r="S3364" s="503"/>
    </row>
    <row r="3365" spans="1:19" ht="9.75" customHeight="1">
      <c r="A3365" s="503"/>
      <c r="B3365" s="503"/>
      <c r="C3365" s="1"/>
      <c r="D3365" s="108" t="s">
        <v>120</v>
      </c>
      <c r="E3365" s="108"/>
      <c r="F3365" s="91"/>
      <c r="G3365" s="91"/>
      <c r="H3365" s="91"/>
      <c r="I3365" s="91"/>
      <c r="J3365" s="91"/>
      <c r="K3365" s="91"/>
      <c r="L3365" s="91"/>
      <c r="M3365" s="91"/>
      <c r="N3365" s="91"/>
      <c r="O3365" s="108"/>
      <c r="P3365" s="91"/>
      <c r="Q3365" s="91"/>
      <c r="R3365" s="107"/>
      <c r="S3365" s="503"/>
    </row>
    <row r="3366" spans="1:19" ht="9.75" customHeight="1">
      <c r="A3366" s="503"/>
      <c r="B3366" s="503"/>
      <c r="C3366" s="1"/>
      <c r="D3366" s="108" t="s">
        <v>34</v>
      </c>
      <c r="E3366" s="108"/>
      <c r="F3366" s="91"/>
      <c r="G3366" s="91"/>
      <c r="H3366" s="91"/>
      <c r="I3366" s="91"/>
      <c r="J3366" s="91"/>
      <c r="K3366" s="91"/>
      <c r="L3366" s="91"/>
      <c r="M3366" s="91"/>
      <c r="N3366" s="91"/>
      <c r="O3366" s="108"/>
      <c r="P3366" s="91"/>
      <c r="Q3366" s="91"/>
      <c r="R3366" s="107"/>
      <c r="S3366" s="503"/>
    </row>
    <row r="3367" spans="1:19" ht="9.75" customHeight="1">
      <c r="A3367" s="503"/>
      <c r="B3367" s="503"/>
      <c r="C3367" s="1"/>
      <c r="D3367" s="108" t="s">
        <v>35</v>
      </c>
      <c r="E3367" s="108"/>
      <c r="F3367" s="91"/>
      <c r="G3367" s="91"/>
      <c r="H3367" s="91"/>
      <c r="I3367" s="91"/>
      <c r="J3367" s="91"/>
      <c r="K3367" s="91"/>
      <c r="L3367" s="91"/>
      <c r="M3367" s="91"/>
      <c r="N3367" s="91"/>
      <c r="O3367" s="108"/>
      <c r="P3367" s="91"/>
      <c r="Q3367" s="91"/>
      <c r="R3367" s="107"/>
      <c r="S3367" s="503"/>
    </row>
    <row r="3368" spans="1:19" ht="9.75" customHeight="1">
      <c r="A3368" s="503"/>
      <c r="B3368" s="503"/>
      <c r="C3368" s="1"/>
      <c r="D3368" s="108" t="s">
        <v>36</v>
      </c>
      <c r="E3368" s="108"/>
      <c r="F3368" s="91"/>
      <c r="G3368" s="91"/>
      <c r="H3368" s="91"/>
      <c r="I3368" s="91"/>
      <c r="J3368" s="91"/>
      <c r="K3368" s="91"/>
      <c r="L3368" s="91"/>
      <c r="M3368" s="91"/>
      <c r="N3368" s="91"/>
      <c r="O3368" s="108"/>
      <c r="P3368" s="91"/>
      <c r="Q3368" s="91"/>
      <c r="R3368" s="107"/>
      <c r="S3368" s="503"/>
    </row>
    <row r="3369" spans="1:19" ht="9.75" customHeight="1">
      <c r="A3369" s="503"/>
      <c r="B3369" s="503"/>
      <c r="C3369" s="1"/>
      <c r="D3369" s="113" t="s">
        <v>37</v>
      </c>
      <c r="E3369" s="113"/>
      <c r="F3369" s="112"/>
      <c r="G3369" s="112"/>
      <c r="H3369" s="112"/>
      <c r="I3369" s="112"/>
      <c r="J3369" s="112"/>
      <c r="K3369" s="112"/>
      <c r="L3369" s="112"/>
      <c r="M3369" s="112"/>
      <c r="N3369" s="112"/>
      <c r="O3369" s="113"/>
      <c r="P3369" s="112"/>
      <c r="Q3369" s="112"/>
      <c r="R3369" s="165"/>
      <c r="S3369" s="503"/>
    </row>
    <row r="3370" spans="1:19" ht="9.75" customHeight="1">
      <c r="A3370" s="503"/>
      <c r="B3370" s="503" t="s">
        <v>127</v>
      </c>
      <c r="C3370" s="25"/>
      <c r="D3370" s="5" t="s">
        <v>38</v>
      </c>
      <c r="E3370" s="166">
        <f t="shared" ref="E3370:O3370" si="631">SUM(E3354:E3369)</f>
        <v>60</v>
      </c>
      <c r="F3370" s="167">
        <f t="shared" si="631"/>
        <v>55</v>
      </c>
      <c r="G3370" s="167">
        <f t="shared" si="631"/>
        <v>53</v>
      </c>
      <c r="H3370" s="167">
        <f t="shared" si="631"/>
        <v>51</v>
      </c>
      <c r="I3370" s="167">
        <f t="shared" si="631"/>
        <v>50</v>
      </c>
      <c r="J3370" s="167">
        <f t="shared" si="631"/>
        <v>50</v>
      </c>
      <c r="K3370" s="167">
        <f t="shared" si="631"/>
        <v>51</v>
      </c>
      <c r="L3370" s="167">
        <f t="shared" si="631"/>
        <v>52</v>
      </c>
      <c r="M3370" s="167">
        <f t="shared" si="631"/>
        <v>55</v>
      </c>
      <c r="N3370" s="167">
        <f t="shared" si="631"/>
        <v>52</v>
      </c>
      <c r="O3370" s="166">
        <f t="shared" si="631"/>
        <v>51</v>
      </c>
      <c r="P3370" s="167">
        <f>MIN(F3370:O3370)</f>
        <v>50</v>
      </c>
      <c r="Q3370" s="167">
        <f>E3370-P3370</f>
        <v>10</v>
      </c>
      <c r="R3370" s="168">
        <f>Q3370/E3370</f>
        <v>0.16666666666666666</v>
      </c>
      <c r="S3370" s="503"/>
    </row>
    <row r="3371" spans="1:19" ht="9.75" customHeight="1">
      <c r="A3371" s="503"/>
      <c r="B3371" s="503"/>
      <c r="C3371" s="51" t="s">
        <v>457</v>
      </c>
      <c r="D3371" s="170" t="s">
        <v>23</v>
      </c>
      <c r="E3371" s="170"/>
      <c r="F3371" s="60"/>
      <c r="G3371" s="60"/>
      <c r="H3371" s="60"/>
      <c r="I3371" s="60"/>
      <c r="J3371" s="60"/>
      <c r="K3371" s="60"/>
      <c r="L3371" s="60"/>
      <c r="M3371" s="60"/>
      <c r="N3371" s="60"/>
      <c r="O3371" s="170"/>
      <c r="P3371" s="60"/>
      <c r="Q3371" s="60"/>
      <c r="R3371" s="162"/>
      <c r="S3371" s="503"/>
    </row>
    <row r="3372" spans="1:19" ht="9.75" customHeight="1">
      <c r="A3372" s="503"/>
      <c r="B3372" s="503"/>
      <c r="C3372" s="50"/>
      <c r="D3372" s="170" t="s">
        <v>25</v>
      </c>
      <c r="E3372" s="170"/>
      <c r="F3372" s="60"/>
      <c r="G3372" s="60"/>
      <c r="H3372" s="60"/>
      <c r="I3372" s="60"/>
      <c r="J3372" s="60"/>
      <c r="K3372" s="60"/>
      <c r="L3372" s="60"/>
      <c r="M3372" s="60"/>
      <c r="N3372" s="60"/>
      <c r="O3372" s="170"/>
      <c r="P3372" s="60"/>
      <c r="Q3372" s="60"/>
      <c r="R3372" s="162"/>
      <c r="S3372" s="503"/>
    </row>
    <row r="3373" spans="1:19" ht="9.75" customHeight="1">
      <c r="A3373" s="503"/>
      <c r="B3373" s="503"/>
      <c r="C3373" s="50" t="s">
        <v>66</v>
      </c>
      <c r="D3373" s="170" t="s">
        <v>27</v>
      </c>
      <c r="E3373" s="170"/>
      <c r="F3373" s="60"/>
      <c r="G3373" s="60"/>
      <c r="H3373" s="60"/>
      <c r="I3373" s="60"/>
      <c r="J3373" s="60"/>
      <c r="K3373" s="60"/>
      <c r="L3373" s="60"/>
      <c r="M3373" s="60"/>
      <c r="N3373" s="60"/>
      <c r="O3373" s="170"/>
      <c r="P3373" s="60"/>
      <c r="Q3373" s="60"/>
      <c r="R3373" s="162"/>
      <c r="S3373" s="503"/>
    </row>
    <row r="3374" spans="1:19" ht="9.75" customHeight="1">
      <c r="A3374" s="503"/>
      <c r="B3374" s="503"/>
      <c r="C3374" s="50" t="s">
        <v>396</v>
      </c>
      <c r="D3374" s="170" t="s">
        <v>173</v>
      </c>
      <c r="E3374" s="171"/>
      <c r="F3374" s="61"/>
      <c r="G3374" s="61"/>
      <c r="H3374" s="61"/>
      <c r="I3374" s="61"/>
      <c r="J3374" s="61"/>
      <c r="K3374" s="61"/>
      <c r="L3374" s="61"/>
      <c r="M3374" s="61"/>
      <c r="N3374" s="61"/>
      <c r="O3374" s="171"/>
      <c r="P3374" s="61"/>
      <c r="Q3374" s="61"/>
      <c r="R3374" s="172"/>
      <c r="S3374" s="503"/>
    </row>
    <row r="3375" spans="1:19" ht="9.75" customHeight="1">
      <c r="A3375" s="503"/>
      <c r="B3375" s="503"/>
      <c r="C3375" s="50" t="s">
        <v>397</v>
      </c>
      <c r="D3375" s="170" t="s">
        <v>115</v>
      </c>
      <c r="E3375" s="170"/>
      <c r="F3375" s="60"/>
      <c r="G3375" s="60"/>
      <c r="H3375" s="60"/>
      <c r="I3375" s="60"/>
      <c r="J3375" s="60"/>
      <c r="K3375" s="60"/>
      <c r="L3375" s="60"/>
      <c r="M3375" s="60"/>
      <c r="N3375" s="60"/>
      <c r="O3375" s="170"/>
      <c r="P3375" s="60"/>
      <c r="Q3375" s="60"/>
      <c r="R3375" s="162"/>
      <c r="S3375" s="503"/>
    </row>
    <row r="3376" spans="1:19" ht="9.75" customHeight="1">
      <c r="A3376" s="503"/>
      <c r="B3376" s="503"/>
      <c r="C3376" s="51" t="s">
        <v>398</v>
      </c>
      <c r="D3376" s="170" t="s">
        <v>32</v>
      </c>
      <c r="E3376" s="170"/>
      <c r="F3376" s="60"/>
      <c r="G3376" s="60"/>
      <c r="H3376" s="60"/>
      <c r="I3376" s="60"/>
      <c r="J3376" s="60"/>
      <c r="K3376" s="60"/>
      <c r="L3376" s="60"/>
      <c r="M3376" s="60"/>
      <c r="N3376" s="60"/>
      <c r="O3376" s="170"/>
      <c r="P3376" s="60"/>
      <c r="Q3376" s="60"/>
      <c r="R3376" s="162"/>
      <c r="S3376" s="503"/>
    </row>
    <row r="3377" spans="1:19" ht="9.75" customHeight="1">
      <c r="A3377" s="503"/>
      <c r="B3377" s="503"/>
      <c r="C3377" s="51"/>
      <c r="D3377" s="170" t="s">
        <v>416</v>
      </c>
      <c r="E3377" s="171"/>
      <c r="F3377" s="61"/>
      <c r="G3377" s="61"/>
      <c r="H3377" s="61"/>
      <c r="I3377" s="61"/>
      <c r="J3377" s="61"/>
      <c r="K3377" s="61"/>
      <c r="L3377" s="61"/>
      <c r="M3377" s="61"/>
      <c r="N3377" s="61"/>
      <c r="O3377" s="171"/>
      <c r="P3377" s="61"/>
      <c r="Q3377" s="61"/>
      <c r="R3377" s="172"/>
      <c r="S3377" s="503"/>
    </row>
    <row r="3378" spans="1:19" ht="9.75" customHeight="1">
      <c r="A3378" s="503"/>
      <c r="B3378" s="503"/>
      <c r="C3378" s="51"/>
      <c r="D3378" s="170" t="s">
        <v>120</v>
      </c>
      <c r="E3378" s="170"/>
      <c r="F3378" s="60"/>
      <c r="G3378" s="60"/>
      <c r="H3378" s="60"/>
      <c r="I3378" s="60"/>
      <c r="J3378" s="60"/>
      <c r="K3378" s="60"/>
      <c r="L3378" s="60"/>
      <c r="M3378" s="60"/>
      <c r="N3378" s="60"/>
      <c r="O3378" s="170"/>
      <c r="P3378" s="60"/>
      <c r="Q3378" s="60"/>
      <c r="R3378" s="162"/>
      <c r="S3378" s="503"/>
    </row>
    <row r="3379" spans="1:19" ht="9.75" customHeight="1">
      <c r="A3379" s="503"/>
      <c r="B3379" s="503"/>
      <c r="C3379" s="51"/>
      <c r="D3379" s="170" t="s">
        <v>120</v>
      </c>
      <c r="E3379" s="170"/>
      <c r="F3379" s="60"/>
      <c r="G3379" s="60"/>
      <c r="H3379" s="60"/>
      <c r="I3379" s="60"/>
      <c r="J3379" s="60"/>
      <c r="K3379" s="60"/>
      <c r="L3379" s="60"/>
      <c r="M3379" s="60"/>
      <c r="N3379" s="60"/>
      <c r="O3379" s="170"/>
      <c r="P3379" s="60"/>
      <c r="Q3379" s="60"/>
      <c r="R3379" s="162"/>
      <c r="S3379" s="503"/>
    </row>
    <row r="3380" spans="1:19" ht="9.75" customHeight="1">
      <c r="A3380" s="503"/>
      <c r="B3380" s="503"/>
      <c r="C3380" s="51"/>
      <c r="D3380" s="170" t="s">
        <v>120</v>
      </c>
      <c r="E3380" s="170"/>
      <c r="F3380" s="60"/>
      <c r="G3380" s="60"/>
      <c r="H3380" s="60"/>
      <c r="I3380" s="60"/>
      <c r="J3380" s="60"/>
      <c r="K3380" s="60"/>
      <c r="L3380" s="60"/>
      <c r="M3380" s="60"/>
      <c r="N3380" s="60"/>
      <c r="O3380" s="170"/>
      <c r="P3380" s="60"/>
      <c r="Q3380" s="60"/>
      <c r="R3380" s="162"/>
      <c r="S3380" s="503"/>
    </row>
    <row r="3381" spans="1:19" ht="9.75" customHeight="1">
      <c r="A3381" s="503"/>
      <c r="B3381" s="503"/>
      <c r="C3381" s="51"/>
      <c r="D3381" s="170" t="s">
        <v>120</v>
      </c>
      <c r="E3381" s="170"/>
      <c r="F3381" s="60"/>
      <c r="G3381" s="60"/>
      <c r="H3381" s="60"/>
      <c r="I3381" s="60"/>
      <c r="J3381" s="60"/>
      <c r="K3381" s="60"/>
      <c r="L3381" s="60"/>
      <c r="M3381" s="60"/>
      <c r="N3381" s="60"/>
      <c r="O3381" s="170"/>
      <c r="P3381" s="60"/>
      <c r="Q3381" s="60"/>
      <c r="R3381" s="162"/>
      <c r="S3381" s="503"/>
    </row>
    <row r="3382" spans="1:19" ht="9.75" customHeight="1">
      <c r="A3382" s="503"/>
      <c r="B3382" s="503"/>
      <c r="C3382" s="51"/>
      <c r="D3382" s="170" t="s">
        <v>120</v>
      </c>
      <c r="E3382" s="170"/>
      <c r="F3382" s="60"/>
      <c r="G3382" s="60"/>
      <c r="H3382" s="60"/>
      <c r="I3382" s="60"/>
      <c r="J3382" s="60"/>
      <c r="K3382" s="60"/>
      <c r="L3382" s="60"/>
      <c r="M3382" s="60"/>
      <c r="N3382" s="60"/>
      <c r="O3382" s="170"/>
      <c r="P3382" s="60"/>
      <c r="Q3382" s="60"/>
      <c r="R3382" s="162"/>
      <c r="S3382" s="503"/>
    </row>
    <row r="3383" spans="1:19" ht="9.75" customHeight="1">
      <c r="A3383" s="503"/>
      <c r="B3383" s="503"/>
      <c r="C3383" s="51"/>
      <c r="D3383" s="170" t="s">
        <v>34</v>
      </c>
      <c r="E3383" s="171"/>
      <c r="F3383" s="61"/>
      <c r="G3383" s="61"/>
      <c r="H3383" s="61"/>
      <c r="I3383" s="61"/>
      <c r="J3383" s="61"/>
      <c r="K3383" s="61"/>
      <c r="L3383" s="61"/>
      <c r="M3383" s="61"/>
      <c r="N3383" s="61"/>
      <c r="O3383" s="171"/>
      <c r="P3383" s="61"/>
      <c r="Q3383" s="61"/>
      <c r="R3383" s="172"/>
      <c r="S3383" s="503"/>
    </row>
    <row r="3384" spans="1:19" ht="9.75" customHeight="1">
      <c r="A3384" s="503"/>
      <c r="B3384" s="503"/>
      <c r="C3384" s="51"/>
      <c r="D3384" s="170" t="s">
        <v>35</v>
      </c>
      <c r="E3384" s="170"/>
      <c r="F3384" s="60"/>
      <c r="G3384" s="60"/>
      <c r="H3384" s="60"/>
      <c r="I3384" s="60"/>
      <c r="J3384" s="60"/>
      <c r="K3384" s="60"/>
      <c r="L3384" s="60"/>
      <c r="M3384" s="60"/>
      <c r="N3384" s="60"/>
      <c r="O3384" s="170"/>
      <c r="P3384" s="60"/>
      <c r="Q3384" s="60"/>
      <c r="R3384" s="162"/>
      <c r="S3384" s="503"/>
    </row>
    <row r="3385" spans="1:19" ht="9.75" customHeight="1">
      <c r="A3385" s="503"/>
      <c r="B3385" s="503"/>
      <c r="C3385" s="51"/>
      <c r="D3385" s="170" t="s">
        <v>36</v>
      </c>
      <c r="E3385" s="170"/>
      <c r="F3385" s="60"/>
      <c r="G3385" s="60"/>
      <c r="H3385" s="60"/>
      <c r="I3385" s="60"/>
      <c r="J3385" s="60"/>
      <c r="K3385" s="60"/>
      <c r="L3385" s="60"/>
      <c r="M3385" s="60"/>
      <c r="N3385" s="60"/>
      <c r="O3385" s="170"/>
      <c r="P3385" s="60"/>
      <c r="Q3385" s="60"/>
      <c r="R3385" s="162"/>
      <c r="S3385" s="503"/>
    </row>
    <row r="3386" spans="1:19" ht="9.75" customHeight="1">
      <c r="A3386" s="503"/>
      <c r="B3386" s="503"/>
      <c r="C3386" s="51"/>
      <c r="D3386" s="173" t="s">
        <v>37</v>
      </c>
      <c r="E3386" s="173"/>
      <c r="F3386" s="174"/>
      <c r="G3386" s="174"/>
      <c r="H3386" s="174"/>
      <c r="I3386" s="174"/>
      <c r="J3386" s="174"/>
      <c r="K3386" s="174"/>
      <c r="L3386" s="174"/>
      <c r="M3386" s="174"/>
      <c r="N3386" s="174"/>
      <c r="O3386" s="173"/>
      <c r="P3386" s="174"/>
      <c r="Q3386" s="174"/>
      <c r="R3386" s="175"/>
      <c r="S3386" s="503"/>
    </row>
    <row r="3387" spans="1:19" ht="9.75" customHeight="1">
      <c r="A3387" s="503"/>
      <c r="B3387" s="503"/>
      <c r="C3387" s="62"/>
      <c r="D3387" s="176" t="s">
        <v>38</v>
      </c>
      <c r="E3387" s="177"/>
      <c r="F3387" s="178"/>
      <c r="G3387" s="178"/>
      <c r="H3387" s="178"/>
      <c r="I3387" s="178"/>
      <c r="J3387" s="178"/>
      <c r="K3387" s="178"/>
      <c r="L3387" s="178"/>
      <c r="M3387" s="178"/>
      <c r="N3387" s="178"/>
      <c r="O3387" s="177"/>
      <c r="P3387" s="178"/>
      <c r="Q3387" s="178"/>
      <c r="R3387" s="179"/>
      <c r="S3387" s="503"/>
    </row>
    <row r="3388" spans="1:19" ht="15" customHeight="1">
      <c r="A3388" s="503"/>
      <c r="B3388" s="503"/>
      <c r="C3388" s="559"/>
      <c r="D3388" s="559"/>
      <c r="E3388" s="559"/>
      <c r="F3388" s="559"/>
      <c r="G3388" s="559"/>
      <c r="H3388" s="503"/>
      <c r="I3388" s="503"/>
      <c r="J3388" s="503"/>
      <c r="K3388" s="503"/>
      <c r="L3388" s="503"/>
      <c r="M3388" s="503"/>
      <c r="N3388" s="503"/>
      <c r="O3388" s="503"/>
      <c r="P3388" s="503"/>
      <c r="Q3388" s="503"/>
      <c r="R3388" s="503"/>
      <c r="S3388" s="503"/>
    </row>
    <row r="3389" spans="1:19" ht="15" customHeight="1">
      <c r="C3389" s="559"/>
      <c r="D3389" s="559"/>
      <c r="E3389" s="559"/>
      <c r="F3389" s="559"/>
      <c r="G3389" s="559"/>
    </row>
    <row r="3390" spans="1:19" ht="15" customHeight="1">
      <c r="C3390" s="559"/>
      <c r="D3390" s="559"/>
      <c r="E3390" s="559"/>
      <c r="F3390" s="559"/>
      <c r="G3390" s="559"/>
    </row>
    <row r="3391" spans="1:19" ht="15" customHeight="1">
      <c r="A3391" s="378" t="s">
        <v>691</v>
      </c>
      <c r="C3391" s="559"/>
      <c r="D3391" s="559"/>
      <c r="E3391" s="559"/>
      <c r="F3391" s="559"/>
      <c r="G3391" s="559"/>
    </row>
    <row r="3392" spans="1:19" ht="15" customHeight="1">
      <c r="A3392" s="378" t="s">
        <v>692</v>
      </c>
      <c r="C3392" s="559"/>
      <c r="D3392" s="559"/>
      <c r="E3392" s="559"/>
      <c r="F3392" s="559"/>
      <c r="G3392" s="559"/>
    </row>
    <row r="3393" spans="3:7" ht="15" customHeight="1">
      <c r="C3393" s="559"/>
      <c r="D3393" s="559"/>
      <c r="E3393" s="559"/>
      <c r="F3393" s="559"/>
      <c r="G3393" s="559"/>
    </row>
    <row r="3394" spans="3:7" ht="15" customHeight="1">
      <c r="C3394" s="559"/>
      <c r="D3394" s="559"/>
      <c r="E3394" s="559"/>
      <c r="F3394" s="559"/>
      <c r="G3394" s="559"/>
    </row>
    <row r="3395" spans="3:7" ht="15" customHeight="1">
      <c r="C3395" s="559"/>
      <c r="D3395" s="559"/>
      <c r="E3395" s="559"/>
      <c r="F3395" s="559"/>
      <c r="G3395" s="559"/>
    </row>
  </sheetData>
  <mergeCells count="4">
    <mergeCell ref="C1:R1"/>
    <mergeCell ref="C2:R2"/>
    <mergeCell ref="F4:O4"/>
    <mergeCell ref="P4:R4"/>
  </mergeCells>
  <pageMargins left="0.25" right="0.25" top="0.75" bottom="0.75" header="0" footer="0"/>
  <pageSetup scale="96" orientation="portrait" r:id="rId1"/>
  <rowBreaks count="74" manualBreakCount="74">
    <brk id="57" min="2" max="17" man="1"/>
    <brk id="109" min="2" max="17" man="1"/>
    <brk id="161" min="2" max="17" man="1"/>
    <brk id="212" min="2" max="17" man="1"/>
    <brk id="263" min="2" max="17" man="1"/>
    <brk id="314" min="2" max="17" man="1"/>
    <brk id="367" min="2" max="17" man="1"/>
    <brk id="418" min="2" max="17" man="1"/>
    <brk id="469" min="2" max="17" man="1"/>
    <brk id="520" min="2" max="17" man="1"/>
    <brk id="571" min="2" max="17" man="1"/>
    <brk id="622" min="2" max="17" man="1"/>
    <brk id="657" min="2" max="17" man="1"/>
    <brk id="691" min="2" max="17" man="1"/>
    <brk id="725" min="2" max="17" man="1"/>
    <brk id="776" min="2" max="17" man="1"/>
    <brk id="828" min="2" max="17" man="1"/>
    <brk id="879" min="2" max="17" man="1"/>
    <brk id="930" min="2" max="17" man="1"/>
    <brk id="981" min="2" max="17" man="1"/>
    <brk id="1033" min="2" max="17" man="1"/>
    <brk id="1084" min="2" max="17" man="1"/>
    <brk id="1118" min="2" max="17" man="1"/>
    <brk id="1169" min="2" max="17" man="1"/>
    <brk id="1220" min="2" max="17" man="1"/>
    <brk id="1272" min="2" max="17" man="1"/>
    <brk id="1323" min="2" max="17" man="1"/>
    <brk id="1374" min="2" max="17" man="1"/>
    <brk id="1425" min="2" max="17" man="1"/>
    <brk id="1459" min="2" max="17" man="1"/>
    <brk id="1493" min="2" max="17" man="1"/>
    <brk id="1544" min="2" max="17" man="1"/>
    <brk id="1595" min="2" max="17" man="1"/>
    <brk id="1646" min="2" max="17" man="1"/>
    <brk id="1699" min="2" max="17" man="1"/>
    <brk id="1750" min="2" max="17" man="1"/>
    <brk id="1801" min="2" max="17" man="1"/>
    <brk id="1852" min="2" max="17" man="1"/>
    <brk id="1903" min="2" max="17" man="1"/>
    <brk id="1956" min="2" max="17" man="1"/>
    <brk id="1992" min="2" max="17" man="1"/>
    <brk id="2026" min="2" max="17" man="1"/>
    <brk id="2077" min="2" max="17" man="1"/>
    <brk id="2128" min="2" max="17" man="1"/>
    <brk id="2179" min="2" max="17" man="1"/>
    <brk id="2231" min="2" max="17" man="1"/>
    <brk id="2282" min="2" max="17" man="1"/>
    <brk id="2333" min="2" max="17" man="1"/>
    <brk id="2384" min="2" max="17" man="1"/>
    <brk id="2435" min="2" max="17" man="1"/>
    <brk id="2486" min="2" max="17" man="1"/>
    <brk id="2537" min="2" max="17" man="1"/>
    <brk id="2588" min="2" max="17" man="1"/>
    <brk id="2639" min="2" max="17" man="1"/>
    <brk id="2690" min="2" max="17" man="1"/>
    <brk id="2741" min="2" max="17" man="1"/>
    <brk id="2758" min="2" max="17" man="1"/>
    <brk id="2792" min="2" max="17" man="1"/>
    <brk id="2826" min="2" max="17" man="1"/>
    <brk id="2860" min="2" max="17" man="1"/>
    <brk id="2894" min="2" max="17" man="1"/>
    <brk id="2928" min="2" max="17" man="1"/>
    <brk id="2962" min="2" max="17" man="1"/>
    <brk id="2996" min="2" max="17" man="1"/>
    <brk id="3030" min="2" max="17" man="1"/>
    <brk id="3081" min="2" max="17" man="1"/>
    <brk id="3098" min="2" max="17" man="1"/>
    <brk id="3149" min="2" max="17" man="1"/>
    <brk id="3166" min="2" max="17" man="1"/>
    <brk id="3217" min="2" max="17" man="1"/>
    <brk id="3268" min="2" max="17" man="1"/>
    <brk id="3319" min="2" max="17" man="1"/>
    <brk id="3353" min="2" max="17" man="1"/>
    <brk id="3392" min="2" max="2" man="1"/>
  </rowBreaks>
  <ignoredErrors>
    <ignoredError sqref="P36 P2152 P2158:P2159 P2141:P2142" formulaRange="1"/>
    <ignoredError sqref="M2147 L2320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11"/>
  <sheetViews>
    <sheetView showGridLines="0" zoomScale="110" zoomScaleNormal="110" workbookViewId="0">
      <pane ySplit="6" topLeftCell="A7" activePane="bottomLeft" state="frozen"/>
      <selection pane="bottomLeft" activeCell="A6" sqref="A6"/>
    </sheetView>
  </sheetViews>
  <sheetFormatPr defaultColWidth="14.453125" defaultRowHeight="15" customHeight="1"/>
  <cols>
    <col min="1" max="1" width="11.453125" customWidth="1"/>
    <col min="2" max="2" width="10.08984375" customWidth="1"/>
    <col min="3" max="3" width="7" customWidth="1"/>
    <col min="4" max="5" width="5" customWidth="1"/>
    <col min="6" max="8" width="4.90625" customWidth="1"/>
    <col min="9" max="12" width="4.453125" customWidth="1"/>
    <col min="13" max="13" width="5" customWidth="1"/>
    <col min="14" max="14" width="6.90625" customWidth="1"/>
    <col min="15" max="17" width="8" customWidth="1"/>
  </cols>
  <sheetData>
    <row r="1" spans="1:17" ht="14.25" customHeight="1">
      <c r="A1" s="565" t="str">
        <f>'University-wide'!A1</f>
        <v>University of California, San Diego Survey of Parking Space Occupancy Levels, Spring 2021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</row>
    <row r="2" spans="1:17" ht="14.25" customHeight="1">
      <c r="A2" s="565" t="s">
        <v>458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</row>
    <row r="3" spans="1:17" ht="11.25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</row>
    <row r="4" spans="1:17" ht="11.25" customHeight="1">
      <c r="A4" s="92" t="s">
        <v>459</v>
      </c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</row>
    <row r="5" spans="1:17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</row>
    <row r="6" spans="1:17" ht="11.25" customHeight="1">
      <c r="A6" s="100"/>
      <c r="B6" s="100"/>
      <c r="C6" s="100"/>
      <c r="D6" s="101" t="s">
        <v>20</v>
      </c>
      <c r="E6" s="102" t="s">
        <v>20</v>
      </c>
      <c r="F6" s="102" t="s">
        <v>20</v>
      </c>
      <c r="G6" s="102" t="s">
        <v>20</v>
      </c>
      <c r="H6" s="102" t="s">
        <v>21</v>
      </c>
      <c r="I6" s="102" t="s">
        <v>21</v>
      </c>
      <c r="J6" s="102" t="s">
        <v>21</v>
      </c>
      <c r="K6" s="102" t="s">
        <v>21</v>
      </c>
      <c r="L6" s="102" t="s">
        <v>21</v>
      </c>
      <c r="M6" s="81" t="s">
        <v>21</v>
      </c>
      <c r="N6" s="101" t="s">
        <v>6</v>
      </c>
      <c r="O6" s="102" t="s">
        <v>6</v>
      </c>
      <c r="P6" s="81" t="s">
        <v>18</v>
      </c>
      <c r="Q6" s="504"/>
    </row>
    <row r="7" spans="1:17" s="455" customFormat="1" ht="11.25" customHeight="1">
      <c r="A7" s="43" t="s">
        <v>460</v>
      </c>
      <c r="B7" s="13" t="s">
        <v>23</v>
      </c>
      <c r="C7" s="13"/>
      <c r="D7" s="109"/>
      <c r="E7" s="504"/>
      <c r="F7" s="504"/>
      <c r="G7" s="504"/>
      <c r="H7" s="504"/>
      <c r="I7" s="504"/>
      <c r="J7" s="504"/>
      <c r="K7" s="504"/>
      <c r="L7" s="504"/>
      <c r="M7" s="110"/>
      <c r="N7" s="109"/>
      <c r="O7" s="504"/>
      <c r="P7" s="107"/>
      <c r="Q7" s="504"/>
    </row>
    <row r="8" spans="1:17" s="455" customFormat="1" ht="11.25" customHeight="1">
      <c r="A8" s="13" t="s">
        <v>461</v>
      </c>
      <c r="B8" s="13" t="s">
        <v>25</v>
      </c>
      <c r="C8" s="13"/>
      <c r="D8" s="109"/>
      <c r="E8" s="504"/>
      <c r="F8" s="504"/>
      <c r="G8" s="504"/>
      <c r="H8" s="504"/>
      <c r="I8" s="504"/>
      <c r="J8" s="504"/>
      <c r="K8" s="504"/>
      <c r="L8" s="504"/>
      <c r="M8" s="110"/>
      <c r="N8" s="109"/>
      <c r="O8" s="504"/>
      <c r="P8" s="107"/>
      <c r="Q8" s="504"/>
    </row>
    <row r="9" spans="1:17" s="455" customFormat="1" ht="11.25" customHeight="1">
      <c r="A9" s="13"/>
      <c r="B9" s="13" t="s">
        <v>27</v>
      </c>
      <c r="C9" s="13"/>
      <c r="D9" s="109"/>
      <c r="E9" s="504"/>
      <c r="F9" s="504"/>
      <c r="G9" s="504"/>
      <c r="H9" s="504"/>
      <c r="I9" s="91"/>
      <c r="J9" s="91"/>
      <c r="K9" s="91"/>
      <c r="L9" s="91"/>
      <c r="M9" s="108"/>
      <c r="N9" s="109"/>
      <c r="O9" s="504"/>
      <c r="P9" s="107"/>
      <c r="Q9" s="504"/>
    </row>
    <row r="10" spans="1:17" s="455" customFormat="1" ht="11.25" customHeight="1">
      <c r="A10" s="13"/>
      <c r="B10" s="13" t="s">
        <v>31</v>
      </c>
      <c r="C10" s="13">
        <f>SUM('By Lot'!E644:E645,'By Lot'!E661:E662,'By Lot'!E678:E679)</f>
        <v>62</v>
      </c>
      <c r="D10" s="109">
        <f>SUM('By Lot'!F644:F645,'By Lot'!F661:F662,'By Lot'!F678:F679)</f>
        <v>28</v>
      </c>
      <c r="E10" s="504">
        <f>SUM('By Lot'!G644:G645,'By Lot'!G661:G662,'By Lot'!G678:G679)</f>
        <v>24</v>
      </c>
      <c r="F10" s="504">
        <f>SUM('By Lot'!H644:H645,'By Lot'!H661:H662,'By Lot'!H678:H679)</f>
        <v>19</v>
      </c>
      <c r="G10" s="504">
        <f>SUM('By Lot'!I644:I645,'By Lot'!I661:I662,'By Lot'!I678:I679)</f>
        <v>21</v>
      </c>
      <c r="H10" s="504">
        <f>SUM('By Lot'!J644:J645,'By Lot'!J661:J662,'By Lot'!J678:J679)</f>
        <v>15</v>
      </c>
      <c r="I10" s="504">
        <f>SUM('By Lot'!K644:K645,'By Lot'!K661:K662,'By Lot'!K678:K679)</f>
        <v>22</v>
      </c>
      <c r="J10" s="504">
        <f>SUM('By Lot'!L644:L645,'By Lot'!L661:L662,'By Lot'!L678:L679)</f>
        <v>19</v>
      </c>
      <c r="K10" s="504">
        <f>SUM('By Lot'!M644:M645,'By Lot'!M661:M662,'By Lot'!M678:M679)</f>
        <v>26</v>
      </c>
      <c r="L10" s="504">
        <f>SUM('By Lot'!N644:N645,'By Lot'!N661:N662,'By Lot'!N678:N679)</f>
        <v>22</v>
      </c>
      <c r="M10" s="110">
        <f>SUM('By Lot'!O644:O645,'By Lot'!O661:O662,'By Lot'!O678:O679)</f>
        <v>31</v>
      </c>
      <c r="N10" s="109">
        <f t="shared" ref="N10:N13" si="0">MIN(D10:M10)</f>
        <v>15</v>
      </c>
      <c r="O10" s="504">
        <f t="shared" ref="O10:O13" si="1">C10-N10</f>
        <v>47</v>
      </c>
      <c r="P10" s="107">
        <f t="shared" ref="P10:P13" si="2">O10/C10</f>
        <v>0.75806451612903225</v>
      </c>
      <c r="Q10" s="504"/>
    </row>
    <row r="11" spans="1:17" s="455" customFormat="1" ht="11.25" customHeight="1">
      <c r="A11" s="13"/>
      <c r="B11" s="13" t="s">
        <v>32</v>
      </c>
      <c r="C11" s="13">
        <f>SUM('By Lot'!E646,'By Lot'!E663,'By Lot'!E680)</f>
        <v>3</v>
      </c>
      <c r="D11" s="109">
        <f>SUM('By Lot'!F646,'By Lot'!F663,'By Lot'!F680)</f>
        <v>0</v>
      </c>
      <c r="E11" s="504">
        <f>SUM('By Lot'!G646,'By Lot'!G663,'By Lot'!G680)</f>
        <v>0</v>
      </c>
      <c r="F11" s="504">
        <f>SUM('By Lot'!H646,'By Lot'!H663,'By Lot'!H680)</f>
        <v>0</v>
      </c>
      <c r="G11" s="504">
        <f>SUM('By Lot'!I646,'By Lot'!I663,'By Lot'!I680)</f>
        <v>0</v>
      </c>
      <c r="H11" s="504">
        <f>SUM('By Lot'!J646,'By Lot'!J663,'By Lot'!J680)</f>
        <v>0</v>
      </c>
      <c r="I11" s="504">
        <f>SUM('By Lot'!K646,'By Lot'!K663,'By Lot'!K680)</f>
        <v>0</v>
      </c>
      <c r="J11" s="504">
        <f>SUM('By Lot'!L646,'By Lot'!L663,'By Lot'!L680)</f>
        <v>0</v>
      </c>
      <c r="K11" s="504">
        <f>SUM('By Lot'!M646,'By Lot'!M663,'By Lot'!M680)</f>
        <v>0</v>
      </c>
      <c r="L11" s="504">
        <f>SUM('By Lot'!N646,'By Lot'!N663,'By Lot'!N680)</f>
        <v>0</v>
      </c>
      <c r="M11" s="110">
        <f>SUM('By Lot'!O646,'By Lot'!O663,'By Lot'!O680)</f>
        <v>0</v>
      </c>
      <c r="N11" s="109">
        <f t="shared" si="0"/>
        <v>0</v>
      </c>
      <c r="O11" s="504">
        <f t="shared" si="1"/>
        <v>3</v>
      </c>
      <c r="P11" s="107">
        <f t="shared" si="2"/>
        <v>1</v>
      </c>
      <c r="Q11" s="504"/>
    </row>
    <row r="12" spans="1:17" s="455" customFormat="1" ht="11.25" customHeight="1">
      <c r="A12" s="13"/>
      <c r="B12" s="13" t="s">
        <v>33</v>
      </c>
      <c r="C12" s="13">
        <f>SUM('By Lot'!E647:E652,'By Lot'!E664:E669,'By Lot'!E681:E686)</f>
        <v>1004</v>
      </c>
      <c r="D12" s="109">
        <f>SUM('By Lot'!F647:F652,'By Lot'!F664:F669,'By Lot'!F681:F686)</f>
        <v>760</v>
      </c>
      <c r="E12" s="504">
        <f>SUM('By Lot'!G647:G652,'By Lot'!G664:G669,'By Lot'!G681:G686)</f>
        <v>743</v>
      </c>
      <c r="F12" s="504">
        <f>SUM('By Lot'!H647:H652,'By Lot'!H664:H669,'By Lot'!H681:H686)</f>
        <v>703</v>
      </c>
      <c r="G12" s="504">
        <f>SUM('By Lot'!I647:I652,'By Lot'!I664:I669,'By Lot'!I681:I686)</f>
        <v>722</v>
      </c>
      <c r="H12" s="504">
        <f>SUM('By Lot'!J647:J652,'By Lot'!J664:J669,'By Lot'!J681:J686)</f>
        <v>718</v>
      </c>
      <c r="I12" s="504">
        <f>SUM('By Lot'!K647:K652,'By Lot'!K664:K669,'By Lot'!K681:K686)</f>
        <v>707</v>
      </c>
      <c r="J12" s="504">
        <f>SUM('By Lot'!L647:L652,'By Lot'!L664:L669,'By Lot'!L681:L686)</f>
        <v>705</v>
      </c>
      <c r="K12" s="504">
        <f>SUM('By Lot'!M647:M652,'By Lot'!M664:M669,'By Lot'!M681:M686)</f>
        <v>726</v>
      </c>
      <c r="L12" s="504">
        <f>SUM('By Lot'!N647:N652,'By Lot'!N664:N669,'By Lot'!N681:N686)</f>
        <v>752</v>
      </c>
      <c r="M12" s="110">
        <f>SUM('By Lot'!O647:O652,'By Lot'!O664:O669,'By Lot'!O681:O686)</f>
        <v>793</v>
      </c>
      <c r="N12" s="109">
        <f t="shared" si="0"/>
        <v>703</v>
      </c>
      <c r="O12" s="504">
        <f t="shared" si="1"/>
        <v>301</v>
      </c>
      <c r="P12" s="107">
        <f t="shared" si="2"/>
        <v>0.29980079681274902</v>
      </c>
      <c r="Q12" s="504"/>
    </row>
    <row r="13" spans="1:17" s="455" customFormat="1" ht="11.25" customHeight="1">
      <c r="A13" s="13"/>
      <c r="B13" s="13" t="s">
        <v>34</v>
      </c>
      <c r="C13" s="13">
        <f>SUM('By Lot'!E653,'By Lot'!E670,'By Lot'!E687)</f>
        <v>65</v>
      </c>
      <c r="D13" s="109">
        <f>SUM('By Lot'!F653,'By Lot'!F670,'By Lot'!F687)</f>
        <v>55</v>
      </c>
      <c r="E13" s="504">
        <f>SUM('By Lot'!G653,'By Lot'!G670,'By Lot'!G687)</f>
        <v>56</v>
      </c>
      <c r="F13" s="504">
        <f>SUM('By Lot'!H653,'By Lot'!H670,'By Lot'!H687)</f>
        <v>56</v>
      </c>
      <c r="G13" s="504">
        <f>SUM('By Lot'!I653,'By Lot'!I670,'By Lot'!I687)</f>
        <v>52</v>
      </c>
      <c r="H13" s="504">
        <f>SUM('By Lot'!J653,'By Lot'!J670,'By Lot'!J687)</f>
        <v>54</v>
      </c>
      <c r="I13" s="504">
        <f>SUM('By Lot'!K653,'By Lot'!K670,'By Lot'!K687)</f>
        <v>53</v>
      </c>
      <c r="J13" s="504">
        <f>SUM('By Lot'!L653,'By Lot'!L670,'By Lot'!L687)</f>
        <v>52</v>
      </c>
      <c r="K13" s="504">
        <f>SUM('By Lot'!M653,'By Lot'!M670,'By Lot'!M687)</f>
        <v>52</v>
      </c>
      <c r="L13" s="504">
        <f>SUM('By Lot'!N653,'By Lot'!N670,'By Lot'!N687)</f>
        <v>59</v>
      </c>
      <c r="M13" s="110">
        <f>SUM('By Lot'!O653,'By Lot'!O670,'By Lot'!O687)</f>
        <v>61</v>
      </c>
      <c r="N13" s="109">
        <f t="shared" si="0"/>
        <v>52</v>
      </c>
      <c r="O13" s="504">
        <f t="shared" si="1"/>
        <v>13</v>
      </c>
      <c r="P13" s="107">
        <f t="shared" si="2"/>
        <v>0.2</v>
      </c>
      <c r="Q13" s="504"/>
    </row>
    <row r="14" spans="1:17" s="455" customFormat="1" ht="11.25" customHeight="1">
      <c r="A14" s="13"/>
      <c r="B14" s="13" t="s">
        <v>35</v>
      </c>
      <c r="C14" s="13"/>
      <c r="D14" s="109"/>
      <c r="E14" s="504"/>
      <c r="F14" s="504"/>
      <c r="G14" s="504"/>
      <c r="H14" s="504"/>
      <c r="I14" s="504"/>
      <c r="J14" s="504"/>
      <c r="K14" s="504"/>
      <c r="L14" s="504"/>
      <c r="M14" s="110"/>
      <c r="N14" s="109"/>
      <c r="O14" s="504"/>
      <c r="P14" s="107"/>
      <c r="Q14" s="504"/>
    </row>
    <row r="15" spans="1:17" s="455" customFormat="1" ht="11.25" customHeight="1">
      <c r="A15" s="13"/>
      <c r="B15" s="13" t="s">
        <v>36</v>
      </c>
      <c r="C15" s="13"/>
      <c r="D15" s="109"/>
      <c r="E15" s="504"/>
      <c r="F15" s="504"/>
      <c r="G15" s="504"/>
      <c r="H15" s="504"/>
      <c r="I15" s="504"/>
      <c r="J15" s="504"/>
      <c r="K15" s="504"/>
      <c r="L15" s="504"/>
      <c r="M15" s="110"/>
      <c r="N15" s="109"/>
      <c r="O15" s="504"/>
      <c r="P15" s="107"/>
      <c r="Q15" s="504"/>
    </row>
    <row r="16" spans="1:17" s="455" customFormat="1" ht="11.25" customHeight="1">
      <c r="A16" s="13"/>
      <c r="B16" s="13" t="s">
        <v>37</v>
      </c>
      <c r="C16" s="13"/>
      <c r="D16" s="109"/>
      <c r="E16" s="504"/>
      <c r="F16" s="504"/>
      <c r="G16" s="504"/>
      <c r="H16" s="504"/>
      <c r="I16" s="504"/>
      <c r="J16" s="504"/>
      <c r="K16" s="504"/>
      <c r="L16" s="504"/>
      <c r="M16" s="110"/>
      <c r="N16" s="109"/>
      <c r="O16" s="504"/>
      <c r="P16" s="107"/>
      <c r="Q16" s="504"/>
    </row>
    <row r="17" spans="1:17" s="455" customFormat="1" ht="11.25" customHeight="1">
      <c r="A17" s="2"/>
      <c r="B17" s="3" t="s">
        <v>38</v>
      </c>
      <c r="C17" s="3">
        <f t="shared" ref="C17:M17" si="3">SUM(C7:C16)</f>
        <v>1134</v>
      </c>
      <c r="D17" s="21">
        <f t="shared" si="3"/>
        <v>843</v>
      </c>
      <c r="E17" s="71">
        <f t="shared" si="3"/>
        <v>823</v>
      </c>
      <c r="F17" s="71">
        <f t="shared" si="3"/>
        <v>778</v>
      </c>
      <c r="G17" s="71">
        <f t="shared" si="3"/>
        <v>795</v>
      </c>
      <c r="H17" s="71">
        <f t="shared" si="3"/>
        <v>787</v>
      </c>
      <c r="I17" s="71">
        <f t="shared" si="3"/>
        <v>782</v>
      </c>
      <c r="J17" s="71">
        <f t="shared" si="3"/>
        <v>776</v>
      </c>
      <c r="K17" s="71">
        <f t="shared" si="3"/>
        <v>804</v>
      </c>
      <c r="L17" s="71">
        <f t="shared" si="3"/>
        <v>833</v>
      </c>
      <c r="M17" s="26">
        <f t="shared" si="3"/>
        <v>885</v>
      </c>
      <c r="N17" s="21">
        <f t="shared" ref="N17" si="4">MIN(D17:M17)</f>
        <v>776</v>
      </c>
      <c r="O17" s="71">
        <f t="shared" ref="O17" si="5">C17-N17</f>
        <v>358</v>
      </c>
      <c r="P17" s="7">
        <f t="shared" ref="P17" si="6">O17/C17</f>
        <v>0.31569664902998235</v>
      </c>
      <c r="Q17" s="504"/>
    </row>
    <row r="18" spans="1:17" ht="11.25" customHeight="1">
      <c r="A18" s="43" t="s">
        <v>462</v>
      </c>
      <c r="B18" s="13" t="s">
        <v>23</v>
      </c>
      <c r="C18" s="13">
        <f>SUM('By Lot'!E811,'By Lot'!E829,'By Lot'!E846,'By Lot'!E863,'By Lot'!E880,'By Lot'!E897,'By Lot'!E914)</f>
        <v>233</v>
      </c>
      <c r="D18" s="109">
        <f>SUM('By Lot'!F811,'By Lot'!F829,'By Lot'!F846,'By Lot'!F863,'By Lot'!F880,'By Lot'!F897,'By Lot'!F914)</f>
        <v>0</v>
      </c>
      <c r="E18" s="504">
        <f>SUM('By Lot'!G811,'By Lot'!G829,'By Lot'!G846,'By Lot'!G863,'By Lot'!G880,'By Lot'!G897,'By Lot'!G914)</f>
        <v>0</v>
      </c>
      <c r="F18" s="504">
        <f>SUM('By Lot'!H811,'By Lot'!H829,'By Lot'!H846,'By Lot'!H863,'By Lot'!H880,'By Lot'!H897,'By Lot'!H914)</f>
        <v>0</v>
      </c>
      <c r="G18" s="504">
        <f>SUM('By Lot'!I811,'By Lot'!I829,'By Lot'!I846,'By Lot'!I863,'By Lot'!I880,'By Lot'!I897,'By Lot'!I914)</f>
        <v>0</v>
      </c>
      <c r="H18" s="504">
        <f>SUM('By Lot'!J811,'By Lot'!J829,'By Lot'!J846,'By Lot'!J863,'By Lot'!J880,'By Lot'!J897,'By Lot'!J914)</f>
        <v>0</v>
      </c>
      <c r="I18" s="504">
        <f>SUM('By Lot'!K811,'By Lot'!K829,'By Lot'!K846,'By Lot'!K863,'By Lot'!K880,'By Lot'!K897,'By Lot'!K914)</f>
        <v>0</v>
      </c>
      <c r="J18" s="504">
        <f>SUM('By Lot'!L811,'By Lot'!L829,'By Lot'!L846,'By Lot'!L863,'By Lot'!L880,'By Lot'!L897,'By Lot'!L914)</f>
        <v>0</v>
      </c>
      <c r="K18" s="504">
        <f>SUM('By Lot'!M811,'By Lot'!M829,'By Lot'!M846,'By Lot'!M863,'By Lot'!M880,'By Lot'!M897,'By Lot'!M914)</f>
        <v>0</v>
      </c>
      <c r="L18" s="504">
        <f>SUM('By Lot'!N811,'By Lot'!N829,'By Lot'!N846,'By Lot'!N863,'By Lot'!N880,'By Lot'!N897,'By Lot'!N914)</f>
        <v>0</v>
      </c>
      <c r="M18" s="110">
        <f>SUM('By Lot'!O811,'By Lot'!O829,'By Lot'!O846,'By Lot'!O863,'By Lot'!O880,'By Lot'!O897,'By Lot'!O914)</f>
        <v>0</v>
      </c>
      <c r="N18" s="109">
        <f t="shared" ref="N18:N25" si="7">MIN(D18:M18)</f>
        <v>0</v>
      </c>
      <c r="O18" s="504">
        <f t="shared" ref="O18:O25" si="8">C18-N18</f>
        <v>233</v>
      </c>
      <c r="P18" s="107">
        <f t="shared" ref="P18:P25" si="9">O18/C18</f>
        <v>1</v>
      </c>
      <c r="Q18" s="504"/>
    </row>
    <row r="19" spans="1:17" ht="11.25" customHeight="1">
      <c r="A19" s="13" t="s">
        <v>463</v>
      </c>
      <c r="B19" s="13" t="s">
        <v>25</v>
      </c>
      <c r="C19" s="13">
        <f>SUM('By Lot'!E812,'By Lot'!E830,'By Lot'!E847,'By Lot'!E864,'By Lot'!E881,'By Lot'!E898,'By Lot'!E915)</f>
        <v>698</v>
      </c>
      <c r="D19" s="109">
        <f>SUM('By Lot'!F812,'By Lot'!F830,'By Lot'!F847,'By Lot'!F864,'By Lot'!F881,'By Lot'!F898,'By Lot'!F915)</f>
        <v>11</v>
      </c>
      <c r="E19" s="504">
        <f>SUM('By Lot'!G812,'By Lot'!G830,'By Lot'!G847,'By Lot'!G864,'By Lot'!G881,'By Lot'!G898,'By Lot'!G915)</f>
        <v>0</v>
      </c>
      <c r="F19" s="504">
        <f>SUM('By Lot'!H812,'By Lot'!H830,'By Lot'!H847,'By Lot'!H864,'By Lot'!H881,'By Lot'!H898,'By Lot'!H915)</f>
        <v>0</v>
      </c>
      <c r="G19" s="504">
        <f>SUM('By Lot'!I812,'By Lot'!I830,'By Lot'!I847,'By Lot'!I864,'By Lot'!I881,'By Lot'!I898,'By Lot'!I915)</f>
        <v>0</v>
      </c>
      <c r="H19" s="504">
        <f>SUM('By Lot'!J812,'By Lot'!J830,'By Lot'!J847,'By Lot'!J864,'By Lot'!J881,'By Lot'!J898,'By Lot'!J915)</f>
        <v>0</v>
      </c>
      <c r="I19" s="504">
        <f>SUM('By Lot'!K812,'By Lot'!K830,'By Lot'!K847,'By Lot'!K864,'By Lot'!K881,'By Lot'!K898,'By Lot'!K915)</f>
        <v>0</v>
      </c>
      <c r="J19" s="504">
        <f>SUM('By Lot'!L812,'By Lot'!L830,'By Lot'!L847,'By Lot'!L864,'By Lot'!L881,'By Lot'!L898,'By Lot'!L915)</f>
        <v>0</v>
      </c>
      <c r="K19" s="504">
        <f>SUM('By Lot'!M812,'By Lot'!M830,'By Lot'!M847,'By Lot'!M864,'By Lot'!M881,'By Lot'!M898,'By Lot'!M915)</f>
        <v>0</v>
      </c>
      <c r="L19" s="504">
        <f>SUM('By Lot'!N812,'By Lot'!N830,'By Lot'!N847,'By Lot'!N864,'By Lot'!N881,'By Lot'!N898,'By Lot'!N915)</f>
        <v>0</v>
      </c>
      <c r="M19" s="110">
        <f>SUM('By Lot'!O812,'By Lot'!O830,'By Lot'!O847,'By Lot'!O864,'By Lot'!O881,'By Lot'!O898,'By Lot'!O915)</f>
        <v>0</v>
      </c>
      <c r="N19" s="109">
        <f t="shared" si="7"/>
        <v>0</v>
      </c>
      <c r="O19" s="504">
        <f t="shared" si="8"/>
        <v>698</v>
      </c>
      <c r="P19" s="107">
        <f t="shared" si="9"/>
        <v>1</v>
      </c>
      <c r="Q19" s="504"/>
    </row>
    <row r="20" spans="1:17" ht="11.25" customHeight="1">
      <c r="A20" s="13"/>
      <c r="B20" s="13" t="s">
        <v>29</v>
      </c>
      <c r="C20" s="109">
        <f>SUM('By Lot'!E814)</f>
        <v>228</v>
      </c>
      <c r="D20" s="109">
        <f>SUM('By Lot'!F814)</f>
        <v>190</v>
      </c>
      <c r="E20" s="504">
        <f>SUM('By Lot'!G814)</f>
        <v>183</v>
      </c>
      <c r="F20" s="504">
        <f>SUM('By Lot'!H814)</f>
        <v>176</v>
      </c>
      <c r="G20" s="504">
        <f>SUM('By Lot'!I814)</f>
        <v>168</v>
      </c>
      <c r="H20" s="504">
        <f>SUM('By Lot'!J814)</f>
        <v>161</v>
      </c>
      <c r="I20" s="91">
        <f>SUM('By Lot'!K814)</f>
        <v>158</v>
      </c>
      <c r="J20" s="91">
        <f>SUM('By Lot'!L814)</f>
        <v>157</v>
      </c>
      <c r="K20" s="91">
        <f>SUM('By Lot'!M814)</f>
        <v>153</v>
      </c>
      <c r="L20" s="91">
        <f>SUM('By Lot'!N814)</f>
        <v>159</v>
      </c>
      <c r="M20" s="108">
        <f>SUM('By Lot'!O814)</f>
        <v>164</v>
      </c>
      <c r="N20" s="504">
        <f t="shared" si="7"/>
        <v>153</v>
      </c>
      <c r="O20" s="504">
        <f t="shared" si="8"/>
        <v>75</v>
      </c>
      <c r="P20" s="107">
        <f t="shared" si="9"/>
        <v>0.32894736842105265</v>
      </c>
      <c r="Q20" s="504"/>
    </row>
    <row r="21" spans="1:17" ht="11.25" customHeight="1">
      <c r="A21" s="257" t="s">
        <v>84</v>
      </c>
      <c r="B21" s="13" t="s">
        <v>31</v>
      </c>
      <c r="C21" s="13">
        <f>SUM('By Lot'!E815:E816,'By Lot'!E832:E833,'By Lot'!E849:E850,'By Lot'!E866:E867,'By Lot'!E883:E884,'By Lot'!E900:E901,'By Lot'!E917:E918)</f>
        <v>90</v>
      </c>
      <c r="D21" s="109">
        <f>SUM('By Lot'!F815:F816,'By Lot'!F832:F833,'By Lot'!F849:F850,'By Lot'!F866:F867,'By Lot'!F883:F884,'By Lot'!F900:F901,'By Lot'!F917:F918)</f>
        <v>0</v>
      </c>
      <c r="E21" s="504">
        <f>SUM('By Lot'!G815:G816,'By Lot'!G832:G833,'By Lot'!G849:G850,'By Lot'!G866:G867,'By Lot'!G883:G884,'By Lot'!G900:G901,'By Lot'!G917:G918)</f>
        <v>0</v>
      </c>
      <c r="F21" s="504">
        <f>SUM('By Lot'!H815:H816,'By Lot'!H832:H833,'By Lot'!H849:H850,'By Lot'!H866:H867,'By Lot'!H883:H884,'By Lot'!H900:H901,'By Lot'!H917:H918)</f>
        <v>0</v>
      </c>
      <c r="G21" s="504">
        <f>SUM('By Lot'!I815:I816,'By Lot'!I832:I833,'By Lot'!I849:I850,'By Lot'!I866:I867,'By Lot'!I883:I884,'By Lot'!I900:I901,'By Lot'!I917:I918)</f>
        <v>0</v>
      </c>
      <c r="H21" s="504">
        <f>SUM('By Lot'!J815:J816,'By Lot'!J832:J833,'By Lot'!J849:J850,'By Lot'!J866:J867,'By Lot'!J883:J884,'By Lot'!J900:J901,'By Lot'!J917:J918)</f>
        <v>0</v>
      </c>
      <c r="I21" s="91">
        <f>SUM('By Lot'!K815:K816,'By Lot'!K832:K833,'By Lot'!K849:K850,'By Lot'!K866:K867,'By Lot'!K883:K884,'By Lot'!K900:K901,'By Lot'!K917:K918)</f>
        <v>0</v>
      </c>
      <c r="J21" s="91">
        <f>SUM('By Lot'!L815:L816,'By Lot'!L832:L833,'By Lot'!L849:L850,'By Lot'!L866:L867,'By Lot'!L883:L884,'By Lot'!L900:L901,'By Lot'!L917:L918)</f>
        <v>0</v>
      </c>
      <c r="K21" s="91">
        <f>SUM('By Lot'!M815:M816,'By Lot'!M832:M833,'By Lot'!M849:M850,'By Lot'!M866:M867,'By Lot'!M883:M884,'By Lot'!M900:M901,'By Lot'!M917:M918)</f>
        <v>0</v>
      </c>
      <c r="L21" s="91">
        <f>SUM('By Lot'!N815:N816,'By Lot'!N832:N833,'By Lot'!N849:N850,'By Lot'!N866:N867,'By Lot'!N883:N884,'By Lot'!N900:N901,'By Lot'!N917:N918)</f>
        <v>0</v>
      </c>
      <c r="M21" s="108">
        <f>SUM('By Lot'!O815:O816,'By Lot'!O832:O833,'By Lot'!O849:O850,'By Lot'!O866:O867,'By Lot'!O883:O884,'By Lot'!O900:O901,'By Lot'!O917:O918)</f>
        <v>0</v>
      </c>
      <c r="N21" s="109">
        <f t="shared" si="7"/>
        <v>0</v>
      </c>
      <c r="O21" s="504">
        <f t="shared" si="8"/>
        <v>90</v>
      </c>
      <c r="P21" s="107">
        <f t="shared" si="9"/>
        <v>1</v>
      </c>
      <c r="Q21" s="504"/>
    </row>
    <row r="22" spans="1:17" ht="11.25" customHeight="1">
      <c r="A22" s="257" t="s">
        <v>85</v>
      </c>
      <c r="B22" s="13" t="s">
        <v>32</v>
      </c>
      <c r="C22" s="13">
        <f>SUM('By Lot'!E817,'By Lot'!E834,'By Lot'!E851,'By Lot'!E868,'By Lot'!E885,'By Lot'!E902,'By Lot'!E919)</f>
        <v>13</v>
      </c>
      <c r="D22" s="109">
        <f>SUM('By Lot'!F817,'By Lot'!F834,'By Lot'!F851,'By Lot'!F868,'By Lot'!F885,'By Lot'!F902,'By Lot'!F919)</f>
        <v>10</v>
      </c>
      <c r="E22" s="504">
        <f>SUM('By Lot'!G817,'By Lot'!G834,'By Lot'!G851,'By Lot'!G868,'By Lot'!G885,'By Lot'!G902,'By Lot'!G919)</f>
        <v>10</v>
      </c>
      <c r="F22" s="504">
        <f>SUM('By Lot'!H817,'By Lot'!H834,'By Lot'!H851,'By Lot'!H868,'By Lot'!H885,'By Lot'!H902,'By Lot'!H919)</f>
        <v>10</v>
      </c>
      <c r="G22" s="504">
        <f>SUM('By Lot'!I817,'By Lot'!I834,'By Lot'!I851,'By Lot'!I868,'By Lot'!I885,'By Lot'!I902,'By Lot'!I919)</f>
        <v>10</v>
      </c>
      <c r="H22" s="504">
        <f>SUM('By Lot'!J817,'By Lot'!J834,'By Lot'!J851,'By Lot'!J868,'By Lot'!J885,'By Lot'!J902,'By Lot'!J919)</f>
        <v>10</v>
      </c>
      <c r="I22" s="91">
        <f>SUM('By Lot'!K817,'By Lot'!K834,'By Lot'!K851,'By Lot'!K868,'By Lot'!K885,'By Lot'!K902,'By Lot'!K919)</f>
        <v>10</v>
      </c>
      <c r="J22" s="91">
        <f>SUM('By Lot'!L817,'By Lot'!L834,'By Lot'!L851,'By Lot'!L868,'By Lot'!L885,'By Lot'!L902,'By Lot'!L919)</f>
        <v>10</v>
      </c>
      <c r="K22" s="91">
        <f>SUM('By Lot'!M817,'By Lot'!M834,'By Lot'!M851,'By Lot'!M868,'By Lot'!M885,'By Lot'!M902,'By Lot'!M919)</f>
        <v>10</v>
      </c>
      <c r="L22" s="91">
        <f>SUM('By Lot'!N817,'By Lot'!N834,'By Lot'!N851,'By Lot'!N868,'By Lot'!N885,'By Lot'!N902,'By Lot'!N919)</f>
        <v>10</v>
      </c>
      <c r="M22" s="108">
        <f>SUM('By Lot'!O817,'By Lot'!O834,'By Lot'!O851,'By Lot'!O868,'By Lot'!O885,'By Lot'!O902,'By Lot'!O919)</f>
        <v>10</v>
      </c>
      <c r="N22" s="109">
        <f t="shared" si="7"/>
        <v>10</v>
      </c>
      <c r="O22" s="504">
        <f t="shared" si="8"/>
        <v>3</v>
      </c>
      <c r="P22" s="107">
        <f t="shared" si="9"/>
        <v>0.23076923076923078</v>
      </c>
      <c r="Q22" s="504"/>
    </row>
    <row r="23" spans="1:17" ht="11.25" customHeight="1">
      <c r="A23" s="257" t="s">
        <v>86</v>
      </c>
      <c r="B23" s="13" t="s">
        <v>33</v>
      </c>
      <c r="C23" s="13">
        <f>SUM('By Lot'!E818:E823,'By Lot'!E835:E840,'By Lot'!E852:E857,'By Lot'!E869:E874,'By Lot'!E886:E891,'By Lot'!E903:E908,'By Lot'!E920:E925)</f>
        <v>106</v>
      </c>
      <c r="D23" s="109">
        <f>SUM('By Lot'!F818:F823,'By Lot'!F835:F840,'By Lot'!F852:F857,'By Lot'!F869:F874,'By Lot'!F886:F891,'By Lot'!F903:F908,'By Lot'!F920:F925)</f>
        <v>63</v>
      </c>
      <c r="E23" s="504">
        <f>SUM('By Lot'!G818:G823,'By Lot'!G835:G840,'By Lot'!G852:G857,'By Lot'!G869:G874,'By Lot'!G886:G891,'By Lot'!G903:G908,'By Lot'!G920:G925)</f>
        <v>58</v>
      </c>
      <c r="F23" s="504">
        <f>SUM('By Lot'!H818:H823,'By Lot'!H835:H840,'By Lot'!H852:H857,'By Lot'!H869:H874,'By Lot'!H886:H891,'By Lot'!H903:H908,'By Lot'!H920:H925)</f>
        <v>52</v>
      </c>
      <c r="G23" s="504">
        <f>SUM('By Lot'!I818:I823,'By Lot'!I835:I840,'By Lot'!I852:I857,'By Lot'!I869:I874,'By Lot'!I886:I891,'By Lot'!I903:I908,'By Lot'!I920:I925)</f>
        <v>55</v>
      </c>
      <c r="H23" s="504">
        <f>SUM('By Lot'!J818:J823,'By Lot'!J835:J840,'By Lot'!J852:J857,'By Lot'!J869:J874,'By Lot'!J886:J891,'By Lot'!J903:J908,'By Lot'!J920:J925)</f>
        <v>55</v>
      </c>
      <c r="I23" s="91">
        <f>SUM('By Lot'!K818:K823,'By Lot'!K835:K840,'By Lot'!K852:K857,'By Lot'!K869:K874,'By Lot'!K886:K891,'By Lot'!K903:K908,'By Lot'!K920:K925)</f>
        <v>61</v>
      </c>
      <c r="J23" s="91">
        <f>SUM('By Lot'!L818:L823,'By Lot'!L835:L840,'By Lot'!L852:L857,'By Lot'!L869:L874,'By Lot'!L886:L891,'By Lot'!L903:L908,'By Lot'!L920:L925)</f>
        <v>63</v>
      </c>
      <c r="K23" s="91">
        <f>SUM('By Lot'!M818:M823,'By Lot'!M835:M840,'By Lot'!M852:M857,'By Lot'!M869:M874,'By Lot'!M886:M891,'By Lot'!M903:M908,'By Lot'!M920:M925)</f>
        <v>64</v>
      </c>
      <c r="L23" s="91">
        <f>SUM('By Lot'!N818:N823,'By Lot'!N835:N840,'By Lot'!N852:N857,'By Lot'!N869:N874,'By Lot'!N886:N891,'By Lot'!N903:N908,'By Lot'!N920:N925)</f>
        <v>58</v>
      </c>
      <c r="M23" s="108">
        <f>SUM('By Lot'!O818:O823,'By Lot'!O835:O840,'By Lot'!O852:O857,'By Lot'!O869:O874,'By Lot'!O886:O891,'By Lot'!O903:O908,'By Lot'!O920:O925)</f>
        <v>61</v>
      </c>
      <c r="N23" s="109">
        <f t="shared" si="7"/>
        <v>52</v>
      </c>
      <c r="O23" s="504">
        <f t="shared" si="8"/>
        <v>54</v>
      </c>
      <c r="P23" s="107">
        <f t="shared" si="9"/>
        <v>0.50943396226415094</v>
      </c>
      <c r="Q23" s="504"/>
    </row>
    <row r="24" spans="1:17" ht="11.25" customHeight="1">
      <c r="A24" s="257" t="s">
        <v>87</v>
      </c>
      <c r="B24" s="13" t="s">
        <v>34</v>
      </c>
      <c r="C24" s="13">
        <f>SUM('By Lot'!E824,'By Lot'!E841,'By Lot'!E858,'By Lot'!E875,'By Lot'!E892,'By Lot'!E909,'By Lot'!E926)</f>
        <v>25</v>
      </c>
      <c r="D24" s="109">
        <f>SUM('By Lot'!F824,'By Lot'!F841,'By Lot'!F858,'By Lot'!F875,'By Lot'!F892,'By Lot'!F909,'By Lot'!F926)</f>
        <v>5</v>
      </c>
      <c r="E24" s="504">
        <f>SUM('By Lot'!G824,'By Lot'!G841,'By Lot'!G858,'By Lot'!G875,'By Lot'!G892,'By Lot'!G909,'By Lot'!G926)</f>
        <v>5</v>
      </c>
      <c r="F24" s="504">
        <f>SUM('By Lot'!H824,'By Lot'!H841,'By Lot'!H858,'By Lot'!H875,'By Lot'!H892,'By Lot'!H909,'By Lot'!H926)</f>
        <v>5</v>
      </c>
      <c r="G24" s="504">
        <f>SUM('By Lot'!I824,'By Lot'!I841,'By Lot'!I858,'By Lot'!I875,'By Lot'!I892,'By Lot'!I909,'By Lot'!I926)</f>
        <v>5</v>
      </c>
      <c r="H24" s="504">
        <f>SUM('By Lot'!J824,'By Lot'!J841,'By Lot'!J858,'By Lot'!J875,'By Lot'!J892,'By Lot'!J909,'By Lot'!J926)</f>
        <v>5</v>
      </c>
      <c r="I24" s="91">
        <f>SUM('By Lot'!K824,'By Lot'!K841,'By Lot'!K858,'By Lot'!K875,'By Lot'!K892,'By Lot'!K909,'By Lot'!K926)</f>
        <v>5</v>
      </c>
      <c r="J24" s="91">
        <f>SUM('By Lot'!L824,'By Lot'!L841,'By Lot'!L858,'By Lot'!L875,'By Lot'!L892,'By Lot'!L909,'By Lot'!L926)</f>
        <v>5</v>
      </c>
      <c r="K24" s="91">
        <f>SUM('By Lot'!M824,'By Lot'!M841,'By Lot'!M858,'By Lot'!M875,'By Lot'!M892,'By Lot'!M909,'By Lot'!M926)</f>
        <v>5</v>
      </c>
      <c r="L24" s="91">
        <f>SUM('By Lot'!N824,'By Lot'!N841,'By Lot'!N858,'By Lot'!N875,'By Lot'!N892,'By Lot'!N909,'By Lot'!N926)</f>
        <v>5</v>
      </c>
      <c r="M24" s="108">
        <f>SUM('By Lot'!O824,'By Lot'!O841,'By Lot'!O858,'By Lot'!O875,'By Lot'!O892,'By Lot'!O909,'By Lot'!O926)</f>
        <v>5</v>
      </c>
      <c r="N24" s="109">
        <f t="shared" si="7"/>
        <v>5</v>
      </c>
      <c r="O24" s="504">
        <f t="shared" si="8"/>
        <v>20</v>
      </c>
      <c r="P24" s="107">
        <f t="shared" si="9"/>
        <v>0.8</v>
      </c>
      <c r="Q24" s="504"/>
    </row>
    <row r="25" spans="1:17" ht="11.25" customHeight="1">
      <c r="A25" s="257" t="s">
        <v>88</v>
      </c>
      <c r="B25" s="13" t="s">
        <v>35</v>
      </c>
      <c r="C25" s="13">
        <f>SUM('By Lot'!E825,'By Lot'!E842,'By Lot'!E859,'By Lot'!E876,'By Lot'!E893,'By Lot'!E910,'By Lot'!E927)</f>
        <v>6</v>
      </c>
      <c r="D25" s="109">
        <f>SUM('By Lot'!F825,'By Lot'!F842,'By Lot'!F859,'By Lot'!F876,'By Lot'!F893,'By Lot'!F910,'By Lot'!F927)</f>
        <v>4</v>
      </c>
      <c r="E25" s="504">
        <f>SUM('By Lot'!G825,'By Lot'!G842,'By Lot'!G859,'By Lot'!G876,'By Lot'!G893,'By Lot'!G910,'By Lot'!G927)</f>
        <v>4</v>
      </c>
      <c r="F25" s="504">
        <f>SUM('By Lot'!H825,'By Lot'!H842,'By Lot'!H859,'By Lot'!H876,'By Lot'!H893,'By Lot'!H910,'By Lot'!H927)</f>
        <v>4</v>
      </c>
      <c r="G25" s="504">
        <f>SUM('By Lot'!I825,'By Lot'!I842,'By Lot'!I859,'By Lot'!I876,'By Lot'!I893,'By Lot'!I910,'By Lot'!I927)</f>
        <v>4</v>
      </c>
      <c r="H25" s="504">
        <f>SUM('By Lot'!J825,'By Lot'!J842,'By Lot'!J859,'By Lot'!J876,'By Lot'!J893,'By Lot'!J910,'By Lot'!J927)</f>
        <v>4</v>
      </c>
      <c r="I25" s="91">
        <f>SUM('By Lot'!K825,'By Lot'!K842,'By Lot'!K859,'By Lot'!K876,'By Lot'!K893,'By Lot'!K910,'By Lot'!K927)</f>
        <v>4</v>
      </c>
      <c r="J25" s="91">
        <f>SUM('By Lot'!L825,'By Lot'!L842,'By Lot'!L859,'By Lot'!L876,'By Lot'!L893,'By Lot'!L910,'By Lot'!L927)</f>
        <v>4</v>
      </c>
      <c r="K25" s="91">
        <f>SUM('By Lot'!M825,'By Lot'!M842,'By Lot'!M859,'By Lot'!M876,'By Lot'!M893,'By Lot'!M910,'By Lot'!M927)</f>
        <v>4</v>
      </c>
      <c r="L25" s="91">
        <f>SUM('By Lot'!N825,'By Lot'!N842,'By Lot'!N859,'By Lot'!N876,'By Lot'!N893,'By Lot'!N910,'By Lot'!N927)</f>
        <v>4</v>
      </c>
      <c r="M25" s="108">
        <f>SUM('By Lot'!O825,'By Lot'!O842,'By Lot'!O859,'By Lot'!O876,'By Lot'!O893,'By Lot'!O910,'By Lot'!O927)</f>
        <v>4</v>
      </c>
      <c r="N25" s="109">
        <f t="shared" si="7"/>
        <v>4</v>
      </c>
      <c r="O25" s="504">
        <f t="shared" si="8"/>
        <v>2</v>
      </c>
      <c r="P25" s="107">
        <f t="shared" si="9"/>
        <v>0.33333333333333331</v>
      </c>
      <c r="Q25" s="504"/>
    </row>
    <row r="26" spans="1:17" ht="11.25" customHeight="1">
      <c r="A26" s="13"/>
      <c r="B26" s="13" t="s">
        <v>36</v>
      </c>
      <c r="C26" s="13"/>
      <c r="D26" s="109"/>
      <c r="E26" s="504"/>
      <c r="F26" s="504"/>
      <c r="G26" s="504"/>
      <c r="H26" s="504"/>
      <c r="I26" s="504"/>
      <c r="J26" s="504"/>
      <c r="K26" s="504"/>
      <c r="L26" s="504"/>
      <c r="M26" s="110"/>
      <c r="N26" s="109"/>
      <c r="O26" s="504"/>
      <c r="P26" s="107"/>
      <c r="Q26" s="504"/>
    </row>
    <row r="27" spans="1:17" ht="11.25" customHeight="1">
      <c r="A27" s="13"/>
      <c r="B27" s="13" t="s">
        <v>37</v>
      </c>
      <c r="C27" s="13"/>
      <c r="D27" s="109"/>
      <c r="E27" s="504"/>
      <c r="F27" s="504"/>
      <c r="G27" s="504"/>
      <c r="H27" s="504"/>
      <c r="I27" s="504"/>
      <c r="J27" s="504"/>
      <c r="K27" s="504"/>
      <c r="L27" s="504"/>
      <c r="M27" s="110"/>
      <c r="N27" s="109"/>
      <c r="O27" s="504"/>
      <c r="P27" s="107"/>
      <c r="Q27" s="504"/>
    </row>
    <row r="28" spans="1:17" ht="11.25" customHeight="1">
      <c r="A28" s="2"/>
      <c r="B28" s="3" t="s">
        <v>38</v>
      </c>
      <c r="C28" s="3">
        <f t="shared" ref="C28:M28" si="10">SUM(C18:C27)</f>
        <v>1399</v>
      </c>
      <c r="D28" s="21">
        <f t="shared" si="10"/>
        <v>283</v>
      </c>
      <c r="E28" s="71">
        <f t="shared" si="10"/>
        <v>260</v>
      </c>
      <c r="F28" s="71">
        <f t="shared" si="10"/>
        <v>247</v>
      </c>
      <c r="G28" s="71">
        <f t="shared" si="10"/>
        <v>242</v>
      </c>
      <c r="H28" s="71">
        <f t="shared" si="10"/>
        <v>235</v>
      </c>
      <c r="I28" s="71">
        <f t="shared" si="10"/>
        <v>238</v>
      </c>
      <c r="J28" s="71">
        <f t="shared" si="10"/>
        <v>239</v>
      </c>
      <c r="K28" s="71">
        <f t="shared" si="10"/>
        <v>236</v>
      </c>
      <c r="L28" s="71">
        <f t="shared" si="10"/>
        <v>236</v>
      </c>
      <c r="M28" s="26">
        <f t="shared" si="10"/>
        <v>244</v>
      </c>
      <c r="N28" s="21">
        <f t="shared" ref="N28:N36" si="11">MIN(D28:M28)</f>
        <v>235</v>
      </c>
      <c r="O28" s="71">
        <f t="shared" ref="O28:O36" si="12">C28-N28</f>
        <v>1164</v>
      </c>
      <c r="P28" s="7">
        <f t="shared" ref="P28:P36" si="13">O28/C28</f>
        <v>0.83202287348105786</v>
      </c>
      <c r="Q28" s="504"/>
    </row>
    <row r="29" spans="1:17" ht="11.25" customHeight="1">
      <c r="A29" s="43" t="s">
        <v>464</v>
      </c>
      <c r="B29" s="13" t="s">
        <v>23</v>
      </c>
      <c r="C29" s="13">
        <f>SUM('By Lot'!E1051,'By Lot'!E1068,'By Lot'!E1085,'By Lot'!E1102,'By Lot'!E1119,'By Lot'!E1136)</f>
        <v>84</v>
      </c>
      <c r="D29" s="109">
        <f>SUM('By Lot'!F1051,'By Lot'!F1068,'By Lot'!F1085,'By Lot'!F1102,'By Lot'!F1119,'By Lot'!F1136)</f>
        <v>72</v>
      </c>
      <c r="E29" s="504">
        <f>SUM('By Lot'!G1051,'By Lot'!G1068,'By Lot'!G1085,'By Lot'!G1102,'By Lot'!G1119,'By Lot'!G1136)</f>
        <v>66</v>
      </c>
      <c r="F29" s="504">
        <f>SUM('By Lot'!H1051,'By Lot'!H1068,'By Lot'!H1085,'By Lot'!H1102,'By Lot'!H1119,'By Lot'!H1136)</f>
        <v>64</v>
      </c>
      <c r="G29" s="504">
        <f>SUM('By Lot'!I1051,'By Lot'!I1068,'By Lot'!I1085,'By Lot'!I1102,'By Lot'!I1119,'By Lot'!I1136)</f>
        <v>59</v>
      </c>
      <c r="H29" s="504">
        <f>SUM('By Lot'!J1051,'By Lot'!J1068,'By Lot'!J1085,'By Lot'!J1102,'By Lot'!J1119,'By Lot'!J1136)</f>
        <v>63</v>
      </c>
      <c r="I29" s="504">
        <f>SUM('By Lot'!K1051,'By Lot'!K1068,'By Lot'!K1085,'By Lot'!K1102,'By Lot'!K1119,'By Lot'!K1136)</f>
        <v>53</v>
      </c>
      <c r="J29" s="504">
        <f>SUM('By Lot'!L1051,'By Lot'!L1068,'By Lot'!L1085,'By Lot'!L1102,'By Lot'!L1119,'By Lot'!L1136)</f>
        <v>52</v>
      </c>
      <c r="K29" s="504">
        <f>SUM('By Lot'!M1051,'By Lot'!M1068,'By Lot'!M1085,'By Lot'!M1102,'By Lot'!M1119,'By Lot'!M1136)</f>
        <v>51</v>
      </c>
      <c r="L29" s="504">
        <f>SUM('By Lot'!N1051,'By Lot'!N1068,'By Lot'!N1085,'By Lot'!N1102,'By Lot'!N1119,'By Lot'!N1136)</f>
        <v>49</v>
      </c>
      <c r="M29" s="110">
        <f>SUM('By Lot'!O1051,'By Lot'!O1068,'By Lot'!O1085,'By Lot'!O1102,'By Lot'!O1119,'By Lot'!O1136)</f>
        <v>51</v>
      </c>
      <c r="N29" s="109">
        <f t="shared" si="11"/>
        <v>49</v>
      </c>
      <c r="O29" s="504">
        <f t="shared" si="12"/>
        <v>35</v>
      </c>
      <c r="P29" s="107">
        <f t="shared" si="13"/>
        <v>0.41666666666666669</v>
      </c>
      <c r="Q29" s="504"/>
    </row>
    <row r="30" spans="1:17" ht="11.25" customHeight="1">
      <c r="A30" s="13" t="s">
        <v>465</v>
      </c>
      <c r="B30" s="13" t="s">
        <v>25</v>
      </c>
      <c r="C30" s="13">
        <f>SUM('By Lot'!E1052,'By Lot'!E1069,'By Lot'!E1086,'By Lot'!E1103,'By Lot'!E1120,'By Lot'!E1137)</f>
        <v>329</v>
      </c>
      <c r="D30" s="109">
        <f>SUM('By Lot'!F1052,'By Lot'!F1069,'By Lot'!F1086,'By Lot'!F1103,'By Lot'!F1120,'By Lot'!F1137)</f>
        <v>39</v>
      </c>
      <c r="E30" s="504">
        <f>SUM('By Lot'!G1052,'By Lot'!G1069,'By Lot'!G1086,'By Lot'!G1103,'By Lot'!G1120,'By Lot'!G1137)</f>
        <v>44</v>
      </c>
      <c r="F30" s="504">
        <f>SUM('By Lot'!H1052,'By Lot'!H1069,'By Lot'!H1086,'By Lot'!H1103,'By Lot'!H1120,'By Lot'!H1137)</f>
        <v>38</v>
      </c>
      <c r="G30" s="504">
        <f>SUM('By Lot'!I1052,'By Lot'!I1069,'By Lot'!I1086,'By Lot'!I1103,'By Lot'!I1120,'By Lot'!I1137)</f>
        <v>33</v>
      </c>
      <c r="H30" s="504">
        <f>SUM('By Lot'!J1052,'By Lot'!J1069,'By Lot'!J1086,'By Lot'!J1103,'By Lot'!J1120,'By Lot'!J1137)</f>
        <v>24</v>
      </c>
      <c r="I30" s="504">
        <f>SUM('By Lot'!K1052,'By Lot'!K1069,'By Lot'!K1086,'By Lot'!K1103,'By Lot'!K1120,'By Lot'!K1137)</f>
        <v>30</v>
      </c>
      <c r="J30" s="504">
        <f>SUM('By Lot'!L1052,'By Lot'!L1069,'By Lot'!L1086,'By Lot'!L1103,'By Lot'!L1120,'By Lot'!L1137)</f>
        <v>37</v>
      </c>
      <c r="K30" s="504">
        <f>SUM('By Lot'!M1052,'By Lot'!M1069,'By Lot'!M1086,'By Lot'!M1103,'By Lot'!M1120,'By Lot'!M1137)</f>
        <v>40</v>
      </c>
      <c r="L30" s="504">
        <f>SUM('By Lot'!N1052,'By Lot'!N1069,'By Lot'!N1086,'By Lot'!N1103,'By Lot'!N1120,'By Lot'!N1137)</f>
        <v>42</v>
      </c>
      <c r="M30" s="110">
        <f>SUM('By Lot'!O1052,'By Lot'!O1069,'By Lot'!O1086,'By Lot'!O1103,'By Lot'!O1120,'By Lot'!O1137)</f>
        <v>50</v>
      </c>
      <c r="N30" s="109">
        <f t="shared" si="11"/>
        <v>24</v>
      </c>
      <c r="O30" s="504">
        <f t="shared" si="12"/>
        <v>305</v>
      </c>
      <c r="P30" s="107">
        <f t="shared" si="13"/>
        <v>0.92705167173252279</v>
      </c>
      <c r="Q30" s="504"/>
    </row>
    <row r="31" spans="1:17" ht="11.25" customHeight="1">
      <c r="A31" s="13"/>
      <c r="B31" s="13" t="s">
        <v>27</v>
      </c>
      <c r="C31" s="13">
        <f>SUM('By Lot'!E1053,'By Lot'!E1070,'By Lot'!E1087,'By Lot'!E1104,'By Lot'!E1121,'By Lot'!E1138)</f>
        <v>410</v>
      </c>
      <c r="D31" s="109">
        <f>SUM('By Lot'!F1053,'By Lot'!F1070,'By Lot'!F1087,'By Lot'!F1104,'By Lot'!F1121,'By Lot'!F1138)</f>
        <v>259</v>
      </c>
      <c r="E31" s="504">
        <f>SUM('By Lot'!G1053,'By Lot'!G1070,'By Lot'!G1087,'By Lot'!G1104,'By Lot'!G1121,'By Lot'!G1138)</f>
        <v>270</v>
      </c>
      <c r="F31" s="504">
        <f>SUM('By Lot'!H1053,'By Lot'!H1070,'By Lot'!I1088,'By Lot'!H1104,'By Lot'!H1121,'By Lot'!H1138)</f>
        <v>256</v>
      </c>
      <c r="G31" s="504">
        <f>SUM('By Lot'!I1053,'By Lot'!I1070,'By Lot'!I1087,'By Lot'!I1104,'By Lot'!I1121,'By Lot'!I1138)</f>
        <v>280</v>
      </c>
      <c r="H31" s="504">
        <f>SUM('By Lot'!J1053,'By Lot'!J1070,'By Lot'!J1087,'By Lot'!J1104,'By Lot'!J1121,'By Lot'!J1138)</f>
        <v>270</v>
      </c>
      <c r="I31" s="91">
        <f>SUM('By Lot'!K1053,'By Lot'!K1070,'By Lot'!K1087,'By Lot'!K1104,'By Lot'!K1121,'By Lot'!K1138)</f>
        <v>265</v>
      </c>
      <c r="J31" s="91">
        <f>SUM('By Lot'!L1053,'By Lot'!L1070,'By Lot'!L1087,'By Lot'!L1104,'By Lot'!L1121,'By Lot'!L1138)</f>
        <v>255</v>
      </c>
      <c r="K31" s="91">
        <f>SUM('By Lot'!M1053,'By Lot'!M1070,'By Lot'!M1087,'By Lot'!M1104,'By Lot'!M1121,'By Lot'!M1138)</f>
        <v>244</v>
      </c>
      <c r="L31" s="91">
        <f>SUM('By Lot'!N1053,'By Lot'!N1070,'By Lot'!N1087,'By Lot'!N1104,'By Lot'!N1121,'By Lot'!N1138)</f>
        <v>257</v>
      </c>
      <c r="M31" s="108">
        <f>SUM('By Lot'!O1053,'By Lot'!O1070,'By Lot'!O1087,'By Lot'!O1104,'By Lot'!O1121,'By Lot'!O1138)</f>
        <v>259</v>
      </c>
      <c r="N31" s="109">
        <f t="shared" si="11"/>
        <v>244</v>
      </c>
      <c r="O31" s="504">
        <f t="shared" si="12"/>
        <v>166</v>
      </c>
      <c r="P31" s="107">
        <f t="shared" si="13"/>
        <v>0.40487804878048783</v>
      </c>
      <c r="Q31" s="504"/>
    </row>
    <row r="32" spans="1:17" ht="11.25" customHeight="1">
      <c r="A32" s="13"/>
      <c r="B32" s="13" t="s">
        <v>31</v>
      </c>
      <c r="C32" s="13">
        <f>SUM('By Lot'!E1054:E1055,'By Lot'!E1071:E1072,'By Lot'!E1088:E1089,'By Lot'!E1105:E1106,'By Lot'!E1122:E1123,'By Lot'!E1139:E1140)</f>
        <v>76</v>
      </c>
      <c r="D32" s="109">
        <f>SUM('By Lot'!F1054:F1055,'By Lot'!F1071:F1072,'By Lot'!F1088:F1089,'By Lot'!F1105:F1106,'By Lot'!F1122:F1123,'By Lot'!F1139:F1140)</f>
        <v>5</v>
      </c>
      <c r="E32" s="504">
        <f>SUM('By Lot'!G1054:G1055,'By Lot'!G1071:G1072,'By Lot'!G1088:G1089,'By Lot'!G1105:G1106,'By Lot'!G1122:G1123,'By Lot'!G1139:G1140)</f>
        <v>4</v>
      </c>
      <c r="F32" s="504">
        <f>SUM('By Lot'!H1054:H1055,'By Lot'!H1071:H1072,'By Lot'!H1088:H1089,'By Lot'!H1105:H1106,'By Lot'!H1122:H1123,'By Lot'!H1139:H1140)</f>
        <v>6</v>
      </c>
      <c r="G32" s="504">
        <f>SUM('By Lot'!I1054:I1055,'By Lot'!I1071:I1072,'By Lot'!I1088:I1089,'By Lot'!I1105:I1106,'By Lot'!I1122:I1123,'By Lot'!I1139:I1140)</f>
        <v>5</v>
      </c>
      <c r="H32" s="504">
        <f>SUM('By Lot'!J1054:J1055,'By Lot'!J1071:J1072,'By Lot'!J1088:J1089,'By Lot'!J1105:J1106,'By Lot'!J1122:J1123,'By Lot'!J1139:J1140)</f>
        <v>2</v>
      </c>
      <c r="I32" s="504">
        <f>SUM('By Lot'!K1054:K1055,'By Lot'!K1071:K1072,'By Lot'!K1088:K1089,'By Lot'!K1105:K1106,'By Lot'!K1122:K1123,'By Lot'!K1139:K1140)</f>
        <v>1</v>
      </c>
      <c r="J32" s="504">
        <f>SUM('By Lot'!L1054:L1055,'By Lot'!L1071:L1072,'By Lot'!L1088:L1089,'By Lot'!L1105:L1106,'By Lot'!L1122:L1123,'By Lot'!L1139:L1140)</f>
        <v>2</v>
      </c>
      <c r="K32" s="504">
        <f>SUM('By Lot'!M1054:M1055,'By Lot'!M1071:M1072,'By Lot'!M1088:M1089,'By Lot'!M1105:M1106,'By Lot'!M1122:M1123,'By Lot'!M1139:M1140)</f>
        <v>1</v>
      </c>
      <c r="L32" s="504">
        <f>SUM('By Lot'!N1054:N1055,'By Lot'!N1071:N1072,'By Lot'!N1088:N1089,'By Lot'!N1105:N1106,'By Lot'!N1122:N1123,'By Lot'!N1139:N1140)</f>
        <v>0</v>
      </c>
      <c r="M32" s="110">
        <f>SUM('By Lot'!O1054:O1055,'By Lot'!O1071:O1072,'By Lot'!O1088:O1089,'By Lot'!O1105:O1106,'By Lot'!O1122:O1123,'By Lot'!O1139:O1140)</f>
        <v>0</v>
      </c>
      <c r="N32" s="109">
        <f t="shared" si="11"/>
        <v>0</v>
      </c>
      <c r="O32" s="504">
        <f t="shared" si="12"/>
        <v>76</v>
      </c>
      <c r="P32" s="107">
        <f t="shared" si="13"/>
        <v>1</v>
      </c>
      <c r="Q32" s="504"/>
    </row>
    <row r="33" spans="1:17" ht="11.25" customHeight="1">
      <c r="A33" s="13"/>
      <c r="B33" s="13" t="s">
        <v>32</v>
      </c>
      <c r="C33" s="13">
        <f>SUM('By Lot'!E1056,'By Lot'!E1073,'By Lot'!E1090,'By Lot'!E1107,'By Lot'!E1124,'By Lot'!E1141)</f>
        <v>8</v>
      </c>
      <c r="D33" s="109">
        <f>SUM('By Lot'!F1056,'By Lot'!F1073,'By Lot'!F1090,'By Lot'!F1107,'By Lot'!F1124,'By Lot'!F1141)</f>
        <v>8</v>
      </c>
      <c r="E33" s="504">
        <f>SUM('By Lot'!G1056,'By Lot'!G1073,'By Lot'!G1090,'By Lot'!G1107,'By Lot'!G1124,'By Lot'!G1141)</f>
        <v>7</v>
      </c>
      <c r="F33" s="504">
        <f>SUM('By Lot'!H1056,'By Lot'!H1073,'By Lot'!H1090,'By Lot'!H1107,'By Lot'!H1124,'By Lot'!H1141)</f>
        <v>6</v>
      </c>
      <c r="G33" s="504">
        <f>SUM('By Lot'!I1056,'By Lot'!I1073,'By Lot'!I1090,'By Lot'!I1107,'By Lot'!I1124,'By Lot'!I1141)</f>
        <v>6</v>
      </c>
      <c r="H33" s="504">
        <f>SUM('By Lot'!J1056,'By Lot'!J1073,'By Lot'!J1090,'By Lot'!J1107,'By Lot'!J1124,'By Lot'!J1141)</f>
        <v>5</v>
      </c>
      <c r="I33" s="504">
        <f>SUM('By Lot'!K1056,'By Lot'!K1073,'By Lot'!K1090,'By Lot'!K1107,'By Lot'!K1124,'By Lot'!K1141)</f>
        <v>3</v>
      </c>
      <c r="J33" s="504">
        <f>SUM('By Lot'!L1056,'By Lot'!L1073,'By Lot'!L1090,'By Lot'!L1107,'By Lot'!L1124,'By Lot'!L1141)</f>
        <v>3</v>
      </c>
      <c r="K33" s="504">
        <f>SUM('By Lot'!M1056,'By Lot'!M1073,'By Lot'!M1090,'By Lot'!M1107,'By Lot'!M1124,'By Lot'!M1141)</f>
        <v>3</v>
      </c>
      <c r="L33" s="504">
        <f>SUM('By Lot'!N1056,'By Lot'!N1073,'By Lot'!N1090,'By Lot'!N1107,'By Lot'!N1124,'By Lot'!N1141)</f>
        <v>3</v>
      </c>
      <c r="M33" s="110">
        <f>SUM('By Lot'!O1056,'By Lot'!O1073,'By Lot'!O1090,'By Lot'!O1107,'By Lot'!O1124,'By Lot'!O1141)</f>
        <v>3</v>
      </c>
      <c r="N33" s="109">
        <f t="shared" si="11"/>
        <v>3</v>
      </c>
      <c r="O33" s="504">
        <f t="shared" si="12"/>
        <v>5</v>
      </c>
      <c r="P33" s="107">
        <f t="shared" si="13"/>
        <v>0.625</v>
      </c>
      <c r="Q33" s="504"/>
    </row>
    <row r="34" spans="1:17" ht="11.25" customHeight="1">
      <c r="A34" s="13"/>
      <c r="B34" s="13" t="s">
        <v>33</v>
      </c>
      <c r="C34" s="13">
        <f>SUM('By Lot'!E1057:E1062,'By Lot'!E1074:E1079,'By Lot'!E1091:E1096,'By Lot'!E1108:E1113,'By Lot'!E1125:E1130,'By Lot'!E1142:E1147)</f>
        <v>20</v>
      </c>
      <c r="D34" s="109">
        <f>SUM('By Lot'!F1057:F1062,'By Lot'!F1074:F1079,'By Lot'!F1091:F1096,'By Lot'!F1108:F1113,'By Lot'!F1125:F1130,'By Lot'!F1142:F1147)</f>
        <v>9</v>
      </c>
      <c r="E34" s="504">
        <f>SUM('By Lot'!G1057:G1062,'By Lot'!G1074:G1079,'By Lot'!G1091:G1096,'By Lot'!G1108:G1113,'By Lot'!G1125:G1130,'By Lot'!G1142:G1147)</f>
        <v>9</v>
      </c>
      <c r="F34" s="504">
        <f>SUM('By Lot'!H1057:H1062,'By Lot'!H1074:H1079,'By Lot'!H1091:H1096,'By Lot'!H1108:H1113,'By Lot'!H1125:H1130,'By Lot'!H1142:H1147)</f>
        <v>15</v>
      </c>
      <c r="G34" s="504">
        <f>SUM('By Lot'!I1057:I1062,'By Lot'!I1074:I1079,'By Lot'!I1091:I1096,'By Lot'!I1108:I1113,'By Lot'!I1125:I1130,'By Lot'!I1142:I1147)</f>
        <v>15</v>
      </c>
      <c r="H34" s="504">
        <f>SUM('By Lot'!J1057:J1062,'By Lot'!J1074:J1079,'By Lot'!J1091:J1096,'By Lot'!J1108:J1113,'By Lot'!J1125:J1130,'By Lot'!J1142:J1147)</f>
        <v>15</v>
      </c>
      <c r="I34" s="504">
        <f>SUM('By Lot'!K1057:K1062,'By Lot'!K1074:K1079,'By Lot'!K1091:K1096,'By Lot'!K1108:K1113,'By Lot'!K1125:K1130,'By Lot'!K1142:K1147)</f>
        <v>15</v>
      </c>
      <c r="J34" s="504">
        <f>SUM('By Lot'!L1057:L1062,'By Lot'!L1074:L1079,'By Lot'!L1091:L1096,'By Lot'!L1108:L1113,'By Lot'!L1125:L1130,'By Lot'!L1142:L1147)</f>
        <v>15</v>
      </c>
      <c r="K34" s="504">
        <f>SUM('By Lot'!M1057:M1062,'By Lot'!M1074:M1079,'By Lot'!M1091:M1096,'By Lot'!M1108:M1113,'By Lot'!M1125:M1130,'By Lot'!M1142:M1147)</f>
        <v>15</v>
      </c>
      <c r="L34" s="504">
        <f>SUM('By Lot'!N1057:N1062,'By Lot'!N1074:N1079,'By Lot'!N1091:N1096,'By Lot'!N1108:N1113,'By Lot'!N1125:N1130,'By Lot'!N1142:N1147)</f>
        <v>15</v>
      </c>
      <c r="M34" s="110">
        <f>SUM('By Lot'!O1057:O1062,'By Lot'!O1074:O1079,'By Lot'!O1091:O1096,'By Lot'!O1108:O1113,'By Lot'!O1125:O1130,'By Lot'!O1142:O1147)</f>
        <v>15</v>
      </c>
      <c r="N34" s="109">
        <f t="shared" si="11"/>
        <v>9</v>
      </c>
      <c r="O34" s="504">
        <f t="shared" si="12"/>
        <v>11</v>
      </c>
      <c r="P34" s="107">
        <f t="shared" si="13"/>
        <v>0.55000000000000004</v>
      </c>
      <c r="Q34" s="504"/>
    </row>
    <row r="35" spans="1:17" ht="11.25" customHeight="1">
      <c r="A35" s="13"/>
      <c r="B35" s="13" t="s">
        <v>34</v>
      </c>
      <c r="C35" s="13">
        <f>SUM('By Lot'!E1063,'By Lot'!E1080,'By Lot'!E1097,'By Lot'!E1114,'By Lot'!E1131,'By Lot'!E1148)</f>
        <v>15</v>
      </c>
      <c r="D35" s="109">
        <f>SUM('By Lot'!F1063,'By Lot'!F1080,'By Lot'!F1097,'By Lot'!F1114,'By Lot'!F1131,'By Lot'!F1148)</f>
        <v>12</v>
      </c>
      <c r="E35" s="504">
        <f>SUM('By Lot'!G1063,'By Lot'!G1080,'By Lot'!G1097,'By Lot'!G1114,'By Lot'!G1131,'By Lot'!G1148)</f>
        <v>12</v>
      </c>
      <c r="F35" s="504">
        <f>SUM('By Lot'!H1063,'By Lot'!H1080,'By Lot'!H1097,'By Lot'!H1114,'By Lot'!H1131,'By Lot'!H1148)</f>
        <v>12</v>
      </c>
      <c r="G35" s="504">
        <f>SUM('By Lot'!I1063,'By Lot'!I1080,'By Lot'!I1097,'By Lot'!I1114,'By Lot'!I1131,'By Lot'!I1148)</f>
        <v>12</v>
      </c>
      <c r="H35" s="504">
        <f>SUM('By Lot'!J1063,'By Lot'!J1080,'By Lot'!J1097,'By Lot'!J1114,'By Lot'!J1131,'By Lot'!J1148)</f>
        <v>12</v>
      </c>
      <c r="I35" s="504">
        <f>SUM('By Lot'!K1063,'By Lot'!K1080,'By Lot'!K1097,'By Lot'!K1114,'By Lot'!K1131,'By Lot'!K1148)</f>
        <v>12</v>
      </c>
      <c r="J35" s="504">
        <f>SUM('By Lot'!L1063,'By Lot'!L1080,'By Lot'!L1097,'By Lot'!L1114,'By Lot'!L1131,'By Lot'!L1148)</f>
        <v>12</v>
      </c>
      <c r="K35" s="504">
        <f>SUM('By Lot'!M1063,'By Lot'!M1080,'By Lot'!M1097,'By Lot'!M1114,'By Lot'!M1131,'By Lot'!M1148)</f>
        <v>12</v>
      </c>
      <c r="L35" s="504">
        <f>SUM('By Lot'!N1063,'By Lot'!N1080,'By Lot'!N1097,'By Lot'!N1114,'By Lot'!N1131,'By Lot'!N1148)</f>
        <v>12</v>
      </c>
      <c r="M35" s="110">
        <f>SUM('By Lot'!O1063,'By Lot'!O1080,'By Lot'!O1097,'By Lot'!O1114,'By Lot'!O1131,'By Lot'!O1148)</f>
        <v>12</v>
      </c>
      <c r="N35" s="109">
        <f t="shared" si="11"/>
        <v>12</v>
      </c>
      <c r="O35" s="504">
        <f t="shared" si="12"/>
        <v>3</v>
      </c>
      <c r="P35" s="107">
        <f t="shared" si="13"/>
        <v>0.2</v>
      </c>
      <c r="Q35" s="504"/>
    </row>
    <row r="36" spans="1:17" ht="11.25" customHeight="1">
      <c r="A36" s="13"/>
      <c r="B36" s="13" t="s">
        <v>35</v>
      </c>
      <c r="C36" s="13">
        <f>SUM('By Lot'!E1064,'By Lot'!E1081,'By Lot'!E1098,'By Lot'!E1115,'By Lot'!E1132,'By Lot'!E1149)</f>
        <v>9</v>
      </c>
      <c r="D36" s="109">
        <f>SUM('By Lot'!F1064,'By Lot'!F1081,'By Lot'!F1098,'By Lot'!F1115,'By Lot'!F1132,'By Lot'!F1149)</f>
        <v>4</v>
      </c>
      <c r="E36" s="504">
        <f>SUM('By Lot'!G1064,'By Lot'!G1081,'By Lot'!G1098,'By Lot'!G1115,'By Lot'!G1132,'By Lot'!G1149)</f>
        <v>3</v>
      </c>
      <c r="F36" s="504">
        <f>SUM('By Lot'!H1064,'By Lot'!H1081,'By Lot'!H1098,'By Lot'!H1115,'By Lot'!H1132,'By Lot'!H1149)</f>
        <v>6</v>
      </c>
      <c r="G36" s="504">
        <f>SUM('By Lot'!I1064,'By Lot'!I1081,'By Lot'!I1098,'By Lot'!I1115,'By Lot'!I1132,'By Lot'!I1149)</f>
        <v>6</v>
      </c>
      <c r="H36" s="504">
        <f>SUM('By Lot'!J1064,'By Lot'!J1081,'By Lot'!J1098,'By Lot'!J1115,'By Lot'!J1132,'By Lot'!J1149)</f>
        <v>4</v>
      </c>
      <c r="I36" s="504">
        <f>SUM('By Lot'!K1064,'By Lot'!K1081,'By Lot'!K1098,'By Lot'!K1115,'By Lot'!K1132,'By Lot'!K1149)</f>
        <v>4</v>
      </c>
      <c r="J36" s="504">
        <f>SUM('By Lot'!L1064,'By Lot'!L1081,'By Lot'!L1098,'By Lot'!L1115,'By Lot'!L1132,'By Lot'!L1149)</f>
        <v>4</v>
      </c>
      <c r="K36" s="504">
        <f>SUM('By Lot'!M1064,'By Lot'!M1081,'By Lot'!M1098,'By Lot'!M1115,'By Lot'!M1132,'By Lot'!M1149)</f>
        <v>4</v>
      </c>
      <c r="L36" s="504">
        <f>SUM('By Lot'!N1064,'By Lot'!N1081,'By Lot'!N1098,'By Lot'!N1115,'By Lot'!N1132,'By Lot'!N1149)</f>
        <v>3</v>
      </c>
      <c r="M36" s="110">
        <f>SUM('By Lot'!O1064,'By Lot'!O1081,'By Lot'!O1098,'By Lot'!O1115,'By Lot'!O1132,'By Lot'!O1149)</f>
        <v>5</v>
      </c>
      <c r="N36" s="109">
        <f t="shared" si="11"/>
        <v>3</v>
      </c>
      <c r="O36" s="504">
        <f t="shared" si="12"/>
        <v>6</v>
      </c>
      <c r="P36" s="107">
        <f t="shared" si="13"/>
        <v>0.66666666666666663</v>
      </c>
      <c r="Q36" s="504"/>
    </row>
    <row r="37" spans="1:17" ht="11.25" customHeight="1">
      <c r="A37" s="13"/>
      <c r="B37" s="13" t="s">
        <v>36</v>
      </c>
      <c r="C37" s="13"/>
      <c r="D37" s="109"/>
      <c r="E37" s="504"/>
      <c r="F37" s="504"/>
      <c r="G37" s="504"/>
      <c r="H37" s="504"/>
      <c r="I37" s="504"/>
      <c r="J37" s="504"/>
      <c r="K37" s="504"/>
      <c r="L37" s="504"/>
      <c r="M37" s="110"/>
      <c r="N37" s="109"/>
      <c r="O37" s="504"/>
      <c r="P37" s="107"/>
      <c r="Q37" s="504"/>
    </row>
    <row r="38" spans="1:17" ht="11.25" customHeight="1">
      <c r="A38" s="13"/>
      <c r="B38" s="13" t="s">
        <v>37</v>
      </c>
      <c r="C38" s="13"/>
      <c r="D38" s="109"/>
      <c r="E38" s="504"/>
      <c r="F38" s="504"/>
      <c r="G38" s="504"/>
      <c r="H38" s="504"/>
      <c r="I38" s="504"/>
      <c r="J38" s="504"/>
      <c r="K38" s="504"/>
      <c r="L38" s="504"/>
      <c r="M38" s="110"/>
      <c r="N38" s="109"/>
      <c r="O38" s="504"/>
      <c r="P38" s="107"/>
      <c r="Q38" s="504"/>
    </row>
    <row r="39" spans="1:17" ht="11.25" customHeight="1">
      <c r="A39" s="2"/>
      <c r="B39" s="3" t="s">
        <v>38</v>
      </c>
      <c r="C39" s="3">
        <f t="shared" ref="C39:M39" si="14">SUM(C29:C38)</f>
        <v>951</v>
      </c>
      <c r="D39" s="21">
        <f t="shared" si="14"/>
        <v>408</v>
      </c>
      <c r="E39" s="71">
        <f t="shared" si="14"/>
        <v>415</v>
      </c>
      <c r="F39" s="71">
        <f t="shared" si="14"/>
        <v>403</v>
      </c>
      <c r="G39" s="71">
        <f t="shared" si="14"/>
        <v>416</v>
      </c>
      <c r="H39" s="71">
        <f t="shared" si="14"/>
        <v>395</v>
      </c>
      <c r="I39" s="71">
        <f t="shared" si="14"/>
        <v>383</v>
      </c>
      <c r="J39" s="71">
        <f t="shared" si="14"/>
        <v>380</v>
      </c>
      <c r="K39" s="71">
        <f t="shared" si="14"/>
        <v>370</v>
      </c>
      <c r="L39" s="71">
        <f t="shared" si="14"/>
        <v>381</v>
      </c>
      <c r="M39" s="26">
        <f t="shared" si="14"/>
        <v>395</v>
      </c>
      <c r="N39" s="21">
        <f>MIN(D39:M39)</f>
        <v>370</v>
      </c>
      <c r="O39" s="71">
        <f>C39-N39</f>
        <v>581</v>
      </c>
      <c r="P39" s="7">
        <f>O39/C39</f>
        <v>0.6109358569926393</v>
      </c>
      <c r="Q39" s="504"/>
    </row>
    <row r="40" spans="1:17" ht="11.25" customHeight="1">
      <c r="A40" s="43" t="s">
        <v>90</v>
      </c>
      <c r="B40" s="13" t="s">
        <v>23</v>
      </c>
      <c r="C40" s="13"/>
      <c r="D40" s="109"/>
      <c r="E40" s="504"/>
      <c r="F40" s="504"/>
      <c r="G40" s="504"/>
      <c r="H40" s="504"/>
      <c r="I40" s="504"/>
      <c r="J40" s="504"/>
      <c r="K40" s="504"/>
      <c r="L40" s="504"/>
      <c r="M40" s="110"/>
      <c r="N40" s="109"/>
      <c r="O40" s="504"/>
      <c r="P40" s="107"/>
      <c r="Q40" s="504"/>
    </row>
    <row r="41" spans="1:17" ht="11.25" customHeight="1">
      <c r="A41" s="13" t="s">
        <v>91</v>
      </c>
      <c r="B41" s="13" t="s">
        <v>25</v>
      </c>
      <c r="C41" s="13">
        <f>SUM('By Lot'!E1154,'By Lot'!E1171)</f>
        <v>380</v>
      </c>
      <c r="D41" s="109">
        <f>SUM('By Lot'!F1154,'By Lot'!F1171)</f>
        <v>344</v>
      </c>
      <c r="E41" s="504">
        <f>SUM('By Lot'!G1154,'By Lot'!G1171)</f>
        <v>345</v>
      </c>
      <c r="F41" s="504">
        <f>SUM('By Lot'!H1154,'By Lot'!H1171)</f>
        <v>341</v>
      </c>
      <c r="G41" s="504">
        <f>SUM('By Lot'!I1154,'By Lot'!I1171)</f>
        <v>335</v>
      </c>
      <c r="H41" s="504">
        <f>SUM('By Lot'!J1154,'By Lot'!J1171)</f>
        <v>327</v>
      </c>
      <c r="I41" s="504">
        <f>SUM('By Lot'!K1154,'By Lot'!K1171)</f>
        <v>337</v>
      </c>
      <c r="J41" s="504">
        <f>SUM('By Lot'!L1154,'By Lot'!L1171)</f>
        <v>343</v>
      </c>
      <c r="K41" s="504">
        <f>SUM('By Lot'!M1154,'By Lot'!M1171)</f>
        <v>340</v>
      </c>
      <c r="L41" s="504">
        <f>SUM('By Lot'!N1154,'By Lot'!N1171)</f>
        <v>346</v>
      </c>
      <c r="M41" s="110">
        <f>SUM('By Lot'!O1154,'By Lot'!O1171)</f>
        <v>351</v>
      </c>
      <c r="N41" s="109">
        <f t="shared" ref="N41:N47" si="15">MIN(D41:M41)</f>
        <v>327</v>
      </c>
      <c r="O41" s="504">
        <f t="shared" ref="O41:O47" si="16">C41-N41</f>
        <v>53</v>
      </c>
      <c r="P41" s="107">
        <f t="shared" ref="P41:P47" si="17">O41/C41</f>
        <v>0.13947368421052631</v>
      </c>
      <c r="Q41" s="504"/>
    </row>
    <row r="42" spans="1:17" ht="11.25" customHeight="1">
      <c r="A42" s="13" t="s">
        <v>45</v>
      </c>
      <c r="B42" s="13" t="s">
        <v>27</v>
      </c>
      <c r="C42" s="13">
        <f>SUM('By Lot'!E1155,'By Lot'!E1172)</f>
        <v>4</v>
      </c>
      <c r="D42" s="109">
        <f>SUM('By Lot'!F1155,'By Lot'!F1172)</f>
        <v>4</v>
      </c>
      <c r="E42" s="504">
        <f>SUM('By Lot'!G1155,'By Lot'!G1172)</f>
        <v>4</v>
      </c>
      <c r="F42" s="504">
        <f>SUM('By Lot'!H1155,'By Lot'!H1172)</f>
        <v>4</v>
      </c>
      <c r="G42" s="504">
        <f>SUM('By Lot'!I1155,'By Lot'!I1172)</f>
        <v>4</v>
      </c>
      <c r="H42" s="504">
        <f>SUM('By Lot'!J1155,'By Lot'!J1172)</f>
        <v>4</v>
      </c>
      <c r="I42" s="504">
        <f>SUM('By Lot'!K1155,'By Lot'!K1172)</f>
        <v>4</v>
      </c>
      <c r="J42" s="504">
        <f>SUM('By Lot'!L1155,'By Lot'!L1172)</f>
        <v>4</v>
      </c>
      <c r="K42" s="504">
        <f>SUM('By Lot'!M1155,'By Lot'!M1172)</f>
        <v>4</v>
      </c>
      <c r="L42" s="504">
        <f>SUM('By Lot'!N1155,'By Lot'!N1172)</f>
        <v>4</v>
      </c>
      <c r="M42" s="110">
        <f>SUM('By Lot'!O1155,'By Lot'!O1172)</f>
        <v>4</v>
      </c>
      <c r="N42" s="109">
        <f t="shared" si="15"/>
        <v>4</v>
      </c>
      <c r="O42" s="504">
        <f t="shared" si="16"/>
        <v>0</v>
      </c>
      <c r="P42" s="107">
        <f t="shared" si="17"/>
        <v>0</v>
      </c>
      <c r="Q42" s="504"/>
    </row>
    <row r="43" spans="1:17" ht="11.25" customHeight="1">
      <c r="A43" s="13" t="s">
        <v>62</v>
      </c>
      <c r="B43" s="13" t="s">
        <v>31</v>
      </c>
      <c r="C43" s="13">
        <f>SUM('By Lot'!E1156:E1157,'By Lot'!E1173:E1174)</f>
        <v>9</v>
      </c>
      <c r="D43" s="109">
        <f>SUM('By Lot'!F1156:F1157,'By Lot'!F1173:F1174)</f>
        <v>8</v>
      </c>
      <c r="E43" s="504">
        <f>SUM('By Lot'!G1156:G1157,'By Lot'!G1173:G1174)</f>
        <v>8</v>
      </c>
      <c r="F43" s="504">
        <f>SUM('By Lot'!H1156:H1157,'By Lot'!H1173:H1174)</f>
        <v>8</v>
      </c>
      <c r="G43" s="504">
        <f>SUM('By Lot'!I1156:I1157,'By Lot'!I1173:I1174)</f>
        <v>6</v>
      </c>
      <c r="H43" s="504">
        <f>SUM('By Lot'!J1156:J1157,'By Lot'!J1173:J1174)</f>
        <v>6</v>
      </c>
      <c r="I43" s="504">
        <f>SUM('By Lot'!K1156:K1157,'By Lot'!K1173:K1174)</f>
        <v>7</v>
      </c>
      <c r="J43" s="504">
        <f>SUM('By Lot'!L1156:L1157,'By Lot'!L1173:L1174)</f>
        <v>8</v>
      </c>
      <c r="K43" s="504">
        <f>SUM('By Lot'!M1156:M1157,'By Lot'!M1173:M1174)</f>
        <v>8</v>
      </c>
      <c r="L43" s="504">
        <f>SUM('By Lot'!N1156:N1157,'By Lot'!N1173:N1174)</f>
        <v>8</v>
      </c>
      <c r="M43" s="110">
        <f>SUM('By Lot'!O1156:O1157,'By Lot'!O1173:O1174)</f>
        <v>9</v>
      </c>
      <c r="N43" s="109">
        <f t="shared" si="15"/>
        <v>6</v>
      </c>
      <c r="O43" s="504">
        <f t="shared" si="16"/>
        <v>3</v>
      </c>
      <c r="P43" s="107">
        <f t="shared" si="17"/>
        <v>0.33333333333333331</v>
      </c>
      <c r="Q43" s="504"/>
    </row>
    <row r="44" spans="1:17" ht="11.25" customHeight="1">
      <c r="A44" s="13" t="s">
        <v>466</v>
      </c>
      <c r="B44" s="13" t="s">
        <v>32</v>
      </c>
      <c r="C44" s="13">
        <f>SUM('By Lot'!E1158,'By Lot'!E1175)</f>
        <v>4</v>
      </c>
      <c r="D44" s="109">
        <f>SUM('By Lot'!F1158,'By Lot'!F1175)</f>
        <v>4</v>
      </c>
      <c r="E44" s="504">
        <f>SUM('By Lot'!G1158,'By Lot'!G1175)</f>
        <v>4</v>
      </c>
      <c r="F44" s="504">
        <f>SUM('By Lot'!H1158,'By Lot'!H1175)</f>
        <v>4</v>
      </c>
      <c r="G44" s="504">
        <f>SUM('By Lot'!I1158,'By Lot'!I1175)</f>
        <v>4</v>
      </c>
      <c r="H44" s="504">
        <f>SUM('By Lot'!J1158,'By Lot'!J1175)</f>
        <v>4</v>
      </c>
      <c r="I44" s="504">
        <f>SUM('By Lot'!K1158,'By Lot'!K1175)</f>
        <v>4</v>
      </c>
      <c r="J44" s="504">
        <f>SUM('By Lot'!L1158,'By Lot'!L1175)</f>
        <v>4</v>
      </c>
      <c r="K44" s="504">
        <f>SUM('By Lot'!M1158,'By Lot'!M1175)</f>
        <v>4</v>
      </c>
      <c r="L44" s="504">
        <f>SUM('By Lot'!N1158,'By Lot'!N1175)</f>
        <v>4</v>
      </c>
      <c r="M44" s="110">
        <f>SUM('By Lot'!O1158,'By Lot'!O1175)</f>
        <v>4</v>
      </c>
      <c r="N44" s="109">
        <f t="shared" si="15"/>
        <v>4</v>
      </c>
      <c r="O44" s="504">
        <f t="shared" si="16"/>
        <v>0</v>
      </c>
      <c r="P44" s="107">
        <f t="shared" si="17"/>
        <v>0</v>
      </c>
      <c r="Q44" s="504"/>
    </row>
    <row r="45" spans="1:17" ht="11.25" customHeight="1">
      <c r="A45" s="13"/>
      <c r="B45" s="13" t="s">
        <v>33</v>
      </c>
      <c r="C45" s="13">
        <f>SUM('By Lot'!E1159:E1164,'By Lot'!E1176:E1181)</f>
        <v>33</v>
      </c>
      <c r="D45" s="109">
        <f>SUM('By Lot'!F1159:F1164,'By Lot'!F1176:F1181)</f>
        <v>28</v>
      </c>
      <c r="E45" s="504">
        <f>SUM('By Lot'!G1159:G1164,'By Lot'!G1176:G1181)</f>
        <v>24</v>
      </c>
      <c r="F45" s="504">
        <f>SUM('By Lot'!H1159:H1164,'By Lot'!H1176:H1181)</f>
        <v>24</v>
      </c>
      <c r="G45" s="504">
        <f>SUM('By Lot'!I1159:I1164,'By Lot'!I1176:I1181)</f>
        <v>24</v>
      </c>
      <c r="H45" s="504">
        <f>SUM('By Lot'!J1159:J1164,'By Lot'!J1176:J1181)</f>
        <v>23</v>
      </c>
      <c r="I45" s="504">
        <f>SUM('By Lot'!K1159:K1164,'By Lot'!K1176:K1181)</f>
        <v>23</v>
      </c>
      <c r="J45" s="504">
        <f>SUM('By Lot'!L1159:L1164,'By Lot'!L1176:L1181)</f>
        <v>23</v>
      </c>
      <c r="K45" s="504">
        <f>SUM('By Lot'!M1159:M1164,'By Lot'!M1176:M1181)</f>
        <v>23</v>
      </c>
      <c r="L45" s="504">
        <f>SUM('By Lot'!N1159:N1164,'By Lot'!N1176:N1181)</f>
        <v>23</v>
      </c>
      <c r="M45" s="110">
        <f>SUM('By Lot'!O1159:O1164,'By Lot'!O1176:O1181)</f>
        <v>23</v>
      </c>
      <c r="N45" s="109">
        <f t="shared" si="15"/>
        <v>23</v>
      </c>
      <c r="O45" s="504">
        <f t="shared" si="16"/>
        <v>10</v>
      </c>
      <c r="P45" s="107">
        <f t="shared" si="17"/>
        <v>0.30303030303030304</v>
      </c>
      <c r="Q45" s="504"/>
    </row>
    <row r="46" spans="1:17" ht="11.25" customHeight="1">
      <c r="A46" s="13"/>
      <c r="B46" s="13" t="s">
        <v>34</v>
      </c>
      <c r="C46" s="13">
        <f>SUM('By Lot'!E1165,'By Lot'!E1182)</f>
        <v>10</v>
      </c>
      <c r="D46" s="109">
        <f>SUM('By Lot'!F1165,'By Lot'!F1182)</f>
        <v>10</v>
      </c>
      <c r="E46" s="504">
        <f>SUM('By Lot'!G1165,'By Lot'!G1182)</f>
        <v>10</v>
      </c>
      <c r="F46" s="504">
        <f>SUM('By Lot'!H1165,'By Lot'!H1182)</f>
        <v>10</v>
      </c>
      <c r="G46" s="504">
        <f>SUM('By Lot'!I1165,'By Lot'!I1182)</f>
        <v>10</v>
      </c>
      <c r="H46" s="504">
        <f>SUM('By Lot'!J1165,'By Lot'!J1182)</f>
        <v>10</v>
      </c>
      <c r="I46" s="504">
        <f>SUM('By Lot'!K1165,'By Lot'!K1182)</f>
        <v>10</v>
      </c>
      <c r="J46" s="504">
        <f>SUM('By Lot'!L1165,'By Lot'!L1182)</f>
        <v>10</v>
      </c>
      <c r="K46" s="504">
        <f>SUM('By Lot'!M1165,'By Lot'!M1182)</f>
        <v>10</v>
      </c>
      <c r="L46" s="504">
        <f>SUM('By Lot'!N1165,'By Lot'!N1182)</f>
        <v>10</v>
      </c>
      <c r="M46" s="110">
        <f>SUM('By Lot'!O1165,'By Lot'!O1182)</f>
        <v>10</v>
      </c>
      <c r="N46" s="109">
        <f t="shared" si="15"/>
        <v>10</v>
      </c>
      <c r="O46" s="504">
        <f t="shared" si="16"/>
        <v>0</v>
      </c>
      <c r="P46" s="107">
        <f t="shared" si="17"/>
        <v>0</v>
      </c>
      <c r="Q46" s="504"/>
    </row>
    <row r="47" spans="1:17" ht="11.25" customHeight="1">
      <c r="A47" s="13"/>
      <c r="B47" s="13" t="s">
        <v>35</v>
      </c>
      <c r="C47" s="13">
        <f>SUM('By Lot'!E1166,'By Lot'!E1183)</f>
        <v>7</v>
      </c>
      <c r="D47" s="109">
        <f>SUM('By Lot'!F1166,'By Lot'!F1183)</f>
        <v>0</v>
      </c>
      <c r="E47" s="504">
        <f>SUM('By Lot'!G1166,'By Lot'!G1183)</f>
        <v>0</v>
      </c>
      <c r="F47" s="504">
        <f>SUM('By Lot'!H1166,'By Lot'!H1183)</f>
        <v>0</v>
      </c>
      <c r="G47" s="504">
        <f>SUM('By Lot'!I1166,'By Lot'!I1183)</f>
        <v>0</v>
      </c>
      <c r="H47" s="504">
        <f>SUM('By Lot'!J1166,'By Lot'!J1183)</f>
        <v>0</v>
      </c>
      <c r="I47" s="504">
        <f>SUM('By Lot'!K1166,'By Lot'!K1183)</f>
        <v>0</v>
      </c>
      <c r="J47" s="504">
        <f>SUM('By Lot'!L1166,'By Lot'!L1183)</f>
        <v>0</v>
      </c>
      <c r="K47" s="504">
        <f>SUM('By Lot'!M1166,'By Lot'!M1183)</f>
        <v>0</v>
      </c>
      <c r="L47" s="504">
        <f>SUM('By Lot'!N1166,'By Lot'!N1183)</f>
        <v>0</v>
      </c>
      <c r="M47" s="110">
        <f>SUM('By Lot'!O1166,'By Lot'!O1183)</f>
        <v>0</v>
      </c>
      <c r="N47" s="109">
        <f t="shared" si="15"/>
        <v>0</v>
      </c>
      <c r="O47" s="504">
        <f t="shared" si="16"/>
        <v>7</v>
      </c>
      <c r="P47" s="107">
        <f t="shared" si="17"/>
        <v>1</v>
      </c>
      <c r="Q47" s="504"/>
    </row>
    <row r="48" spans="1:17" ht="11.25" customHeight="1">
      <c r="A48" s="13"/>
      <c r="B48" s="13" t="s">
        <v>36</v>
      </c>
      <c r="C48" s="13"/>
      <c r="D48" s="109"/>
      <c r="E48" s="504"/>
      <c r="F48" s="504"/>
      <c r="G48" s="504"/>
      <c r="H48" s="504"/>
      <c r="I48" s="504"/>
      <c r="J48" s="504"/>
      <c r="K48" s="504"/>
      <c r="L48" s="504"/>
      <c r="M48" s="110"/>
      <c r="N48" s="109"/>
      <c r="O48" s="504"/>
      <c r="P48" s="107"/>
      <c r="Q48" s="504"/>
    </row>
    <row r="49" spans="1:17" ht="11.25" customHeight="1">
      <c r="A49" s="13"/>
      <c r="B49" s="13" t="s">
        <v>37</v>
      </c>
      <c r="C49" s="13">
        <f>SUM('By Lot'!E1168,'By Lot'!E1185)</f>
        <v>1</v>
      </c>
      <c r="D49" s="109">
        <f>SUM('By Lot'!F1168,'By Lot'!F1185)</f>
        <v>0</v>
      </c>
      <c r="E49" s="504">
        <f>SUM('By Lot'!G1168,'By Lot'!G1185)</f>
        <v>1</v>
      </c>
      <c r="F49" s="504">
        <f>SUM('By Lot'!H1168,'By Lot'!H1185)</f>
        <v>1</v>
      </c>
      <c r="G49" s="504">
        <f>SUM('By Lot'!I1168,'By Lot'!I1185)</f>
        <v>1</v>
      </c>
      <c r="H49" s="504">
        <f>SUM('By Lot'!J1168,'By Lot'!J1185)</f>
        <v>0</v>
      </c>
      <c r="I49" s="504">
        <f>SUM('By Lot'!K1168,'By Lot'!K1185)</f>
        <v>0</v>
      </c>
      <c r="J49" s="504">
        <f>SUM('By Lot'!L1168,'By Lot'!L1185)</f>
        <v>0</v>
      </c>
      <c r="K49" s="504">
        <f>SUM('By Lot'!M1168,'By Lot'!M1185)</f>
        <v>0</v>
      </c>
      <c r="L49" s="504">
        <f>SUM('By Lot'!N1168,'By Lot'!N1185)</f>
        <v>1</v>
      </c>
      <c r="M49" s="110">
        <f>SUM('By Lot'!O1168,'By Lot'!O1185)</f>
        <v>1</v>
      </c>
      <c r="N49" s="109">
        <f t="shared" ref="N49:N50" si="18">MIN(D49:M49)</f>
        <v>0</v>
      </c>
      <c r="O49" s="504">
        <f t="shared" ref="O49:O50" si="19">C49-N49</f>
        <v>1</v>
      </c>
      <c r="P49" s="107">
        <f t="shared" ref="P49:P50" si="20">O49/C49</f>
        <v>1</v>
      </c>
      <c r="Q49" s="504"/>
    </row>
    <row r="50" spans="1:17" ht="11.25" customHeight="1">
      <c r="A50" s="63"/>
      <c r="B50" s="64" t="s">
        <v>38</v>
      </c>
      <c r="C50" s="64">
        <f t="shared" ref="C50:M50" si="21">SUM(C40:C49)</f>
        <v>448</v>
      </c>
      <c r="D50" s="69">
        <f t="shared" si="21"/>
        <v>398</v>
      </c>
      <c r="E50" s="68">
        <f t="shared" si="21"/>
        <v>396</v>
      </c>
      <c r="F50" s="68">
        <f t="shared" si="21"/>
        <v>392</v>
      </c>
      <c r="G50" s="68">
        <f t="shared" si="21"/>
        <v>384</v>
      </c>
      <c r="H50" s="68">
        <f t="shared" si="21"/>
        <v>374</v>
      </c>
      <c r="I50" s="68">
        <f t="shared" si="21"/>
        <v>385</v>
      </c>
      <c r="J50" s="68">
        <f t="shared" si="21"/>
        <v>392</v>
      </c>
      <c r="K50" s="68">
        <f t="shared" si="21"/>
        <v>389</v>
      </c>
      <c r="L50" s="68">
        <f t="shared" si="21"/>
        <v>396</v>
      </c>
      <c r="M50" s="65">
        <f t="shared" si="21"/>
        <v>402</v>
      </c>
      <c r="N50" s="69">
        <f t="shared" si="18"/>
        <v>374</v>
      </c>
      <c r="O50" s="68">
        <f t="shared" si="19"/>
        <v>74</v>
      </c>
      <c r="P50" s="66">
        <f t="shared" si="20"/>
        <v>0.16517857142857142</v>
      </c>
      <c r="Q50" s="504"/>
    </row>
    <row r="51" spans="1:17" ht="11.25" customHeight="1">
      <c r="A51" s="13" t="s">
        <v>90</v>
      </c>
      <c r="B51" s="13" t="s">
        <v>23</v>
      </c>
      <c r="C51" s="13"/>
      <c r="D51" s="109"/>
      <c r="E51" s="504"/>
      <c r="F51" s="504"/>
      <c r="G51" s="504"/>
      <c r="H51" s="504"/>
      <c r="I51" s="504"/>
      <c r="J51" s="504"/>
      <c r="K51" s="504"/>
      <c r="L51" s="504"/>
      <c r="M51" s="110"/>
      <c r="N51" s="109"/>
      <c r="O51" s="504"/>
      <c r="P51" s="107"/>
      <c r="Q51" s="504"/>
    </row>
    <row r="52" spans="1:17" ht="11.25" customHeight="1">
      <c r="A52" s="13" t="s">
        <v>91</v>
      </c>
      <c r="B52" s="13" t="s">
        <v>25</v>
      </c>
      <c r="C52" s="13">
        <f>SUM('By Lot'!E1256,'By Lot'!E1274,'By Lot'!E1291,'By Lot'!E1308)</f>
        <v>199</v>
      </c>
      <c r="D52" s="109">
        <f>SUM('By Lot'!F1256,'By Lot'!F1274,'By Lot'!F1291,'By Lot'!F1308)</f>
        <v>194</v>
      </c>
      <c r="E52" s="504">
        <f>SUM('By Lot'!G1256,'By Lot'!G1274,'By Lot'!G1291,'By Lot'!G1308)</f>
        <v>194</v>
      </c>
      <c r="F52" s="504">
        <f>SUM('By Lot'!H1256,'By Lot'!H1274,'By Lot'!H1291,'By Lot'!H1308)</f>
        <v>195</v>
      </c>
      <c r="G52" s="504">
        <f>SUM('By Lot'!I1256,'By Lot'!I1274,'By Lot'!I1291,'By Lot'!I1308)</f>
        <v>190</v>
      </c>
      <c r="H52" s="504">
        <f>SUM('By Lot'!J1256,'By Lot'!J1274,'By Lot'!J1291,'By Lot'!J1308)</f>
        <v>182</v>
      </c>
      <c r="I52" s="504">
        <f>SUM('By Lot'!K1256,'By Lot'!K1274,'By Lot'!K1291,'By Lot'!K1308)</f>
        <v>181</v>
      </c>
      <c r="J52" s="504">
        <f>SUM('By Lot'!L1256,'By Lot'!L1274,'By Lot'!L1291,'By Lot'!L1308)</f>
        <v>185</v>
      </c>
      <c r="K52" s="504">
        <f>SUM('By Lot'!M1256,'By Lot'!M1274,'By Lot'!M1291,'By Lot'!M1308)</f>
        <v>186</v>
      </c>
      <c r="L52" s="504">
        <f>SUM('By Lot'!N1256,'By Lot'!N1274,'By Lot'!N1291,'By Lot'!N1308)</f>
        <v>193</v>
      </c>
      <c r="M52" s="110">
        <f>SUM('By Lot'!O1256,'By Lot'!O1274,'By Lot'!O1291,'By Lot'!O1308)</f>
        <v>195</v>
      </c>
      <c r="N52" s="109">
        <f t="shared" ref="N52:N53" si="22">MIN(D52:M52)</f>
        <v>181</v>
      </c>
      <c r="O52" s="504">
        <f t="shared" ref="O52:O53" si="23">C52-N52</f>
        <v>18</v>
      </c>
      <c r="P52" s="107">
        <f t="shared" ref="P52:P53" si="24">O52/C52</f>
        <v>9.0452261306532666E-2</v>
      </c>
      <c r="Q52" s="504"/>
    </row>
    <row r="53" spans="1:17" ht="11.25" customHeight="1">
      <c r="A53" s="13" t="s">
        <v>45</v>
      </c>
      <c r="B53" s="13" t="s">
        <v>27</v>
      </c>
      <c r="C53" s="13">
        <f>SUM('By Lot'!E1257,'By Lot'!E1275,'By Lot'!E1292,'By Lot'!E1309)</f>
        <v>5</v>
      </c>
      <c r="D53" s="109">
        <f>SUM('By Lot'!F1257,'By Lot'!F1275,'By Lot'!F1292,'By Lot'!F1309)</f>
        <v>5</v>
      </c>
      <c r="E53" s="504">
        <f>SUM('By Lot'!G1257,'By Lot'!G1275,'By Lot'!G1292,'By Lot'!G1309)</f>
        <v>5</v>
      </c>
      <c r="F53" s="504">
        <f>SUM('By Lot'!H1257,'By Lot'!H1275,'By Lot'!H1292,'By Lot'!H1309)</f>
        <v>5</v>
      </c>
      <c r="G53" s="504">
        <f>SUM('By Lot'!I1257,'By Lot'!I1275,'By Lot'!I1292,'By Lot'!I1309)</f>
        <v>5</v>
      </c>
      <c r="H53" s="504">
        <f>SUM('By Lot'!J1257,'By Lot'!J1275,'By Lot'!J1292,'By Lot'!J1309)</f>
        <v>5</v>
      </c>
      <c r="I53" s="504">
        <f>SUM('By Lot'!K1257,'By Lot'!K1275,'By Lot'!K1292,'By Lot'!K1309)</f>
        <v>5</v>
      </c>
      <c r="J53" s="504">
        <f>SUM('By Lot'!L1257,'By Lot'!L1275,'By Lot'!L1292,'By Lot'!L1309)</f>
        <v>5</v>
      </c>
      <c r="K53" s="504">
        <f>SUM('By Lot'!M1257,'By Lot'!M1275,'By Lot'!M1292,'By Lot'!M1309)</f>
        <v>5</v>
      </c>
      <c r="L53" s="504">
        <f>SUM('By Lot'!N1257,'By Lot'!N1275,'By Lot'!N1292,'By Lot'!N1309)</f>
        <v>5</v>
      </c>
      <c r="M53" s="110">
        <f>SUM('By Lot'!O1257,'By Lot'!O1275,'By Lot'!O1292,'By Lot'!O1309)</f>
        <v>5</v>
      </c>
      <c r="N53" s="109">
        <f t="shared" si="22"/>
        <v>5</v>
      </c>
      <c r="O53" s="504">
        <f t="shared" si="23"/>
        <v>0</v>
      </c>
      <c r="P53" s="107">
        <f t="shared" si="24"/>
        <v>0</v>
      </c>
      <c r="Q53" s="504"/>
    </row>
    <row r="54" spans="1:17" ht="11.25" customHeight="1">
      <c r="A54" s="13" t="s">
        <v>89</v>
      </c>
      <c r="B54" s="13" t="s">
        <v>31</v>
      </c>
      <c r="C54" s="13"/>
      <c r="D54" s="109"/>
      <c r="E54" s="504"/>
      <c r="F54" s="504"/>
      <c r="G54" s="504"/>
      <c r="H54" s="504"/>
      <c r="I54" s="504"/>
      <c r="J54" s="504"/>
      <c r="K54" s="504"/>
      <c r="L54" s="504"/>
      <c r="M54" s="110"/>
      <c r="N54" s="109"/>
      <c r="O54" s="504"/>
      <c r="P54" s="107"/>
      <c r="Q54" s="504"/>
    </row>
    <row r="55" spans="1:17" ht="11.25" customHeight="1">
      <c r="A55" s="13" t="s">
        <v>467</v>
      </c>
      <c r="B55" s="13" t="s">
        <v>32</v>
      </c>
      <c r="C55" s="13">
        <f>SUM('By Lot'!E1260,'By Lot'!E1278,'By Lot'!E1295,'By Lot'!E1312)</f>
        <v>7</v>
      </c>
      <c r="D55" s="109">
        <f>SUM('By Lot'!F1260,'By Lot'!F1278,'By Lot'!F1295,'By Lot'!F1312)</f>
        <v>7</v>
      </c>
      <c r="E55" s="504">
        <f>SUM('By Lot'!G1260,'By Lot'!G1278,'By Lot'!G1295,'By Lot'!G1312)</f>
        <v>7</v>
      </c>
      <c r="F55" s="504">
        <f>SUM('By Lot'!H1260,'By Lot'!H1278,'By Lot'!H1295,'By Lot'!H1312)</f>
        <v>7</v>
      </c>
      <c r="G55" s="504">
        <f>SUM('By Lot'!I1260,'By Lot'!I1278,'By Lot'!I1295,'By Lot'!I1312)</f>
        <v>7</v>
      </c>
      <c r="H55" s="504">
        <f>SUM('By Lot'!J1260,'By Lot'!J1278,'By Lot'!J1295,'By Lot'!J1312)</f>
        <v>7</v>
      </c>
      <c r="I55" s="504">
        <f>SUM('By Lot'!K1260,'By Lot'!K1278,'By Lot'!K1295,'By Lot'!K1312)</f>
        <v>7</v>
      </c>
      <c r="J55" s="504">
        <f>SUM('By Lot'!L1260,'By Lot'!L1278,'By Lot'!L1295,'By Lot'!L1312)</f>
        <v>7</v>
      </c>
      <c r="K55" s="504">
        <f>SUM('By Lot'!M1260,'By Lot'!M1278,'By Lot'!M1295,'By Lot'!M1312)</f>
        <v>7</v>
      </c>
      <c r="L55" s="504">
        <f>SUM('By Lot'!N1260,'By Lot'!N1278,'By Lot'!N1295,'By Lot'!N1312)</f>
        <v>7</v>
      </c>
      <c r="M55" s="110">
        <f>SUM('By Lot'!O1260,'By Lot'!O1278,'By Lot'!O1295,'By Lot'!O1312)</f>
        <v>7</v>
      </c>
      <c r="N55" s="109">
        <f t="shared" ref="N55:N57" si="25">MIN(D55:M55)</f>
        <v>7</v>
      </c>
      <c r="O55" s="504">
        <f t="shared" ref="O55:O57" si="26">C55-N55</f>
        <v>0</v>
      </c>
      <c r="P55" s="107">
        <f t="shared" ref="P55:P57" si="27">O55/C55</f>
        <v>0</v>
      </c>
      <c r="Q55" s="504"/>
    </row>
    <row r="56" spans="1:17" ht="11.25" customHeight="1">
      <c r="A56" s="13"/>
      <c r="B56" s="13" t="s">
        <v>33</v>
      </c>
      <c r="C56" s="13">
        <f>SUM('By Lot'!E1261:E1266,'By Lot'!E1279:E1284,'By Lot'!E1296:E1301,'By Lot'!E1313:E1318)</f>
        <v>1</v>
      </c>
      <c r="D56" s="109">
        <f>SUM('By Lot'!F1261:F1266,'By Lot'!F1279:F1284,'By Lot'!F1296:F1301,'By Lot'!F1313:F1318)</f>
        <v>1</v>
      </c>
      <c r="E56" s="504">
        <f>SUM('By Lot'!G1261:G1266,'By Lot'!G1279:G1284,'By Lot'!G1296:G1301,'By Lot'!G1313:G1318)</f>
        <v>1</v>
      </c>
      <c r="F56" s="504">
        <f>SUM('By Lot'!H1261:H1266,'By Lot'!H1279:H1284,'By Lot'!H1296:H1301,'By Lot'!H1313:H1318)</f>
        <v>1</v>
      </c>
      <c r="G56" s="504">
        <f>SUM('By Lot'!I1261:I1266,'By Lot'!I1279:I1284,'By Lot'!I1296:I1301,'By Lot'!I1313:I1318)</f>
        <v>1</v>
      </c>
      <c r="H56" s="504">
        <f>SUM('By Lot'!J1261:J1266,'By Lot'!J1279:J1284,'By Lot'!J1296:J1301,'By Lot'!J1313:J1318)</f>
        <v>1</v>
      </c>
      <c r="I56" s="504">
        <f>SUM('By Lot'!K1261:K1266,'By Lot'!K1279:K1284,'By Lot'!K1296:K1301,'By Lot'!K1313:K1318)</f>
        <v>1</v>
      </c>
      <c r="J56" s="504">
        <f>SUM('By Lot'!L1261:L1266,'By Lot'!L1279:L1284,'By Lot'!L1296:L1301,'By Lot'!L1313:L1318)</f>
        <v>1</v>
      </c>
      <c r="K56" s="504">
        <f>SUM('By Lot'!M1261:M1266,'By Lot'!M1279:M1284,'By Lot'!M1296:M1301,'By Lot'!M1313:M1318)</f>
        <v>1</v>
      </c>
      <c r="L56" s="504">
        <f>SUM('By Lot'!N1261:N1266,'By Lot'!N1279:N1284,'By Lot'!N1296:N1301,'By Lot'!N1313:N1318)</f>
        <v>1</v>
      </c>
      <c r="M56" s="110">
        <f>SUM('By Lot'!O1261:O1266,'By Lot'!O1279:O1284,'By Lot'!O1296:O1301,'By Lot'!O1313:O1318)</f>
        <v>1</v>
      </c>
      <c r="N56" s="109">
        <f t="shared" si="25"/>
        <v>1</v>
      </c>
      <c r="O56" s="504">
        <f t="shared" si="26"/>
        <v>0</v>
      </c>
      <c r="P56" s="107">
        <f t="shared" si="27"/>
        <v>0</v>
      </c>
      <c r="Q56" s="504"/>
    </row>
    <row r="57" spans="1:17" ht="11.25" customHeight="1">
      <c r="A57" s="13"/>
      <c r="B57" s="13" t="s">
        <v>34</v>
      </c>
      <c r="C57" s="13">
        <f>SUM('By Lot'!E1267,'By Lot'!E1285,'By Lot'!E1302,'By Lot'!E1319)</f>
        <v>3</v>
      </c>
      <c r="D57" s="109">
        <f>SUM('By Lot'!F1267,'By Lot'!F1285,'By Lot'!F1302,'By Lot'!F1319)</f>
        <v>3</v>
      </c>
      <c r="E57" s="504">
        <f>SUM('By Lot'!G1267,'By Lot'!G1285,'By Lot'!G1302,'By Lot'!G1319)</f>
        <v>3</v>
      </c>
      <c r="F57" s="504">
        <f>SUM('By Lot'!H1267,'By Lot'!H1285,'By Lot'!H1302,'By Lot'!H1319)</f>
        <v>3</v>
      </c>
      <c r="G57" s="504">
        <f>SUM('By Lot'!I1267,'By Lot'!I1285,'By Lot'!I1302,'By Lot'!I1319)</f>
        <v>3</v>
      </c>
      <c r="H57" s="504">
        <f>SUM('By Lot'!J1267,'By Lot'!J1285,'By Lot'!J1302,'By Lot'!J1319)</f>
        <v>3</v>
      </c>
      <c r="I57" s="504">
        <f>SUM('By Lot'!K1267,'By Lot'!K1285,'By Lot'!K1302,'By Lot'!K1319)</f>
        <v>3</v>
      </c>
      <c r="J57" s="504">
        <f>SUM('By Lot'!L1267,'By Lot'!L1285,'By Lot'!L1302,'By Lot'!L1319)</f>
        <v>3</v>
      </c>
      <c r="K57" s="504">
        <f>SUM('By Lot'!M1267,'By Lot'!M1285,'By Lot'!M1302,'By Lot'!M1319)</f>
        <v>3</v>
      </c>
      <c r="L57" s="504">
        <f>SUM('By Lot'!N1267,'By Lot'!N1285,'By Lot'!N1302,'By Lot'!N1319)</f>
        <v>3</v>
      </c>
      <c r="M57" s="110">
        <f>SUM('By Lot'!O1267,'By Lot'!O1285,'By Lot'!O1302,'By Lot'!O1319)</f>
        <v>3</v>
      </c>
      <c r="N57" s="109">
        <f t="shared" si="25"/>
        <v>3</v>
      </c>
      <c r="O57" s="504">
        <f t="shared" si="26"/>
        <v>0</v>
      </c>
      <c r="P57" s="107">
        <f t="shared" si="27"/>
        <v>0</v>
      </c>
      <c r="Q57" s="504"/>
    </row>
    <row r="58" spans="1:17" ht="11.25" customHeight="1">
      <c r="A58" s="13"/>
      <c r="B58" s="13" t="s">
        <v>35</v>
      </c>
      <c r="C58" s="13"/>
      <c r="D58" s="109"/>
      <c r="E58" s="504"/>
      <c r="F58" s="504"/>
      <c r="G58" s="504"/>
      <c r="H58" s="504"/>
      <c r="I58" s="504"/>
      <c r="J58" s="504"/>
      <c r="K58" s="504"/>
      <c r="L58" s="504"/>
      <c r="M58" s="110"/>
      <c r="N58" s="109"/>
      <c r="O58" s="504"/>
      <c r="P58" s="107"/>
      <c r="Q58" s="504"/>
    </row>
    <row r="59" spans="1:17" ht="11.25" customHeight="1">
      <c r="A59" s="13"/>
      <c r="B59" s="13" t="s">
        <v>36</v>
      </c>
      <c r="C59" s="13">
        <f>SUM('By Lot'!E1269,'By Lot'!E1287,'By Lot'!E1304,'By Lot'!E1321)</f>
        <v>1</v>
      </c>
      <c r="D59" s="109">
        <f>SUM('By Lot'!F1269,'By Lot'!F1287,'By Lot'!F1304,'By Lot'!F1321)</f>
        <v>1</v>
      </c>
      <c r="E59" s="504">
        <f>SUM('By Lot'!G1269,'By Lot'!G1287,'By Lot'!G1304,'By Lot'!G1321)</f>
        <v>0</v>
      </c>
      <c r="F59" s="504">
        <f>SUM('By Lot'!H1269,'By Lot'!H1287,'By Lot'!H1304,'By Lot'!H1321)</f>
        <v>0</v>
      </c>
      <c r="G59" s="504">
        <f>SUM('By Lot'!I1269,'By Lot'!I1287,'By Lot'!I1304,'By Lot'!I1321)</f>
        <v>0</v>
      </c>
      <c r="H59" s="504">
        <f>SUM('By Lot'!J1269,'By Lot'!J1287,'By Lot'!J1304,'By Lot'!J1321)</f>
        <v>0</v>
      </c>
      <c r="I59" s="504">
        <f>SUM('By Lot'!K1269,'By Lot'!K1287,'By Lot'!K1304,'By Lot'!K1321)</f>
        <v>0</v>
      </c>
      <c r="J59" s="504">
        <f>SUM('By Lot'!L1269,'By Lot'!L1287,'By Lot'!L1304,'By Lot'!L1321)</f>
        <v>0</v>
      </c>
      <c r="K59" s="504">
        <f>SUM('By Lot'!M1269,'By Lot'!M1287,'By Lot'!M1304,'By Lot'!M1321)</f>
        <v>0</v>
      </c>
      <c r="L59" s="504">
        <f>SUM('By Lot'!N1269,'By Lot'!N1287,'By Lot'!N1304,'By Lot'!N1321)</f>
        <v>0</v>
      </c>
      <c r="M59" s="110">
        <f>SUM('By Lot'!O1269,'By Lot'!O1287,'By Lot'!O1304,'By Lot'!O1321)</f>
        <v>0</v>
      </c>
      <c r="N59" s="109">
        <f t="shared" ref="N59:N63" si="28">MIN(D59:M59)</f>
        <v>0</v>
      </c>
      <c r="O59" s="504">
        <f t="shared" ref="O59:O63" si="29">C59-N59</f>
        <v>1</v>
      </c>
      <c r="P59" s="107">
        <f t="shared" ref="P59:P63" si="30">O59/C59</f>
        <v>1</v>
      </c>
      <c r="Q59" s="504"/>
    </row>
    <row r="60" spans="1:17" ht="11.25" customHeight="1">
      <c r="A60" s="13"/>
      <c r="B60" s="13" t="s">
        <v>37</v>
      </c>
      <c r="C60" s="13">
        <f>SUM('By Lot'!E1271,'By Lot'!E1288,'By Lot'!E1305,'By Lot'!E1322)</f>
        <v>1</v>
      </c>
      <c r="D60" s="109">
        <f>SUM('By Lot'!F1271,'By Lot'!F1288,'By Lot'!F1305,'By Lot'!F1322)</f>
        <v>1</v>
      </c>
      <c r="E60" s="504">
        <f>SUM('By Lot'!G1271,'By Lot'!G1288,'By Lot'!G1305,'By Lot'!G1322)</f>
        <v>1</v>
      </c>
      <c r="F60" s="504">
        <f>SUM('By Lot'!H1271,'By Lot'!H1288,'By Lot'!H1305,'By Lot'!H1322)</f>
        <v>1</v>
      </c>
      <c r="G60" s="504">
        <f>SUM('By Lot'!I1271,'By Lot'!I1288,'By Lot'!I1305,'By Lot'!I1322)</f>
        <v>1</v>
      </c>
      <c r="H60" s="504">
        <f>SUM('By Lot'!J1271,'By Lot'!J1288,'By Lot'!J1305,'By Lot'!J1322)</f>
        <v>1</v>
      </c>
      <c r="I60" s="504">
        <f>SUM('By Lot'!K1271,'By Lot'!K1288,'By Lot'!K1305,'By Lot'!K1322)</f>
        <v>1</v>
      </c>
      <c r="J60" s="504">
        <f>SUM('By Lot'!L1271,'By Lot'!L1288,'By Lot'!L1305,'By Lot'!L1322)</f>
        <v>1</v>
      </c>
      <c r="K60" s="504">
        <f>SUM('By Lot'!M1271,'By Lot'!M1288,'By Lot'!M1305,'By Lot'!M1322)</f>
        <v>1</v>
      </c>
      <c r="L60" s="504">
        <f>SUM('By Lot'!N1271,'By Lot'!N1288,'By Lot'!N1305,'By Lot'!N1322)</f>
        <v>1</v>
      </c>
      <c r="M60" s="110">
        <f>SUM('By Lot'!O1271,'By Lot'!O1288,'By Lot'!O1305,'By Lot'!O1322)</f>
        <v>1</v>
      </c>
      <c r="N60" s="109">
        <f t="shared" si="28"/>
        <v>1</v>
      </c>
      <c r="O60" s="504">
        <f t="shared" si="29"/>
        <v>0</v>
      </c>
      <c r="P60" s="107">
        <f t="shared" si="30"/>
        <v>0</v>
      </c>
      <c r="Q60" s="504"/>
    </row>
    <row r="61" spans="1:17" ht="11.25" customHeight="1">
      <c r="A61" s="2"/>
      <c r="B61" s="3" t="s">
        <v>38</v>
      </c>
      <c r="C61" s="3">
        <f t="shared" ref="C61:M61" si="31">SUM(C51:C60)</f>
        <v>217</v>
      </c>
      <c r="D61" s="21">
        <f t="shared" si="31"/>
        <v>212</v>
      </c>
      <c r="E61" s="71">
        <f t="shared" si="31"/>
        <v>211</v>
      </c>
      <c r="F61" s="71">
        <f t="shared" si="31"/>
        <v>212</v>
      </c>
      <c r="G61" s="71">
        <f t="shared" si="31"/>
        <v>207</v>
      </c>
      <c r="H61" s="71">
        <f t="shared" si="31"/>
        <v>199</v>
      </c>
      <c r="I61" s="71">
        <f t="shared" si="31"/>
        <v>198</v>
      </c>
      <c r="J61" s="71">
        <f t="shared" si="31"/>
        <v>202</v>
      </c>
      <c r="K61" s="71">
        <f t="shared" si="31"/>
        <v>203</v>
      </c>
      <c r="L61" s="71">
        <f t="shared" si="31"/>
        <v>210</v>
      </c>
      <c r="M61" s="26">
        <f t="shared" si="31"/>
        <v>212</v>
      </c>
      <c r="N61" s="21">
        <f t="shared" si="28"/>
        <v>198</v>
      </c>
      <c r="O61" s="71">
        <f t="shared" si="29"/>
        <v>19</v>
      </c>
      <c r="P61" s="7">
        <f t="shared" si="30"/>
        <v>8.755760368663594E-2</v>
      </c>
      <c r="Q61" s="504"/>
    </row>
    <row r="62" spans="1:17" ht="11.25" customHeight="1">
      <c r="A62" s="43" t="s">
        <v>468</v>
      </c>
      <c r="B62" s="13" t="s">
        <v>23</v>
      </c>
      <c r="C62" s="13">
        <f>SUM('By Lot'!E1630,'By Lot'!E1647,'By Lot'!E1666,'By Lot'!E1683,'By Lot'!E1700,'By Lot'!E1717)</f>
        <v>395</v>
      </c>
      <c r="D62" s="109">
        <f>SUM('By Lot'!F1630,'By Lot'!F1647,'By Lot'!F1666,'By Lot'!F1683,'By Lot'!F1700,'By Lot'!F1717)</f>
        <v>354</v>
      </c>
      <c r="E62" s="504">
        <f>SUM('By Lot'!G1630,'By Lot'!G1647,'By Lot'!G1666,'By Lot'!G1683,'By Lot'!G1700,'By Lot'!G1717)</f>
        <v>326</v>
      </c>
      <c r="F62" s="504">
        <f>SUM('By Lot'!H1630,'By Lot'!H1647,'By Lot'!H1666,'By Lot'!H1683,'By Lot'!H1700,'By Lot'!H1717)</f>
        <v>310</v>
      </c>
      <c r="G62" s="504">
        <f>SUM('By Lot'!I1630,'By Lot'!I1647,'By Lot'!I1666,'By Lot'!I1683,'By Lot'!I1700,'By Lot'!I1717)</f>
        <v>301</v>
      </c>
      <c r="H62" s="504">
        <f>SUM('By Lot'!J1630,'By Lot'!J1647,'By Lot'!J1666,'By Lot'!J1683,'By Lot'!J1700,'By Lot'!J1717)</f>
        <v>292</v>
      </c>
      <c r="I62" s="504">
        <f>SUM('By Lot'!K1630,'By Lot'!K1647,'By Lot'!K1666,'By Lot'!K1683,'By Lot'!K1700,'By Lot'!K1717)</f>
        <v>295</v>
      </c>
      <c r="J62" s="504">
        <f>SUM('By Lot'!L1630,'By Lot'!L1647,'By Lot'!L1666,'By Lot'!L1683,'By Lot'!L1700,'By Lot'!L1717)</f>
        <v>301</v>
      </c>
      <c r="K62" s="504">
        <f>SUM('By Lot'!M1630,'By Lot'!M1647,'By Lot'!M1666,'By Lot'!M1683,'By Lot'!M1700,'By Lot'!M1717)</f>
        <v>305</v>
      </c>
      <c r="L62" s="504">
        <f>SUM('By Lot'!N1630,'By Lot'!N1647,'By Lot'!N1666,'By Lot'!N1683,'By Lot'!N1700,'By Lot'!N1717)</f>
        <v>309</v>
      </c>
      <c r="M62" s="110">
        <f>SUM('By Lot'!O1630,'By Lot'!O1647,'By Lot'!O1666,'By Lot'!O1683,'By Lot'!O1700,'By Lot'!O1717)</f>
        <v>313</v>
      </c>
      <c r="N62" s="109">
        <f t="shared" si="28"/>
        <v>292</v>
      </c>
      <c r="O62" s="504">
        <f t="shared" si="29"/>
        <v>103</v>
      </c>
      <c r="P62" s="107">
        <f t="shared" si="30"/>
        <v>0.26075949367088608</v>
      </c>
      <c r="Q62" s="504"/>
    </row>
    <row r="63" spans="1:17" ht="11.25" customHeight="1">
      <c r="A63" s="13" t="s">
        <v>469</v>
      </c>
      <c r="B63" s="13" t="s">
        <v>25</v>
      </c>
      <c r="C63" s="13">
        <f>SUM('By Lot'!E1631,'By Lot'!E1648,'By Lot'!E1667,'By Lot'!E1684,'By Lot'!E1701,'By Lot'!E1718)</f>
        <v>123</v>
      </c>
      <c r="D63" s="109">
        <f>SUM('By Lot'!F1631,'By Lot'!F1648,'By Lot'!F1667,'By Lot'!F1684,'By Lot'!F1701,'By Lot'!F1718)</f>
        <v>91</v>
      </c>
      <c r="E63" s="504">
        <f>SUM('By Lot'!G1631,'By Lot'!G1648,'By Lot'!G1667,'By Lot'!G1684,'By Lot'!G1701,'By Lot'!G1718)</f>
        <v>50</v>
      </c>
      <c r="F63" s="504">
        <f>SUM('By Lot'!H1631,'By Lot'!H1648,'By Lot'!H1667,'By Lot'!H1684,'By Lot'!H1701,'By Lot'!H1718)</f>
        <v>25</v>
      </c>
      <c r="G63" s="504">
        <f>SUM('By Lot'!I1631,'By Lot'!I1648,'By Lot'!I1667,'By Lot'!I1684,'By Lot'!I1701,'By Lot'!I1718)</f>
        <v>5</v>
      </c>
      <c r="H63" s="504">
        <f>SUM('By Lot'!J1631,'By Lot'!J1648,'By Lot'!J1667,'By Lot'!J1684,'By Lot'!J1701,'By Lot'!J1718)</f>
        <v>5</v>
      </c>
      <c r="I63" s="504">
        <f>SUM('By Lot'!K1631,'By Lot'!K1648,'By Lot'!K1667,'By Lot'!K1684,'By Lot'!K1701,'By Lot'!K1718)</f>
        <v>6</v>
      </c>
      <c r="J63" s="504">
        <f>SUM('By Lot'!L1631,'By Lot'!L1648,'By Lot'!L1667,'By Lot'!L1684,'By Lot'!L1701,'By Lot'!L1718)</f>
        <v>7</v>
      </c>
      <c r="K63" s="504">
        <f>SUM('By Lot'!M1631,'By Lot'!M1648,'By Lot'!M1667,'By Lot'!M1684,'By Lot'!M1701,'By Lot'!M1718)</f>
        <v>12</v>
      </c>
      <c r="L63" s="504">
        <f>SUM('By Lot'!N1631,'By Lot'!N1648,'By Lot'!N1667,'By Lot'!N1684,'By Lot'!N1701,'By Lot'!N1718)</f>
        <v>17</v>
      </c>
      <c r="M63" s="110">
        <f>SUM('By Lot'!O1631,'By Lot'!O1648,'By Lot'!O1667,'By Lot'!O1684,'By Lot'!O1701,'By Lot'!O1718)</f>
        <v>19</v>
      </c>
      <c r="N63" s="109">
        <f t="shared" si="28"/>
        <v>5</v>
      </c>
      <c r="O63" s="504">
        <f t="shared" si="29"/>
        <v>118</v>
      </c>
      <c r="P63" s="107">
        <f t="shared" si="30"/>
        <v>0.95934959349593496</v>
      </c>
      <c r="Q63" s="504"/>
    </row>
    <row r="64" spans="1:17" ht="11.25" customHeight="1">
      <c r="A64" s="13"/>
      <c r="B64" s="13" t="s">
        <v>27</v>
      </c>
      <c r="C64" s="13"/>
      <c r="D64" s="109"/>
      <c r="E64" s="504"/>
      <c r="F64" s="504"/>
      <c r="G64" s="504"/>
      <c r="H64" s="504"/>
      <c r="I64" s="504"/>
      <c r="J64" s="504"/>
      <c r="K64" s="504"/>
      <c r="L64" s="504"/>
      <c r="M64" s="110"/>
      <c r="N64" s="109"/>
      <c r="O64" s="504"/>
      <c r="P64" s="107"/>
      <c r="Q64" s="504"/>
    </row>
    <row r="65" spans="1:17" ht="11.25" customHeight="1">
      <c r="A65" s="13"/>
      <c r="B65" s="13" t="s">
        <v>31</v>
      </c>
      <c r="C65" s="13">
        <f>SUM('By Lot'!E1633:E1634,'By Lot'!E1650:E1651,'By Lot'!E1669:E1670,'By Lot'!E1686:E1687,'By Lot'!E1703:E1704,'By Lot'!E1720:E1721)</f>
        <v>198</v>
      </c>
      <c r="D65" s="109">
        <f>SUM('By Lot'!F1633:F1634,'By Lot'!F1650:F1651,'By Lot'!F1669:F1670,'By Lot'!F1686:F1687,'By Lot'!F1703:F1704,'By Lot'!F1720:F1721)</f>
        <v>56</v>
      </c>
      <c r="E65" s="504">
        <f>SUM('By Lot'!G1633:G1634,'By Lot'!G1650:G1651,'By Lot'!G1669:G1670,'By Lot'!G1686:G1687,'By Lot'!G1703:G1704,'By Lot'!G1720:G1721)</f>
        <v>16</v>
      </c>
      <c r="F65" s="504">
        <f>SUM('By Lot'!H1633:H1634,'By Lot'!H1650:H1651,'By Lot'!H1669:H1670,'By Lot'!H1686:H1687,'By Lot'!H1703:H1704,'By Lot'!H1720:H1721)</f>
        <v>4</v>
      </c>
      <c r="G65" s="504">
        <f>SUM('By Lot'!I1633:I1634,'By Lot'!I1650:I1651,'By Lot'!I1669:I1670,'By Lot'!I1686:I1687,'By Lot'!I1703:I1704,'By Lot'!I1720:I1721)</f>
        <v>3</v>
      </c>
      <c r="H65" s="504">
        <f>SUM('By Lot'!J1633:J1634,'By Lot'!J1650:J1651,'By Lot'!J1669:J1670,'By Lot'!J1686:J1687,'By Lot'!J1703:J1704,'By Lot'!J1720:J1721)</f>
        <v>3</v>
      </c>
      <c r="I65" s="504">
        <f>SUM('By Lot'!K1633:K1634,'By Lot'!K1650:K1651,'By Lot'!K1669:K1670,'By Lot'!K1686:K1687,'By Lot'!K1703:K1704,'By Lot'!K1720:K1721)</f>
        <v>5</v>
      </c>
      <c r="J65" s="504">
        <f>SUM('By Lot'!L1633:L1634,'By Lot'!L1650:L1651,'By Lot'!L1669:L1670,'By Lot'!L1686:L1687,'By Lot'!L1703:L1704,'By Lot'!L1720:L1721)</f>
        <v>6</v>
      </c>
      <c r="K65" s="504">
        <f>SUM('By Lot'!M1633:M1634,'By Lot'!M1650:M1651,'By Lot'!M1669:M1670,'By Lot'!M1686:M1687,'By Lot'!M1703:M1704,'By Lot'!M1720:M1721)</f>
        <v>32</v>
      </c>
      <c r="L65" s="504">
        <f>SUM('By Lot'!N1633:N1634,'By Lot'!N1650:N1651,'By Lot'!N1669:N1670,'By Lot'!N1686:N1687,'By Lot'!N1703:N1704,'By Lot'!N1720:N1721)</f>
        <v>63</v>
      </c>
      <c r="M65" s="110">
        <f>SUM('By Lot'!O1633:O1634,'By Lot'!O1650:O1651,'By Lot'!O1669:O1670,'By Lot'!O1686:O1687,'By Lot'!O1703:O1704,'By Lot'!O1720:O1721)</f>
        <v>73</v>
      </c>
      <c r="N65" s="109">
        <f t="shared" ref="N65:N68" si="32">MIN(D65:M65)</f>
        <v>3</v>
      </c>
      <c r="O65" s="504">
        <f t="shared" ref="O65:O68" si="33">C65-N65</f>
        <v>195</v>
      </c>
      <c r="P65" s="107">
        <f t="shared" ref="P65:P68" si="34">O65/C65</f>
        <v>0.98484848484848486</v>
      </c>
      <c r="Q65" s="504"/>
    </row>
    <row r="66" spans="1:17" ht="11.25" customHeight="1">
      <c r="A66" s="13"/>
      <c r="B66" s="13" t="s">
        <v>32</v>
      </c>
      <c r="C66" s="13">
        <f>SUM('By Lot'!E1635,'By Lot'!E1653,'By Lot'!E1671,'By Lot'!E1688,'By Lot'!E1705,'By Lot'!E1722)</f>
        <v>7</v>
      </c>
      <c r="D66" s="109">
        <f>SUM('By Lot'!F1635,'By Lot'!F1653,'By Lot'!F1671,'By Lot'!F1688,'By Lot'!F1705,'By Lot'!F1722)</f>
        <v>4</v>
      </c>
      <c r="E66" s="504">
        <f>SUM('By Lot'!G1635,'By Lot'!G1653,'By Lot'!G1671,'By Lot'!G1688,'By Lot'!G1705,'By Lot'!G1722)</f>
        <v>4</v>
      </c>
      <c r="F66" s="504">
        <f>SUM('By Lot'!H1635,'By Lot'!H1653,'By Lot'!H1671,'By Lot'!H1688,'By Lot'!H1705,'By Lot'!H1722)</f>
        <v>4</v>
      </c>
      <c r="G66" s="504">
        <f>SUM('By Lot'!I1635,'By Lot'!I1653,'By Lot'!I1671,'By Lot'!I1688,'By Lot'!I1705,'By Lot'!I1722)</f>
        <v>4</v>
      </c>
      <c r="H66" s="504">
        <f>SUM('By Lot'!J1635,'By Lot'!J1653,'By Lot'!J1671,'By Lot'!J1688,'By Lot'!J1705,'By Lot'!J1722)</f>
        <v>6</v>
      </c>
      <c r="I66" s="504">
        <f>SUM('By Lot'!K1635,'By Lot'!K1653,'By Lot'!K1671,'By Lot'!K1688,'By Lot'!K1705,'By Lot'!K1722)</f>
        <v>5</v>
      </c>
      <c r="J66" s="504">
        <f>SUM('By Lot'!L1635,'By Lot'!L1653,'By Lot'!L1671,'By Lot'!L1688,'By Lot'!L1705,'By Lot'!L1722)</f>
        <v>5</v>
      </c>
      <c r="K66" s="504">
        <f>SUM('By Lot'!M1635,'By Lot'!M1653,'By Lot'!M1671,'By Lot'!M1688,'By Lot'!M1705,'By Lot'!M1722)</f>
        <v>5</v>
      </c>
      <c r="L66" s="504">
        <f>SUM('By Lot'!N1635,'By Lot'!N1653,'By Lot'!N1671,'By Lot'!N1688,'By Lot'!N1705,'By Lot'!N1722)</f>
        <v>5</v>
      </c>
      <c r="M66" s="110">
        <f>SUM('By Lot'!O1635,'By Lot'!O1653,'By Lot'!O1671,'By Lot'!O1688,'By Lot'!O1705,'By Lot'!O1722)</f>
        <v>6</v>
      </c>
      <c r="N66" s="109">
        <f t="shared" si="32"/>
        <v>4</v>
      </c>
      <c r="O66" s="504">
        <f t="shared" si="33"/>
        <v>3</v>
      </c>
      <c r="P66" s="107">
        <f t="shared" si="34"/>
        <v>0.42857142857142855</v>
      </c>
      <c r="Q66" s="504"/>
    </row>
    <row r="67" spans="1:17" ht="11.25" customHeight="1">
      <c r="A67" s="13"/>
      <c r="B67" s="13" t="s">
        <v>33</v>
      </c>
      <c r="C67" s="13">
        <f>SUM('By Lot'!E1636:E1641,'By Lot'!E1654:E1658,'By Lot'!E1672:E1677,'By Lot'!E1689:E1694,'By Lot'!E1706:E1711,'By Lot'!E1723:E1728)</f>
        <v>80</v>
      </c>
      <c r="D67" s="109">
        <f>SUM('By Lot'!F1636:F1641,'By Lot'!F1654:F1658,'By Lot'!F1672:F1677,'By Lot'!F1689:F1694,'By Lot'!F1706:F1711,'By Lot'!F1723:F1728)</f>
        <v>54</v>
      </c>
      <c r="E67" s="504">
        <f>SUM('By Lot'!G1636:G1641,'By Lot'!G1654:G1658,'By Lot'!G1672:G1677,'By Lot'!G1689:G1694,'By Lot'!G1706:G1711,'By Lot'!G1723:G1728)</f>
        <v>51</v>
      </c>
      <c r="F67" s="504">
        <f>SUM('By Lot'!H1636:H1641,'By Lot'!H1654:H1658,'By Lot'!H1672:H1677,'By Lot'!H1689:H1694,'By Lot'!H1706:H1711,'By Lot'!H1723:H1728)</f>
        <v>45</v>
      </c>
      <c r="G67" s="504">
        <f>SUM('By Lot'!I1636:I1641,'By Lot'!I1654:I1658,'By Lot'!I1672:I1677,'By Lot'!I1689:I1694,'By Lot'!I1706:I1711,'By Lot'!I1723:I1728)</f>
        <v>44</v>
      </c>
      <c r="H67" s="504">
        <f>SUM('By Lot'!J1636:J1641,'By Lot'!J1654:J1658,'By Lot'!J1672:J1677,'By Lot'!J1689:J1694,'By Lot'!J1706:J1711,'By Lot'!J1723:J1728)</f>
        <v>45</v>
      </c>
      <c r="I67" s="504">
        <f>SUM('By Lot'!K1636:K1641,'By Lot'!K1654:K1658,'By Lot'!K1672:K1677,'By Lot'!K1689:K1694,'By Lot'!K1706:K1711,'By Lot'!K1723:K1728)</f>
        <v>44</v>
      </c>
      <c r="J67" s="504">
        <f>SUM('By Lot'!L1636:L1641,'By Lot'!L1654:L1658,'By Lot'!L1672:L1677,'By Lot'!L1689:L1694,'By Lot'!L1706:L1711,'By Lot'!L1723:L1728)</f>
        <v>51</v>
      </c>
      <c r="K67" s="504">
        <f>SUM('By Lot'!M1636:M1641,'By Lot'!M1654:M1658,'By Lot'!M1672:M1677,'By Lot'!M1689:M1694,'By Lot'!M1706:M1711,'By Lot'!M1723:M1728)</f>
        <v>49</v>
      </c>
      <c r="L67" s="504">
        <f>SUM('By Lot'!N1636:N1641,'By Lot'!N1654:N1658,'By Lot'!N1672:N1677,'By Lot'!N1689:N1694,'By Lot'!N1706:N1711,'By Lot'!N1723:N1728)</f>
        <v>48</v>
      </c>
      <c r="M67" s="110">
        <f>SUM('By Lot'!O1636:O1641,'By Lot'!O1654:O1658,'By Lot'!O1672:O1677,'By Lot'!O1689:O1694,'By Lot'!O1706:O1711,'By Lot'!O1723:O1728)</f>
        <v>54</v>
      </c>
      <c r="N67" s="109">
        <f t="shared" si="32"/>
        <v>44</v>
      </c>
      <c r="O67" s="504">
        <f t="shared" si="33"/>
        <v>36</v>
      </c>
      <c r="P67" s="107">
        <f t="shared" si="34"/>
        <v>0.45</v>
      </c>
      <c r="Q67" s="504"/>
    </row>
    <row r="68" spans="1:17" ht="11.25" customHeight="1">
      <c r="A68" s="13"/>
      <c r="B68" s="13" t="s">
        <v>34</v>
      </c>
      <c r="C68" s="13">
        <f>SUM('By Lot'!E1642,'By Lot'!E1661,'By Lot'!E1678,'By Lot'!E1695,'By Lot'!E1712,'By Lot'!E1729)</f>
        <v>27</v>
      </c>
      <c r="D68" s="109">
        <f>SUM('By Lot'!F1642,'By Lot'!F1661,'By Lot'!F1678,'By Lot'!F1695,'By Lot'!F1712,'By Lot'!F1729)</f>
        <v>18</v>
      </c>
      <c r="E68" s="504">
        <f>SUM('By Lot'!G1642,'By Lot'!G1661,'By Lot'!G1678,'By Lot'!G1695,'By Lot'!G1712,'By Lot'!G1729)</f>
        <v>14</v>
      </c>
      <c r="F68" s="504">
        <f>SUM('By Lot'!H1642,'By Lot'!H1661,'By Lot'!H1678,'By Lot'!H1695,'By Lot'!H1712,'By Lot'!H1729)</f>
        <v>11</v>
      </c>
      <c r="G68" s="504">
        <f>SUM('By Lot'!I1642,'By Lot'!I1661,'By Lot'!I1678,'By Lot'!I1695,'By Lot'!I1712,'By Lot'!I1729)</f>
        <v>16</v>
      </c>
      <c r="H68" s="504">
        <f>SUM('By Lot'!J1642,'By Lot'!J1661,'By Lot'!J1678,'By Lot'!J1695,'By Lot'!J1712,'By Lot'!J1729)</f>
        <v>16</v>
      </c>
      <c r="I68" s="504">
        <f>SUM('By Lot'!K1642,'By Lot'!K1661,'By Lot'!K1678,'By Lot'!K1695,'By Lot'!K1712,'By Lot'!K1729)</f>
        <v>17</v>
      </c>
      <c r="J68" s="504">
        <f>SUM('By Lot'!L1642,'By Lot'!L1661,'By Lot'!L1678,'By Lot'!L1695,'By Lot'!L1712,'By Lot'!L1729)</f>
        <v>17</v>
      </c>
      <c r="K68" s="504">
        <f>SUM('By Lot'!M1642,'By Lot'!M1661,'By Lot'!M1678,'By Lot'!M1695,'By Lot'!M1712,'By Lot'!M1729)</f>
        <v>16</v>
      </c>
      <c r="L68" s="504">
        <f>SUM('By Lot'!N1642,'By Lot'!N1661,'By Lot'!N1678,'By Lot'!N1695,'By Lot'!N1712,'By Lot'!N1729)</f>
        <v>17</v>
      </c>
      <c r="M68" s="110">
        <f>SUM('By Lot'!O1642,'By Lot'!O1661,'By Lot'!O1678,'By Lot'!O1695,'By Lot'!O1712,'By Lot'!O1729)</f>
        <v>19</v>
      </c>
      <c r="N68" s="109">
        <f t="shared" si="32"/>
        <v>11</v>
      </c>
      <c r="O68" s="504">
        <f t="shared" si="33"/>
        <v>16</v>
      </c>
      <c r="P68" s="107">
        <f t="shared" si="34"/>
        <v>0.59259259259259256</v>
      </c>
      <c r="Q68" s="504"/>
    </row>
    <row r="69" spans="1:17" ht="11.25" customHeight="1">
      <c r="A69" s="13"/>
      <c r="B69" s="13" t="s">
        <v>35</v>
      </c>
      <c r="C69" s="13"/>
      <c r="D69" s="109"/>
      <c r="E69" s="504"/>
      <c r="F69" s="504"/>
      <c r="G69" s="504"/>
      <c r="H69" s="504"/>
      <c r="I69" s="504"/>
      <c r="J69" s="504"/>
      <c r="K69" s="504"/>
      <c r="L69" s="504"/>
      <c r="M69" s="110"/>
      <c r="N69" s="109"/>
      <c r="O69" s="504"/>
      <c r="P69" s="107"/>
      <c r="Q69" s="504"/>
    </row>
    <row r="70" spans="1:17" ht="11.25" customHeight="1">
      <c r="A70" s="13"/>
      <c r="B70" s="13" t="s">
        <v>36</v>
      </c>
      <c r="C70" s="13"/>
      <c r="D70" s="109"/>
      <c r="E70" s="504"/>
      <c r="F70" s="504"/>
      <c r="G70" s="504"/>
      <c r="H70" s="504"/>
      <c r="I70" s="504"/>
      <c r="J70" s="504"/>
      <c r="K70" s="504"/>
      <c r="L70" s="504"/>
      <c r="M70" s="110"/>
      <c r="N70" s="109"/>
      <c r="O70" s="504"/>
      <c r="P70" s="107"/>
      <c r="Q70" s="504"/>
    </row>
    <row r="71" spans="1:17" ht="11.25" customHeight="1">
      <c r="A71" s="13"/>
      <c r="B71" s="13" t="s">
        <v>37</v>
      </c>
      <c r="C71" s="13"/>
      <c r="D71" s="109"/>
      <c r="E71" s="504"/>
      <c r="F71" s="504"/>
      <c r="G71" s="504"/>
      <c r="H71" s="504"/>
      <c r="I71" s="504"/>
      <c r="J71" s="504"/>
      <c r="K71" s="504"/>
      <c r="L71" s="504"/>
      <c r="M71" s="110"/>
      <c r="N71" s="109"/>
      <c r="O71" s="504"/>
      <c r="P71" s="107"/>
      <c r="Q71" s="504"/>
    </row>
    <row r="72" spans="1:17" ht="11.25" customHeight="1">
      <c r="A72" s="2"/>
      <c r="B72" s="3" t="s">
        <v>38</v>
      </c>
      <c r="C72" s="8">
        <f t="shared" ref="C72:M72" si="35">SUM(C62:C71)</f>
        <v>830</v>
      </c>
      <c r="D72" s="18">
        <f t="shared" si="35"/>
        <v>577</v>
      </c>
      <c r="E72" s="19">
        <f t="shared" si="35"/>
        <v>461</v>
      </c>
      <c r="F72" s="19">
        <f t="shared" si="35"/>
        <v>399</v>
      </c>
      <c r="G72" s="19">
        <f t="shared" si="35"/>
        <v>373</v>
      </c>
      <c r="H72" s="19">
        <f t="shared" si="35"/>
        <v>367</v>
      </c>
      <c r="I72" s="19">
        <f t="shared" si="35"/>
        <v>372</v>
      </c>
      <c r="J72" s="19">
        <f t="shared" si="35"/>
        <v>387</v>
      </c>
      <c r="K72" s="19">
        <f t="shared" si="35"/>
        <v>419</v>
      </c>
      <c r="L72" s="19">
        <f t="shared" si="35"/>
        <v>459</v>
      </c>
      <c r="M72" s="20">
        <f t="shared" si="35"/>
        <v>484</v>
      </c>
      <c r="N72" s="21">
        <f t="shared" ref="N72:N76" si="36">MIN(D72:M72)</f>
        <v>367</v>
      </c>
      <c r="O72" s="71">
        <f t="shared" ref="O72:O76" si="37">C72-N72</f>
        <v>463</v>
      </c>
      <c r="P72" s="7">
        <f t="shared" ref="P72:P76" si="38">O72/C72</f>
        <v>0.55783132530120483</v>
      </c>
      <c r="Q72" s="504"/>
    </row>
    <row r="73" spans="1:17" ht="11.25" customHeight="1">
      <c r="A73" s="13" t="s">
        <v>470</v>
      </c>
      <c r="B73" s="109" t="s">
        <v>23</v>
      </c>
      <c r="C73" s="43">
        <f>SUM('By Lot'!E2078,'By Lot'!E2095,'By Lot'!E2112,'By Lot'!E2129,'By Lot'!E2146)</f>
        <v>156</v>
      </c>
      <c r="D73" s="128">
        <f>SUM('By Lot'!F2129)</f>
        <v>130</v>
      </c>
      <c r="E73" s="128">
        <f>SUM('By Lot'!G2129)</f>
        <v>103</v>
      </c>
      <c r="F73" s="128">
        <f>SUM('By Lot'!H2129)</f>
        <v>61</v>
      </c>
      <c r="G73" s="128">
        <f>SUM('By Lot'!I2129)</f>
        <v>54</v>
      </c>
      <c r="H73" s="128">
        <f>SUM('By Lot'!J2129)</f>
        <v>53</v>
      </c>
      <c r="I73" s="128">
        <f>SUM('By Lot'!K2129)</f>
        <v>58</v>
      </c>
      <c r="J73" s="128">
        <f>SUM('By Lot'!L2129)</f>
        <v>59</v>
      </c>
      <c r="K73" s="128">
        <f>SUM('By Lot'!M2129)</f>
        <v>70</v>
      </c>
      <c r="L73" s="128">
        <f>SUM('By Lot'!N2129)</f>
        <v>76</v>
      </c>
      <c r="M73" s="129">
        <f>SUM('By Lot'!O2129)</f>
        <v>97</v>
      </c>
      <c r="N73" s="504">
        <f t="shared" si="36"/>
        <v>53</v>
      </c>
      <c r="O73" s="504">
        <f t="shared" si="37"/>
        <v>103</v>
      </c>
      <c r="P73" s="107">
        <f t="shared" si="38"/>
        <v>0.66025641025641024</v>
      </c>
      <c r="Q73" s="504"/>
    </row>
    <row r="74" spans="1:17" ht="11.25" customHeight="1">
      <c r="A74" s="13" t="s">
        <v>471</v>
      </c>
      <c r="B74" s="109" t="s">
        <v>25</v>
      </c>
      <c r="C74" s="13">
        <f>SUM('By Lot'!E2079,'By Lot'!E2096,'By Lot'!E2113,'By Lot'!E2130,'By Lot'!E2147)</f>
        <v>520</v>
      </c>
      <c r="D74" s="504">
        <f>SUM('By Lot'!F2113+'By Lot'!F2130+'By Lot'!F2147)</f>
        <v>239</v>
      </c>
      <c r="E74" s="504">
        <f>SUM('By Lot'!G2113+'By Lot'!G2130+'By Lot'!G2147)</f>
        <v>178</v>
      </c>
      <c r="F74" s="504">
        <f>SUM('By Lot'!H2113+'By Lot'!H2130+'By Lot'!H2147)</f>
        <v>86</v>
      </c>
      <c r="G74" s="504">
        <f>SUM('By Lot'!I2113+'By Lot'!I2130+'By Lot'!I2147)</f>
        <v>53</v>
      </c>
      <c r="H74" s="504">
        <f>SUM('By Lot'!J2113+'By Lot'!J2130+'By Lot'!J2147)</f>
        <v>58</v>
      </c>
      <c r="I74" s="504">
        <f>SUM('By Lot'!K2113+'By Lot'!K2130+'By Lot'!K2147)</f>
        <v>68</v>
      </c>
      <c r="J74" s="504">
        <f>SUM('By Lot'!L2113+'By Lot'!L2130+'By Lot'!L2147)</f>
        <v>71</v>
      </c>
      <c r="K74" s="504">
        <f>SUM('By Lot'!M2113+'By Lot'!M2130+'By Lot'!M2147)</f>
        <v>111</v>
      </c>
      <c r="L74" s="504">
        <f>SUM('By Lot'!N2113+'By Lot'!N2130+'By Lot'!N2147)</f>
        <v>144</v>
      </c>
      <c r="M74" s="110">
        <f>SUM('By Lot'!O2113+'By Lot'!O2130+'By Lot'!O2147)</f>
        <v>194</v>
      </c>
      <c r="N74" s="504">
        <f t="shared" si="36"/>
        <v>53</v>
      </c>
      <c r="O74" s="504">
        <f t="shared" si="37"/>
        <v>467</v>
      </c>
      <c r="P74" s="107">
        <f t="shared" si="38"/>
        <v>0.89807692307692311</v>
      </c>
      <c r="Q74" s="504"/>
    </row>
    <row r="75" spans="1:17" ht="11.25" customHeight="1">
      <c r="A75" s="13"/>
      <c r="B75" s="109" t="s">
        <v>27</v>
      </c>
      <c r="C75" s="13">
        <f>SUM('By Lot'!E2080,'By Lot'!E2097,'By Lot'!E2114,'By Lot'!E2131,'By Lot'!E2148)</f>
        <v>428</v>
      </c>
      <c r="D75" s="504">
        <f>SUM('By Lot'!F2080+'By Lot'!F2097)</f>
        <v>323</v>
      </c>
      <c r="E75" s="504">
        <f>SUM('By Lot'!G2080+'By Lot'!G2097)</f>
        <v>305</v>
      </c>
      <c r="F75" s="504">
        <f>SUM('By Lot'!H2080+'By Lot'!H2097)</f>
        <v>251</v>
      </c>
      <c r="G75" s="504">
        <f>SUM('By Lot'!I2080+'By Lot'!I2097)</f>
        <v>226</v>
      </c>
      <c r="H75" s="504">
        <f>SUM('By Lot'!J2080+'By Lot'!J2097)</f>
        <v>232</v>
      </c>
      <c r="I75" s="504">
        <f>SUM('By Lot'!K2080+'By Lot'!K2097)</f>
        <v>246</v>
      </c>
      <c r="J75" s="504">
        <f>SUM('By Lot'!L2080+'By Lot'!L2097)</f>
        <v>251</v>
      </c>
      <c r="K75" s="504">
        <f>SUM('By Lot'!M2080+'By Lot'!M2097)</f>
        <v>274</v>
      </c>
      <c r="L75" s="504">
        <f>SUM('By Lot'!N2080+'By Lot'!N2097)</f>
        <v>291</v>
      </c>
      <c r="M75" s="110">
        <f>SUM('By Lot'!O2080+'By Lot'!O2097)</f>
        <v>307</v>
      </c>
      <c r="N75" s="504">
        <f t="shared" si="36"/>
        <v>226</v>
      </c>
      <c r="O75" s="504">
        <f t="shared" si="37"/>
        <v>202</v>
      </c>
      <c r="P75" s="107">
        <f t="shared" si="38"/>
        <v>0.4719626168224299</v>
      </c>
      <c r="Q75" s="504"/>
    </row>
    <row r="76" spans="1:17" ht="11.25" customHeight="1">
      <c r="A76" s="13"/>
      <c r="B76" s="109" t="s">
        <v>31</v>
      </c>
      <c r="C76" s="13">
        <f>SUM('By Lot'!E2081:E2082,'By Lot'!E2098:E2099,'By Lot'!E2115:E2116,'By Lot'!E2132:E2133,'By Lot'!E2149:E2150)</f>
        <v>47</v>
      </c>
      <c r="D76" s="504">
        <f>SUM('By Lot'!F2115)</f>
        <v>13</v>
      </c>
      <c r="E76" s="504">
        <f>SUM('By Lot'!G2115)</f>
        <v>0</v>
      </c>
      <c r="F76" s="504">
        <f>SUM('By Lot'!H2115)</f>
        <v>0</v>
      </c>
      <c r="G76" s="504">
        <f>SUM('By Lot'!I2115)</f>
        <v>0</v>
      </c>
      <c r="H76" s="504">
        <f>SUM('By Lot'!J2115)</f>
        <v>0</v>
      </c>
      <c r="I76" s="504">
        <f>SUM('By Lot'!K2115)</f>
        <v>0</v>
      </c>
      <c r="J76" s="504">
        <f>SUM('By Lot'!L2115)</f>
        <v>2</v>
      </c>
      <c r="K76" s="504">
        <f>SUM('By Lot'!M2115)</f>
        <v>1</v>
      </c>
      <c r="L76" s="504">
        <f>SUM('By Lot'!N2115)</f>
        <v>13</v>
      </c>
      <c r="M76" s="110">
        <f>SUM('By Lot'!O2115)</f>
        <v>16</v>
      </c>
      <c r="N76" s="504">
        <f t="shared" si="36"/>
        <v>0</v>
      </c>
      <c r="O76" s="504">
        <f t="shared" si="37"/>
        <v>47</v>
      </c>
      <c r="P76" s="107">
        <f t="shared" si="38"/>
        <v>1</v>
      </c>
      <c r="Q76" s="504"/>
    </row>
    <row r="77" spans="1:17" ht="11.25" customHeight="1">
      <c r="A77" s="13"/>
      <c r="B77" s="109" t="s">
        <v>32</v>
      </c>
      <c r="C77" s="13">
        <f>SUM('By Lot'!E2117)</f>
        <v>6</v>
      </c>
      <c r="D77" s="504">
        <f>SUM('By Lot'!F2117)</f>
        <v>4</v>
      </c>
      <c r="E77" s="504">
        <f>SUM('By Lot'!G2117)</f>
        <v>4</v>
      </c>
      <c r="F77" s="504">
        <f>SUM('By Lot'!H2117)</f>
        <v>4</v>
      </c>
      <c r="G77" s="504">
        <f>SUM('By Lot'!I2117)</f>
        <v>4</v>
      </c>
      <c r="H77" s="504">
        <f>SUM('By Lot'!J2117)</f>
        <v>4</v>
      </c>
      <c r="I77" s="504">
        <f>SUM('By Lot'!K2117)</f>
        <v>5</v>
      </c>
      <c r="J77" s="504">
        <f>SUM('By Lot'!L2117)</f>
        <v>5</v>
      </c>
      <c r="K77" s="504">
        <f>SUM('By Lot'!M2117)</f>
        <v>5</v>
      </c>
      <c r="L77" s="504">
        <f>SUM('By Lot'!N2117)</f>
        <v>5</v>
      </c>
      <c r="M77" s="110">
        <f>SUM('By Lot'!O2117)</f>
        <v>5</v>
      </c>
      <c r="N77" s="534">
        <f t="shared" ref="N77" si="39">MIN(D77:M77)</f>
        <v>4</v>
      </c>
      <c r="O77" s="534">
        <f t="shared" ref="O77" si="40">C77-N77</f>
        <v>2</v>
      </c>
      <c r="P77" s="107">
        <f t="shared" ref="P77" si="41">O77/C77</f>
        <v>0.33333333333333331</v>
      </c>
      <c r="Q77" s="504"/>
    </row>
    <row r="78" spans="1:17" ht="11.25" customHeight="1">
      <c r="A78" s="13"/>
      <c r="B78" s="109" t="s">
        <v>33</v>
      </c>
      <c r="C78" s="13">
        <f>SUM('By Lot'!E2084:E2089,'By Lot'!E2101:E2106,'By Lot'!E2118:E2123,'By Lot'!E2135:E2140,'By Lot'!E2152:E2157)</f>
        <v>111</v>
      </c>
      <c r="D78" s="504">
        <f>SUM('By Lot'!F2084+'By Lot'!F2101+'By Lot'!F2102+'By Lot'!F2118+'By Lot'!F2119+'By Lot'!F2120+'By Lot'!F2135+'By Lot'!F2152)</f>
        <v>104</v>
      </c>
      <c r="E78" s="504">
        <f>SUM('By Lot'!G2084+'By Lot'!G2101+'By Lot'!G2102+'By Lot'!G2118+'By Lot'!G2119+'By Lot'!G2120+'By Lot'!G2135+'By Lot'!G2152)</f>
        <v>99</v>
      </c>
      <c r="F78" s="504">
        <f>SUM('By Lot'!H2084+'By Lot'!H2101+'By Lot'!H2102+'By Lot'!H2118+'By Lot'!H2119+'By Lot'!H2120+'By Lot'!H2135+'By Lot'!H2152)</f>
        <v>92</v>
      </c>
      <c r="G78" s="504">
        <f>SUM('By Lot'!I2084+'By Lot'!I2101+'By Lot'!I2102+'By Lot'!I2118+'By Lot'!I2119+'By Lot'!I2120+'By Lot'!I2135+'By Lot'!I2152)</f>
        <v>86</v>
      </c>
      <c r="H78" s="504">
        <f>SUM('By Lot'!J2084+'By Lot'!J2101+'By Lot'!J2102+'By Lot'!J2118+'By Lot'!J2119+'By Lot'!J2120+'By Lot'!J2135+'By Lot'!J2152)</f>
        <v>87</v>
      </c>
      <c r="I78" s="504">
        <f>SUM('By Lot'!K2084+'By Lot'!K2101+'By Lot'!K2102+'By Lot'!K2118+'By Lot'!K2119+'By Lot'!K2120+'By Lot'!K2135+'By Lot'!K2152)</f>
        <v>88</v>
      </c>
      <c r="J78" s="504">
        <f>SUM('By Lot'!L2084+'By Lot'!L2101+'By Lot'!L2102+'By Lot'!L2118+'By Lot'!L2119+'By Lot'!L2120+'By Lot'!L2135+'By Lot'!L2152)</f>
        <v>84</v>
      </c>
      <c r="K78" s="504">
        <f>SUM('By Lot'!M2084+'By Lot'!M2101+'By Lot'!M2102+'By Lot'!M2118+'By Lot'!M2119+'By Lot'!M2120+'By Lot'!M2135+'By Lot'!M2152)</f>
        <v>84</v>
      </c>
      <c r="L78" s="504">
        <f>SUM('By Lot'!N2084+'By Lot'!N2101+'By Lot'!N2102+'By Lot'!N2118+'By Lot'!N2119+'By Lot'!N2120+'By Lot'!N2135+'By Lot'!N2152)</f>
        <v>87</v>
      </c>
      <c r="M78" s="110">
        <f>SUM('By Lot'!O2084+'By Lot'!O2101+'By Lot'!O2102+'By Lot'!O2118+'By Lot'!O2119+'By Lot'!O2120+'By Lot'!O2135+'By Lot'!O2152)</f>
        <v>89</v>
      </c>
      <c r="N78" s="504">
        <f t="shared" ref="N78:N81" si="42">MIN(D78:M78)</f>
        <v>84</v>
      </c>
      <c r="O78" s="504">
        <f t="shared" ref="O78:O81" si="43">C78-N78</f>
        <v>27</v>
      </c>
      <c r="P78" s="107">
        <f t="shared" ref="P78:P81" si="44">O78/C78</f>
        <v>0.24324324324324326</v>
      </c>
      <c r="Q78" s="504"/>
    </row>
    <row r="79" spans="1:17" ht="11.25" customHeight="1">
      <c r="A79" s="13"/>
      <c r="B79" s="109" t="s">
        <v>34</v>
      </c>
      <c r="C79" s="13">
        <f>SUM('By Lot'!E2090,'By Lot'!E2107,'By Lot'!E2124,'By Lot'!E2141,'By Lot'!E2158)</f>
        <v>24</v>
      </c>
      <c r="D79" s="504">
        <f>SUM('By Lot'!F2090+'By Lot'!F2107+'By Lot'!F2124+'By Lot'!F2141+'By Lot'!F2158)</f>
        <v>21</v>
      </c>
      <c r="E79" s="504">
        <f>SUM('By Lot'!G2090+'By Lot'!G2107+'By Lot'!G2124+'By Lot'!G2141+'By Lot'!G2158)</f>
        <v>21</v>
      </c>
      <c r="F79" s="504">
        <f>SUM('By Lot'!H2090+'By Lot'!H2107+'By Lot'!H2124+'By Lot'!H2141+'By Lot'!H2158)</f>
        <v>21</v>
      </c>
      <c r="G79" s="504">
        <f>SUM('By Lot'!I2090+'By Lot'!I2107+'By Lot'!I2124+'By Lot'!I2141+'By Lot'!I2158)</f>
        <v>20</v>
      </c>
      <c r="H79" s="504">
        <f>SUM('By Lot'!J2090+'By Lot'!J2107+'By Lot'!J2124+'By Lot'!J2141+'By Lot'!J2158)</f>
        <v>21</v>
      </c>
      <c r="I79" s="504">
        <f>SUM('By Lot'!K2090+'By Lot'!K2107+'By Lot'!K2124+'By Lot'!K2141+'By Lot'!K2158)</f>
        <v>21</v>
      </c>
      <c r="J79" s="504">
        <f>SUM('By Lot'!L2090+'By Lot'!L2107+'By Lot'!L2124+'By Lot'!L2141+'By Lot'!L2158)</f>
        <v>21</v>
      </c>
      <c r="K79" s="504">
        <f>SUM('By Lot'!M2090+'By Lot'!M2107+'By Lot'!M2124+'By Lot'!M2141+'By Lot'!M2158)</f>
        <v>23</v>
      </c>
      <c r="L79" s="504">
        <f>SUM('By Lot'!N2090+'By Lot'!N2107+'By Lot'!N2124+'By Lot'!N2141+'By Lot'!N2158)</f>
        <v>23</v>
      </c>
      <c r="M79" s="110">
        <f>SUM('By Lot'!O2090+'By Lot'!O2107+'By Lot'!O2124+'By Lot'!O2141+'By Lot'!O2158)</f>
        <v>23</v>
      </c>
      <c r="N79" s="504">
        <f t="shared" si="42"/>
        <v>20</v>
      </c>
      <c r="O79" s="504">
        <f t="shared" si="43"/>
        <v>4</v>
      </c>
      <c r="P79" s="107">
        <f t="shared" si="44"/>
        <v>0.16666666666666666</v>
      </c>
      <c r="Q79" s="504"/>
    </row>
    <row r="80" spans="1:17" ht="11.25" customHeight="1">
      <c r="A80" s="13"/>
      <c r="B80" s="109" t="s">
        <v>35</v>
      </c>
      <c r="C80" s="13">
        <f>SUM('By Lot'!E2091,'By Lot'!E2108,'By Lot'!E2125,'By Lot'!E2142,'By Lot'!E2159)</f>
        <v>14</v>
      </c>
      <c r="D80" s="504">
        <f>SUM('By Lot'!F2091+'By Lot'!F2108+'By Lot'!F2125+'By Lot'!F2142+'By Lot'!F2159)</f>
        <v>9</v>
      </c>
      <c r="E80" s="504">
        <f>SUM('By Lot'!G2091+'By Lot'!G2108+'By Lot'!G2125+'By Lot'!G2142+'By Lot'!G2159)</f>
        <v>9</v>
      </c>
      <c r="F80" s="504">
        <f>SUM('By Lot'!H2091+'By Lot'!H2108+'By Lot'!H2125+'By Lot'!H2142+'By Lot'!H2159)</f>
        <v>9</v>
      </c>
      <c r="G80" s="504">
        <f>SUM('By Lot'!I2091+'By Lot'!I2108+'By Lot'!I2125+'By Lot'!I2142+'By Lot'!I2159)</f>
        <v>9</v>
      </c>
      <c r="H80" s="504">
        <f>SUM('By Lot'!J2091+'By Lot'!J2108+'By Lot'!J2125+'By Lot'!J2142+'By Lot'!J2159)</f>
        <v>9</v>
      </c>
      <c r="I80" s="504">
        <f>SUM('By Lot'!K2091+'By Lot'!K2108+'By Lot'!K2125+'By Lot'!K2142+'By Lot'!K2159)</f>
        <v>9</v>
      </c>
      <c r="J80" s="504">
        <f>SUM('By Lot'!L2091+'By Lot'!L2108+'By Lot'!L2125+'By Lot'!L2142+'By Lot'!L2159)</f>
        <v>9</v>
      </c>
      <c r="K80" s="504">
        <f>SUM('By Lot'!M2091+'By Lot'!M2108+'By Lot'!M2125+'By Lot'!M2142+'By Lot'!M2159)</f>
        <v>10</v>
      </c>
      <c r="L80" s="504">
        <f>SUM('By Lot'!N2091+'By Lot'!N2108+'By Lot'!N2125+'By Lot'!N2142+'By Lot'!N2159)</f>
        <v>9</v>
      </c>
      <c r="M80" s="110">
        <f>SUM('By Lot'!O2091+'By Lot'!O2108+'By Lot'!O2125+'By Lot'!O2142+'By Lot'!O2159)</f>
        <v>9</v>
      </c>
      <c r="N80" s="504">
        <f t="shared" si="42"/>
        <v>9</v>
      </c>
      <c r="O80" s="504">
        <f t="shared" si="43"/>
        <v>5</v>
      </c>
      <c r="P80" s="107">
        <f t="shared" si="44"/>
        <v>0.35714285714285715</v>
      </c>
      <c r="Q80" s="504"/>
    </row>
    <row r="81" spans="1:17" ht="11.25" customHeight="1">
      <c r="A81" s="13"/>
      <c r="B81" s="109" t="s">
        <v>36</v>
      </c>
      <c r="C81" s="13">
        <f>SUM('By Lot'!E2092,'By Lot'!E2109,'By Lot'!E2126,'By Lot'!E2143,'By Lot'!E2160)</f>
        <v>2</v>
      </c>
      <c r="D81" s="504">
        <f>SUM('By Lot'!F2092)</f>
        <v>0</v>
      </c>
      <c r="E81" s="504">
        <f>SUM('By Lot'!G2092)</f>
        <v>0</v>
      </c>
      <c r="F81" s="504">
        <f>SUM('By Lot'!H2092)</f>
        <v>0</v>
      </c>
      <c r="G81" s="504">
        <f>SUM('By Lot'!I2092)</f>
        <v>0</v>
      </c>
      <c r="H81" s="504">
        <f>SUM('By Lot'!J2092)</f>
        <v>0</v>
      </c>
      <c r="I81" s="504">
        <f>SUM('By Lot'!K2092)</f>
        <v>0</v>
      </c>
      <c r="J81" s="504">
        <f>SUM('By Lot'!L2092)</f>
        <v>0</v>
      </c>
      <c r="K81" s="504">
        <f>SUM('By Lot'!M2092)</f>
        <v>0</v>
      </c>
      <c r="L81" s="504">
        <f>SUM('By Lot'!N2092)</f>
        <v>0</v>
      </c>
      <c r="M81" s="110">
        <f>SUM('By Lot'!O2092)</f>
        <v>0</v>
      </c>
      <c r="N81" s="504">
        <f t="shared" si="42"/>
        <v>0</v>
      </c>
      <c r="O81" s="504">
        <f t="shared" si="43"/>
        <v>2</v>
      </c>
      <c r="P81" s="107">
        <f t="shared" si="44"/>
        <v>1</v>
      </c>
      <c r="Q81" s="504"/>
    </row>
    <row r="82" spans="1:17" ht="11.25" customHeight="1">
      <c r="A82" s="13"/>
      <c r="B82" s="109" t="s">
        <v>37</v>
      </c>
      <c r="C82" s="2"/>
      <c r="D82" s="504"/>
      <c r="E82" s="504"/>
      <c r="F82" s="504"/>
      <c r="G82" s="504"/>
      <c r="H82" s="504"/>
      <c r="I82" s="504"/>
      <c r="J82" s="504"/>
      <c r="K82" s="504"/>
      <c r="L82" s="504"/>
      <c r="M82" s="110"/>
      <c r="N82" s="504"/>
      <c r="O82" s="504"/>
      <c r="P82" s="107"/>
      <c r="Q82" s="504"/>
    </row>
    <row r="83" spans="1:17" ht="11.25" customHeight="1">
      <c r="A83" s="63"/>
      <c r="B83" s="64" t="s">
        <v>38</v>
      </c>
      <c r="C83" s="67">
        <f>SUM(C73:C82)</f>
        <v>1308</v>
      </c>
      <c r="D83" s="21">
        <f t="shared" ref="D83:M83" si="45">SUM(D73:D82)</f>
        <v>843</v>
      </c>
      <c r="E83" s="71">
        <f t="shared" si="45"/>
        <v>719</v>
      </c>
      <c r="F83" s="71">
        <f t="shared" si="45"/>
        <v>524</v>
      </c>
      <c r="G83" s="71">
        <f t="shared" si="45"/>
        <v>452</v>
      </c>
      <c r="H83" s="71">
        <f t="shared" si="45"/>
        <v>464</v>
      </c>
      <c r="I83" s="71">
        <f t="shared" si="45"/>
        <v>495</v>
      </c>
      <c r="J83" s="71">
        <f t="shared" si="45"/>
        <v>502</v>
      </c>
      <c r="K83" s="71">
        <f t="shared" si="45"/>
        <v>578</v>
      </c>
      <c r="L83" s="71">
        <f t="shared" si="45"/>
        <v>648</v>
      </c>
      <c r="M83" s="26">
        <f t="shared" si="45"/>
        <v>740</v>
      </c>
      <c r="N83" s="68">
        <f t="shared" ref="N83:N84" si="46">MIN(D83:M83)</f>
        <v>452</v>
      </c>
      <c r="O83" s="68">
        <f t="shared" ref="O83:O84" si="47">C83-N83</f>
        <v>856</v>
      </c>
      <c r="P83" s="66">
        <f t="shared" ref="P83:P84" si="48">O83/C83</f>
        <v>0.65443425076452599</v>
      </c>
      <c r="Q83" s="504"/>
    </row>
    <row r="84" spans="1:17" ht="11.25" customHeight="1">
      <c r="A84" s="13" t="s">
        <v>472</v>
      </c>
      <c r="B84" s="13" t="s">
        <v>23</v>
      </c>
      <c r="C84" s="13">
        <f>SUM('By Lot'!E2249,'By Lot'!E2266)</f>
        <v>371</v>
      </c>
      <c r="D84" s="109">
        <f>SUM('By Lot'!F2249,'By Lot'!F2266)</f>
        <v>200</v>
      </c>
      <c r="E84" s="504">
        <f>SUM('By Lot'!G2249,'By Lot'!G2266)</f>
        <v>133</v>
      </c>
      <c r="F84" s="504">
        <f>SUM('By Lot'!H2249,'By Lot'!H2266)</f>
        <v>75</v>
      </c>
      <c r="G84" s="504">
        <f>SUM('By Lot'!I2249,'By Lot'!I2266)</f>
        <v>42</v>
      </c>
      <c r="H84" s="504">
        <f>SUM('By Lot'!J2249,'By Lot'!J2266)</f>
        <v>29</v>
      </c>
      <c r="I84" s="504">
        <f>SUM('By Lot'!K2249,'By Lot'!K2266)</f>
        <v>28</v>
      </c>
      <c r="J84" s="504">
        <f>SUM('By Lot'!L2249,'By Lot'!L2266)</f>
        <v>39</v>
      </c>
      <c r="K84" s="504">
        <f>SUM('By Lot'!M2249,'By Lot'!M2266)</f>
        <v>58</v>
      </c>
      <c r="L84" s="504">
        <f>SUM('By Lot'!N2249,'By Lot'!N2266)</f>
        <v>120</v>
      </c>
      <c r="M84" s="110">
        <f>SUM('By Lot'!O2249,'By Lot'!O2266)</f>
        <v>187</v>
      </c>
      <c r="N84" s="109">
        <f t="shared" si="46"/>
        <v>28</v>
      </c>
      <c r="O84" s="504">
        <f t="shared" si="47"/>
        <v>343</v>
      </c>
      <c r="P84" s="107">
        <f t="shared" si="48"/>
        <v>0.92452830188679247</v>
      </c>
      <c r="Q84" s="504"/>
    </row>
    <row r="85" spans="1:17" ht="11.25" customHeight="1">
      <c r="A85" s="13" t="s">
        <v>57</v>
      </c>
      <c r="B85" s="13" t="s">
        <v>25</v>
      </c>
      <c r="C85" s="13"/>
      <c r="D85" s="109"/>
      <c r="E85" s="504"/>
      <c r="F85" s="504"/>
      <c r="G85" s="504"/>
      <c r="H85" s="504"/>
      <c r="I85" s="504"/>
      <c r="J85" s="504"/>
      <c r="K85" s="504"/>
      <c r="L85" s="504"/>
      <c r="M85" s="110"/>
      <c r="N85" s="109"/>
      <c r="O85" s="504"/>
      <c r="P85" s="107"/>
      <c r="Q85" s="504"/>
    </row>
    <row r="86" spans="1:17" ht="11.25" customHeight="1">
      <c r="A86" s="13" t="s">
        <v>473</v>
      </c>
      <c r="B86" s="13" t="s">
        <v>27</v>
      </c>
      <c r="C86" s="13"/>
      <c r="D86" s="109"/>
      <c r="E86" s="504"/>
      <c r="F86" s="504"/>
      <c r="G86" s="504"/>
      <c r="H86" s="504"/>
      <c r="I86" s="504"/>
      <c r="J86" s="504"/>
      <c r="K86" s="504"/>
      <c r="L86" s="504"/>
      <c r="M86" s="110"/>
      <c r="N86" s="109"/>
      <c r="O86" s="504"/>
      <c r="P86" s="107"/>
      <c r="Q86" s="504"/>
    </row>
    <row r="87" spans="1:17" ht="11.25" customHeight="1">
      <c r="A87" s="13"/>
      <c r="B87" s="13" t="s">
        <v>31</v>
      </c>
      <c r="C87" s="13"/>
      <c r="D87" s="109"/>
      <c r="E87" s="504"/>
      <c r="F87" s="504"/>
      <c r="G87" s="504"/>
      <c r="H87" s="504"/>
      <c r="I87" s="504"/>
      <c r="J87" s="504"/>
      <c r="K87" s="504"/>
      <c r="L87" s="504"/>
      <c r="M87" s="110"/>
      <c r="N87" s="109"/>
      <c r="O87" s="504"/>
      <c r="P87" s="107"/>
      <c r="Q87" s="504"/>
    </row>
    <row r="88" spans="1:17" ht="11.25" customHeight="1">
      <c r="A88" s="13"/>
      <c r="B88" s="13" t="s">
        <v>32</v>
      </c>
      <c r="C88" s="13">
        <f>SUM('By Lot'!E2254,'By Lot'!E2271)</f>
        <v>40</v>
      </c>
      <c r="D88" s="109">
        <f>SUM('By Lot'!F2254,'By Lot'!F2271)</f>
        <v>30</v>
      </c>
      <c r="E88" s="504">
        <f>SUM('By Lot'!G2254,'By Lot'!G2271)</f>
        <v>25</v>
      </c>
      <c r="F88" s="504">
        <f>SUM('By Lot'!H2254,'By Lot'!H2271)</f>
        <v>24</v>
      </c>
      <c r="G88" s="504">
        <f>SUM('By Lot'!I2254,'By Lot'!I2271)</f>
        <v>24</v>
      </c>
      <c r="H88" s="504">
        <f>SUM('By Lot'!J2254,'By Lot'!J2271)</f>
        <v>24</v>
      </c>
      <c r="I88" s="504">
        <f>SUM('By Lot'!K2254,'By Lot'!K2271)</f>
        <v>26</v>
      </c>
      <c r="J88" s="504">
        <f>SUM('By Lot'!L2254,'By Lot'!L2271)</f>
        <v>24</v>
      </c>
      <c r="K88" s="504">
        <f>SUM('By Lot'!M2254,'By Lot'!M2271)</f>
        <v>25</v>
      </c>
      <c r="L88" s="504">
        <f>SUM('By Lot'!N2254,'By Lot'!N2271)</f>
        <v>27</v>
      </c>
      <c r="M88" s="110">
        <f>SUM('By Lot'!O2254,'By Lot'!O2271)</f>
        <v>31</v>
      </c>
      <c r="N88" s="109">
        <f t="shared" ref="N88:N90" si="49">MIN(D88:M88)</f>
        <v>24</v>
      </c>
      <c r="O88" s="504">
        <f t="shared" ref="O88:O90" si="50">C88-N88</f>
        <v>16</v>
      </c>
      <c r="P88" s="107">
        <f t="shared" ref="P88:P90" si="51">O88/C88</f>
        <v>0.4</v>
      </c>
      <c r="Q88" s="504"/>
    </row>
    <row r="89" spans="1:17" ht="11.25" customHeight="1">
      <c r="A89" s="13"/>
      <c r="B89" s="13" t="s">
        <v>33</v>
      </c>
      <c r="C89" s="13">
        <f>SUM('By Lot'!E2255:E2260,'By Lot'!E2272:E2277)</f>
        <v>3</v>
      </c>
      <c r="D89" s="109">
        <f>SUM('By Lot'!F2255:F2260,'By Lot'!F2272:F2277)</f>
        <v>3</v>
      </c>
      <c r="E89" s="504">
        <f>SUM('By Lot'!G2255:G2260,'By Lot'!G2272:G2277)</f>
        <v>3</v>
      </c>
      <c r="F89" s="504">
        <f>SUM('By Lot'!H2255:H2260,'By Lot'!H2272:H2277)</f>
        <v>3</v>
      </c>
      <c r="G89" s="504">
        <f>SUM('By Lot'!I2255:I2260,'By Lot'!I2272:I2277)</f>
        <v>2</v>
      </c>
      <c r="H89" s="504">
        <f>SUM('By Lot'!J2255:J2260,'By Lot'!J2272:J2277)</f>
        <v>2</v>
      </c>
      <c r="I89" s="504">
        <f>SUM('By Lot'!K2255:K2260,'By Lot'!K2272:K2277)</f>
        <v>2</v>
      </c>
      <c r="J89" s="504">
        <f>SUM('By Lot'!L2255:L2260,'By Lot'!L2272:L2277)</f>
        <v>2</v>
      </c>
      <c r="K89" s="504">
        <f>SUM('By Lot'!M2255:M2260,'By Lot'!M2272:M2277)</f>
        <v>2</v>
      </c>
      <c r="L89" s="504">
        <f>SUM('By Lot'!N2255:N2260,'By Lot'!N2272:N2277)</f>
        <v>3</v>
      </c>
      <c r="M89" s="110">
        <f>SUM('By Lot'!O2255:O2260,'By Lot'!O2272:O2277)</f>
        <v>3</v>
      </c>
      <c r="N89" s="109">
        <f t="shared" si="49"/>
        <v>2</v>
      </c>
      <c r="O89" s="504">
        <f t="shared" si="50"/>
        <v>1</v>
      </c>
      <c r="P89" s="107">
        <f t="shared" si="51"/>
        <v>0.33333333333333331</v>
      </c>
      <c r="Q89" s="504"/>
    </row>
    <row r="90" spans="1:17" ht="11.25" customHeight="1">
      <c r="A90" s="13"/>
      <c r="B90" s="13" t="s">
        <v>34</v>
      </c>
      <c r="C90" s="13">
        <f>SUM('By Lot'!E2261,'By Lot'!E2278)</f>
        <v>12</v>
      </c>
      <c r="D90" s="109">
        <f>SUM('By Lot'!F2261,'By Lot'!F2278)</f>
        <v>12</v>
      </c>
      <c r="E90" s="504">
        <f>SUM('By Lot'!G2261,'By Lot'!G2278)</f>
        <v>10</v>
      </c>
      <c r="F90" s="504">
        <f>SUM('By Lot'!H2261,'By Lot'!H2278)</f>
        <v>9</v>
      </c>
      <c r="G90" s="504">
        <f>SUM('By Lot'!I2261,'By Lot'!I2278)</f>
        <v>9</v>
      </c>
      <c r="H90" s="504">
        <f>SUM('By Lot'!J2261,'By Lot'!J2278)</f>
        <v>9</v>
      </c>
      <c r="I90" s="504">
        <f>SUM('By Lot'!K2261,'By Lot'!K2278)</f>
        <v>9</v>
      </c>
      <c r="J90" s="504">
        <f>SUM('By Lot'!L2261,'By Lot'!L2278)</f>
        <v>10</v>
      </c>
      <c r="K90" s="504">
        <f>SUM('By Lot'!M2261,'By Lot'!M2278)</f>
        <v>10</v>
      </c>
      <c r="L90" s="504">
        <f>SUM('By Lot'!N2261,'By Lot'!N2278)</f>
        <v>10</v>
      </c>
      <c r="M90" s="110">
        <f>SUM('By Lot'!O2261,'By Lot'!O2278)</f>
        <v>11</v>
      </c>
      <c r="N90" s="109">
        <f t="shared" si="49"/>
        <v>9</v>
      </c>
      <c r="O90" s="504">
        <f t="shared" si="50"/>
        <v>3</v>
      </c>
      <c r="P90" s="107">
        <f t="shared" si="51"/>
        <v>0.25</v>
      </c>
      <c r="Q90" s="504"/>
    </row>
    <row r="91" spans="1:17" ht="11.25" customHeight="1">
      <c r="A91" s="13"/>
      <c r="B91" s="13" t="s">
        <v>35</v>
      </c>
      <c r="C91" s="13"/>
      <c r="D91" s="109"/>
      <c r="E91" s="504"/>
      <c r="F91" s="504"/>
      <c r="G91" s="504"/>
      <c r="H91" s="504"/>
      <c r="I91" s="504"/>
      <c r="J91" s="504"/>
      <c r="K91" s="504"/>
      <c r="L91" s="504"/>
      <c r="M91" s="110"/>
      <c r="N91" s="109"/>
      <c r="O91" s="504"/>
      <c r="P91" s="107"/>
      <c r="Q91" s="504"/>
    </row>
    <row r="92" spans="1:17" ht="11.25" customHeight="1">
      <c r="A92" s="13"/>
      <c r="B92" s="13" t="s">
        <v>36</v>
      </c>
      <c r="C92" s="13"/>
      <c r="D92" s="109"/>
      <c r="E92" s="504"/>
      <c r="F92" s="504"/>
      <c r="G92" s="504"/>
      <c r="H92" s="504"/>
      <c r="I92" s="504"/>
      <c r="J92" s="504"/>
      <c r="K92" s="504"/>
      <c r="L92" s="504"/>
      <c r="M92" s="110"/>
      <c r="N92" s="109"/>
      <c r="O92" s="504"/>
      <c r="P92" s="107"/>
      <c r="Q92" s="504"/>
    </row>
    <row r="93" spans="1:17" ht="11.25" customHeight="1">
      <c r="A93" s="13"/>
      <c r="B93" s="13" t="s">
        <v>37</v>
      </c>
      <c r="C93" s="13"/>
      <c r="D93" s="109"/>
      <c r="E93" s="504"/>
      <c r="F93" s="504"/>
      <c r="G93" s="504"/>
      <c r="H93" s="504"/>
      <c r="I93" s="504"/>
      <c r="J93" s="504"/>
      <c r="K93" s="504"/>
      <c r="L93" s="504"/>
      <c r="M93" s="110"/>
      <c r="N93" s="109"/>
      <c r="O93" s="504"/>
      <c r="P93" s="107"/>
      <c r="Q93" s="504"/>
    </row>
    <row r="94" spans="1:17" ht="11.25" customHeight="1">
      <c r="A94" s="2"/>
      <c r="B94" s="3" t="s">
        <v>38</v>
      </c>
      <c r="C94" s="3">
        <f t="shared" ref="C94:M94" si="52">SUM(C84:C93)</f>
        <v>426</v>
      </c>
      <c r="D94" s="21">
        <f t="shared" si="52"/>
        <v>245</v>
      </c>
      <c r="E94" s="71">
        <f t="shared" si="52"/>
        <v>171</v>
      </c>
      <c r="F94" s="71">
        <f t="shared" si="52"/>
        <v>111</v>
      </c>
      <c r="G94" s="71">
        <f t="shared" si="52"/>
        <v>77</v>
      </c>
      <c r="H94" s="71">
        <f t="shared" si="52"/>
        <v>64</v>
      </c>
      <c r="I94" s="71">
        <f t="shared" si="52"/>
        <v>65</v>
      </c>
      <c r="J94" s="71">
        <f t="shared" si="52"/>
        <v>75</v>
      </c>
      <c r="K94" s="71">
        <f t="shared" si="52"/>
        <v>95</v>
      </c>
      <c r="L94" s="71">
        <f t="shared" si="52"/>
        <v>160</v>
      </c>
      <c r="M94" s="26">
        <f t="shared" si="52"/>
        <v>232</v>
      </c>
      <c r="N94" s="21">
        <f t="shared" ref="N94:N95" si="53">MIN(D94:M94)</f>
        <v>64</v>
      </c>
      <c r="O94" s="71">
        <f t="shared" ref="O94:O95" si="54">C94-N94</f>
        <v>362</v>
      </c>
      <c r="P94" s="7">
        <f t="shared" ref="P94:P95" si="55">O94/C94</f>
        <v>0.84976525821596249</v>
      </c>
      <c r="Q94" s="504"/>
    </row>
    <row r="95" spans="1:17" ht="11.25" customHeight="1">
      <c r="A95" s="43" t="s">
        <v>472</v>
      </c>
      <c r="B95" s="13" t="s">
        <v>23</v>
      </c>
      <c r="C95" s="13">
        <f>SUM('By Lot'!E2300,'By Lot'!E2317,'By Lot'!E2334,'By Lot'!E2351,'By Lot'!E2368)</f>
        <v>7</v>
      </c>
      <c r="D95" s="109">
        <f>SUM('By Lot'!F2300,'By Lot'!F2317,'By Lot'!F2334,'By Lot'!F2351,'By Lot'!F2368)</f>
        <v>5</v>
      </c>
      <c r="E95" s="504">
        <f>SUM('By Lot'!G2300,'By Lot'!G2317,'By Lot'!G2334,'By Lot'!G2351,'By Lot'!G2368)</f>
        <v>4</v>
      </c>
      <c r="F95" s="504">
        <f>SUM('By Lot'!H2300,'By Lot'!H2317,'By Lot'!H2334,'By Lot'!H2351,'By Lot'!H2368)</f>
        <v>2</v>
      </c>
      <c r="G95" s="504">
        <f>SUM('By Lot'!I2300,'By Lot'!I2317,'By Lot'!I2334,'By Lot'!I2351,'By Lot'!I2368)</f>
        <v>2</v>
      </c>
      <c r="H95" s="504">
        <f>SUM('By Lot'!J2300,'By Lot'!J2317,'By Lot'!J2334,'By Lot'!J2351,'By Lot'!J2368)</f>
        <v>1</v>
      </c>
      <c r="I95" s="504">
        <f>SUM('By Lot'!K2300,'By Lot'!K2317,'By Lot'!K2334,'By Lot'!K2351,'By Lot'!K2368)</f>
        <v>0</v>
      </c>
      <c r="J95" s="504">
        <f>SUM('By Lot'!L2300,'By Lot'!L2317,'By Lot'!L2334,'By Lot'!L2351,'By Lot'!L2368)</f>
        <v>1</v>
      </c>
      <c r="K95" s="504">
        <f>SUM('By Lot'!M2300,'By Lot'!M2317,'By Lot'!M2334,'By Lot'!M2351,'By Lot'!M2368)</f>
        <v>1</v>
      </c>
      <c r="L95" s="504">
        <f>SUM('By Lot'!N2300,'By Lot'!N2317,'By Lot'!N2334,'By Lot'!N2351,'By Lot'!N2368)</f>
        <v>1</v>
      </c>
      <c r="M95" s="110">
        <f>SUM('By Lot'!O2300,'By Lot'!O2317,'By Lot'!O2334,'By Lot'!O2351,'By Lot'!O2368)</f>
        <v>2</v>
      </c>
      <c r="N95" s="109">
        <f t="shared" si="53"/>
        <v>0</v>
      </c>
      <c r="O95" s="504">
        <f t="shared" si="54"/>
        <v>7</v>
      </c>
      <c r="P95" s="107">
        <f t="shared" si="55"/>
        <v>1</v>
      </c>
      <c r="Q95" s="504"/>
    </row>
    <row r="96" spans="1:17" ht="11.25" customHeight="1">
      <c r="A96" s="13" t="s">
        <v>52</v>
      </c>
      <c r="B96" s="13" t="s">
        <v>25</v>
      </c>
      <c r="C96" s="13"/>
      <c r="D96" s="109"/>
      <c r="E96" s="504"/>
      <c r="F96" s="504"/>
      <c r="G96" s="504"/>
      <c r="H96" s="504"/>
      <c r="I96" s="504"/>
      <c r="J96" s="504"/>
      <c r="K96" s="504"/>
      <c r="L96" s="504"/>
      <c r="M96" s="110"/>
      <c r="N96" s="109"/>
      <c r="O96" s="504"/>
      <c r="P96" s="107"/>
      <c r="Q96" s="504"/>
    </row>
    <row r="97" spans="1:17" ht="11.25" customHeight="1">
      <c r="A97" s="13" t="s">
        <v>474</v>
      </c>
      <c r="B97" s="13" t="s">
        <v>27</v>
      </c>
      <c r="C97" s="13"/>
      <c r="D97" s="109"/>
      <c r="E97" s="504"/>
      <c r="F97" s="504"/>
      <c r="G97" s="504"/>
      <c r="H97" s="504"/>
      <c r="I97" s="504"/>
      <c r="J97" s="504"/>
      <c r="K97" s="504"/>
      <c r="L97" s="504"/>
      <c r="M97" s="110"/>
      <c r="N97" s="109"/>
      <c r="O97" s="504"/>
      <c r="P97" s="107"/>
      <c r="Q97" s="504"/>
    </row>
    <row r="98" spans="1:17" ht="11.25" customHeight="1">
      <c r="A98" s="13"/>
      <c r="B98" s="13" t="s">
        <v>31</v>
      </c>
      <c r="C98" s="13">
        <f>SUM(CPWV1,CPWV2,CPWV3,'By Lot'!E2354:E2355,'By Lot'!E2371:E2372)</f>
        <v>614</v>
      </c>
      <c r="D98" s="109">
        <f>SUM('By Lot'!F2303:F2304,'By Lot'!F2320:F2321,'By Lot'!F2337:F2338,'By Lot'!F2354:F2355,'By Lot'!F2371:F2372)</f>
        <v>241</v>
      </c>
      <c r="E98" s="504">
        <f>SUM('By Lot'!G2303:G2304,'By Lot'!G2320:G2321,'By Lot'!G2337:G2338,'By Lot'!G2354:G2355,'By Lot'!G2371:G2372)</f>
        <v>199</v>
      </c>
      <c r="F98" s="504">
        <f>SUM('By Lot'!H2303:H2304,'By Lot'!H2320:H2321,'By Lot'!H2337:H2338,'By Lot'!H2354:H2355,'By Lot'!H2371:H2372)</f>
        <v>174</v>
      </c>
      <c r="G98" s="504">
        <f>SUM('By Lot'!I2303:I2304,'By Lot'!I2320:I2321,'By Lot'!I2337:I2338,'By Lot'!I2354:I2355,'By Lot'!I2371:I2372)</f>
        <v>173</v>
      </c>
      <c r="H98" s="504">
        <f>SUM('By Lot'!J2303:J2304,'By Lot'!J2320:J2321,'By Lot'!J2337:J2338,'By Lot'!J2354:J2355,'By Lot'!J2371:J2372)</f>
        <v>162</v>
      </c>
      <c r="I98" s="504">
        <f>SUM('By Lot'!K2303:K2304,'By Lot'!K2320:K2321,'By Lot'!K2337:K2338,'By Lot'!K2354:K2355,'By Lot'!K2371:K2372)</f>
        <v>158</v>
      </c>
      <c r="J98" s="504">
        <f>SUM('By Lot'!L2303:L2304,'By Lot'!L2320:L2321,'By Lot'!L2337:L2338,'By Lot'!L2354:L2355,'By Lot'!L2371:L2372)</f>
        <v>170</v>
      </c>
      <c r="K98" s="504">
        <f>SUM('By Lot'!M2303:M2304,'By Lot'!M2320:M2321,'By Lot'!M2337:M2338,'By Lot'!M2354:M2355,'By Lot'!M2371:M2372)</f>
        <v>174</v>
      </c>
      <c r="L98" s="504">
        <f>SUM('By Lot'!N2303:N2304,'By Lot'!N2320:N2321,'By Lot'!N2337:N2338,'By Lot'!N2354:N2355,'By Lot'!N2371:N2372)</f>
        <v>224</v>
      </c>
      <c r="M98" s="110">
        <f>SUM('By Lot'!O2303:O2304,'By Lot'!O2320:O2321,'By Lot'!O2337:O2338,'By Lot'!O2354:O2355,'By Lot'!O2371:O2372)</f>
        <v>302</v>
      </c>
      <c r="N98" s="109">
        <f t="shared" ref="N98:N101" si="56">MIN(D98:M98)</f>
        <v>158</v>
      </c>
      <c r="O98" s="504">
        <f t="shared" ref="O98:O101" si="57">C98-N98</f>
        <v>456</v>
      </c>
      <c r="P98" s="107">
        <f t="shared" ref="P98:P101" si="58">O98/C98</f>
        <v>0.74267100977198697</v>
      </c>
      <c r="Q98" s="504"/>
    </row>
    <row r="99" spans="1:17" ht="11.25" customHeight="1">
      <c r="A99" s="13"/>
      <c r="B99" s="13" t="s">
        <v>32</v>
      </c>
      <c r="C99" s="13">
        <f>SUM('By Lot'!E2305,'By Lot'!E2322,'By Lot'!E2339,'By Lot'!E2356,'By Lot'!E2373)</f>
        <v>15</v>
      </c>
      <c r="D99" s="109">
        <f>SUM('By Lot'!F2305,'By Lot'!F2322,'By Lot'!F2339,'By Lot'!F2356,'By Lot'!F2373)</f>
        <v>15</v>
      </c>
      <c r="E99" s="504">
        <f>SUM('By Lot'!G2305,'By Lot'!G2322,'By Lot'!G2339,'By Lot'!G2356,'By Lot'!G2373)</f>
        <v>14</v>
      </c>
      <c r="F99" s="504">
        <f>SUM('By Lot'!H2305,'By Lot'!H2322,'By Lot'!H2339,'By Lot'!H2356,'By Lot'!H2373)</f>
        <v>14</v>
      </c>
      <c r="G99" s="504">
        <f>SUM('By Lot'!I2305,'By Lot'!I2322,'By Lot'!I2339,'By Lot'!I2356,'By Lot'!I2373)</f>
        <v>14</v>
      </c>
      <c r="H99" s="504">
        <f>SUM('By Lot'!J2305,'By Lot'!J2322,'By Lot'!J2339,'By Lot'!J2356,'By Lot'!J2373)</f>
        <v>13</v>
      </c>
      <c r="I99" s="504">
        <f>SUM('By Lot'!K2305,'By Lot'!K2322,'By Lot'!K2339,'By Lot'!K2356,'By Lot'!K2373)</f>
        <v>13</v>
      </c>
      <c r="J99" s="504">
        <f>SUM('By Lot'!L2305,'By Lot'!L2322,'By Lot'!L2339,'By Lot'!L2356,'By Lot'!L2373)</f>
        <v>12</v>
      </c>
      <c r="K99" s="504">
        <f>SUM('By Lot'!M2305,'By Lot'!M2322,'By Lot'!M2339,'By Lot'!M2356,'By Lot'!M2373)</f>
        <v>13</v>
      </c>
      <c r="L99" s="504">
        <f>SUM('By Lot'!N2305,'By Lot'!N2322,'By Lot'!N2339,'By Lot'!N2356,'By Lot'!N2373)</f>
        <v>13</v>
      </c>
      <c r="M99" s="110">
        <f>SUM('By Lot'!O2305,'By Lot'!O2322,'By Lot'!O2339,'By Lot'!O2356,'By Lot'!O2373)</f>
        <v>14</v>
      </c>
      <c r="N99" s="109">
        <f t="shared" si="56"/>
        <v>12</v>
      </c>
      <c r="O99" s="504">
        <f t="shared" si="57"/>
        <v>3</v>
      </c>
      <c r="P99" s="107">
        <f t="shared" si="58"/>
        <v>0.2</v>
      </c>
      <c r="Q99" s="504"/>
    </row>
    <row r="100" spans="1:17" ht="11.25" customHeight="1">
      <c r="A100" s="13"/>
      <c r="B100" s="13" t="s">
        <v>33</v>
      </c>
      <c r="C100" s="13">
        <f>SUM('By Lot'!E2306:E2311,'By Lot'!E2323:E2328,'By Lot'!E2340:E2345,'By Lot'!E2357:E2362,'By Lot'!E2374:E2379)</f>
        <v>19</v>
      </c>
      <c r="D100" s="109">
        <f>SUM('By Lot'!F2306:F2311,'By Lot'!F2323:F2328,'By Lot'!F2340:F2345,'By Lot'!F2357:F2362,'By Lot'!F2374:F2379)</f>
        <v>2</v>
      </c>
      <c r="E100" s="504">
        <f>SUM('By Lot'!G2306:G2311,'By Lot'!G2323:G2328,'By Lot'!G2340:G2345,'By Lot'!G2357:G2362,'By Lot'!G2374:G2379)</f>
        <v>7</v>
      </c>
      <c r="F100" s="504">
        <f>SUM('By Lot'!H2306:H2311,'By Lot'!H2323:H2328,'By Lot'!H2340:H2345,'By Lot'!H2357:H2362,'By Lot'!H2374:H2379)</f>
        <v>7</v>
      </c>
      <c r="G100" s="504">
        <f>SUM('By Lot'!I2306:I2311,'By Lot'!I2323:I2328,'By Lot'!I2340:I2345,'By Lot'!I2357:I2362,'By Lot'!I2374:I2379)</f>
        <v>7</v>
      </c>
      <c r="H100" s="504">
        <f>SUM('By Lot'!J2306:J2311,'By Lot'!J2323:J2328,'By Lot'!J2340:J2345,'By Lot'!J2357:J2362,'By Lot'!J2374:J2379)</f>
        <v>7</v>
      </c>
      <c r="I100" s="504">
        <f>SUM('By Lot'!K2306:K2311,'By Lot'!K2323:K2328,'By Lot'!K2340:K2345,'By Lot'!K2357:K2362,'By Lot'!K2374:K2379)</f>
        <v>7</v>
      </c>
      <c r="J100" s="504">
        <f>SUM('By Lot'!L2306:L2311,'By Lot'!L2323:L2328,'By Lot'!L2340:L2345,'By Lot'!L2357:L2362,'By Lot'!L2374:L2379)</f>
        <v>5</v>
      </c>
      <c r="K100" s="504">
        <f>SUM('By Lot'!M2306:M2311,'By Lot'!M2323:M2328,'By Lot'!M2340:M2345,'By Lot'!M2357:M2362,'By Lot'!M2374:M2379)</f>
        <v>6</v>
      </c>
      <c r="L100" s="504">
        <f>SUM('By Lot'!N2306:N2311,'By Lot'!N2323:N2328,'By Lot'!N2340:N2345,'By Lot'!N2357:N2362,'By Lot'!N2374:N2379)</f>
        <v>6</v>
      </c>
      <c r="M100" s="110">
        <f>SUM('By Lot'!O2306:O2311,'By Lot'!O2323:O2328,'By Lot'!O2340:O2345,'By Lot'!O2357:O2362,'By Lot'!O2374:O2379)</f>
        <v>8</v>
      </c>
      <c r="N100" s="109">
        <f t="shared" si="56"/>
        <v>2</v>
      </c>
      <c r="O100" s="504">
        <f t="shared" si="57"/>
        <v>17</v>
      </c>
      <c r="P100" s="107">
        <f t="shared" si="58"/>
        <v>0.89473684210526316</v>
      </c>
      <c r="Q100" s="504"/>
    </row>
    <row r="101" spans="1:17" ht="11.25" customHeight="1">
      <c r="A101" s="13"/>
      <c r="B101" s="13" t="s">
        <v>34</v>
      </c>
      <c r="C101" s="13">
        <f>SUM('By Lot'!E2312,'By Lot'!E2329,'By Lot'!E2346,'By Lot'!E2363,'By Lot'!E2380)</f>
        <v>104</v>
      </c>
      <c r="D101" s="109">
        <f>SUM('By Lot'!F2312,'By Lot'!F2329,'By Lot'!F2346,'By Lot'!F2363,'By Lot'!F2380)</f>
        <v>35</v>
      </c>
      <c r="E101" s="504">
        <f>SUM('By Lot'!G2312,'By Lot'!G2329,'By Lot'!G2346,'By Lot'!G2363,'By Lot'!G2380)</f>
        <v>29</v>
      </c>
      <c r="F101" s="504">
        <f>SUM('By Lot'!H2312,'By Lot'!H2329,'By Lot'!H2346,'By Lot'!H2363,'By Lot'!H2380)</f>
        <v>12</v>
      </c>
      <c r="G101" s="504">
        <f>SUM('By Lot'!I2312,'By Lot'!I2329,'By Lot'!I2346,'By Lot'!I2363,'By Lot'!I2380)</f>
        <v>12</v>
      </c>
      <c r="H101" s="504">
        <f>SUM('By Lot'!J2312,'By Lot'!J2329,'By Lot'!J2346,'By Lot'!J2363,'By Lot'!J2380)</f>
        <v>12</v>
      </c>
      <c r="I101" s="504">
        <f>SUM('By Lot'!K2312,'By Lot'!K2329,'By Lot'!K2346,'By Lot'!K2363,'By Lot'!K2380)</f>
        <v>13</v>
      </c>
      <c r="J101" s="504">
        <f>SUM('By Lot'!L2312,'By Lot'!L2329,'By Lot'!L2346,'By Lot'!L2363,'By Lot'!L2380)</f>
        <v>20</v>
      </c>
      <c r="K101" s="504">
        <f>SUM('By Lot'!M2312,'By Lot'!M2329,'By Lot'!M2346,'By Lot'!M2363,'By Lot'!M2380)</f>
        <v>22</v>
      </c>
      <c r="L101" s="504">
        <f>SUM('By Lot'!N2312,'By Lot'!N2329,'By Lot'!N2346,'By Lot'!N2363,'By Lot'!N2380)</f>
        <v>29</v>
      </c>
      <c r="M101" s="110">
        <f>SUM('By Lot'!O2312,'By Lot'!O2329,'By Lot'!O2346,'By Lot'!O2363,'By Lot'!O2380)</f>
        <v>57</v>
      </c>
      <c r="N101" s="109">
        <f t="shared" si="56"/>
        <v>12</v>
      </c>
      <c r="O101" s="504">
        <f t="shared" si="57"/>
        <v>92</v>
      </c>
      <c r="P101" s="107">
        <f t="shared" si="58"/>
        <v>0.88461538461538458</v>
      </c>
      <c r="Q101" s="504"/>
    </row>
    <row r="102" spans="1:17" ht="11.25" customHeight="1">
      <c r="A102" s="13"/>
      <c r="B102" s="13" t="s">
        <v>35</v>
      </c>
      <c r="C102" s="13"/>
      <c r="D102" s="109"/>
      <c r="E102" s="504"/>
      <c r="F102" s="504"/>
      <c r="G102" s="504"/>
      <c r="H102" s="504"/>
      <c r="I102" s="504"/>
      <c r="J102" s="504"/>
      <c r="K102" s="504"/>
      <c r="L102" s="504"/>
      <c r="M102" s="110"/>
      <c r="N102" s="109"/>
      <c r="O102" s="504"/>
      <c r="P102" s="107"/>
      <c r="Q102" s="504"/>
    </row>
    <row r="103" spans="1:17" ht="11.25" customHeight="1">
      <c r="A103" s="13"/>
      <c r="B103" s="13" t="s">
        <v>36</v>
      </c>
      <c r="C103" s="13"/>
      <c r="D103" s="109"/>
      <c r="E103" s="504"/>
      <c r="F103" s="504"/>
      <c r="G103" s="504"/>
      <c r="H103" s="504"/>
      <c r="I103" s="504"/>
      <c r="J103" s="504"/>
      <c r="K103" s="504"/>
      <c r="L103" s="504"/>
      <c r="M103" s="110"/>
      <c r="N103" s="109"/>
      <c r="O103" s="504"/>
      <c r="P103" s="107"/>
      <c r="Q103" s="504"/>
    </row>
    <row r="104" spans="1:17" ht="11.25" customHeight="1">
      <c r="A104" s="13"/>
      <c r="B104" s="13" t="s">
        <v>37</v>
      </c>
      <c r="C104" s="13"/>
      <c r="D104" s="109"/>
      <c r="E104" s="504"/>
      <c r="F104" s="504"/>
      <c r="G104" s="504"/>
      <c r="H104" s="504"/>
      <c r="I104" s="504"/>
      <c r="J104" s="504"/>
      <c r="K104" s="504"/>
      <c r="L104" s="504"/>
      <c r="M104" s="110"/>
      <c r="N104" s="109"/>
      <c r="O104" s="504"/>
      <c r="P104" s="107"/>
      <c r="Q104" s="504"/>
    </row>
    <row r="105" spans="1:17" ht="11.25" customHeight="1">
      <c r="A105" s="2"/>
      <c r="B105" s="3" t="s">
        <v>38</v>
      </c>
      <c r="C105" s="3">
        <f t="shared" ref="C105:M105" si="59">SUM(C95:C104)</f>
        <v>759</v>
      </c>
      <c r="D105" s="18">
        <f t="shared" si="59"/>
        <v>298</v>
      </c>
      <c r="E105" s="19">
        <f t="shared" si="59"/>
        <v>253</v>
      </c>
      <c r="F105" s="19">
        <f t="shared" si="59"/>
        <v>209</v>
      </c>
      <c r="G105" s="19">
        <f t="shared" si="59"/>
        <v>208</v>
      </c>
      <c r="H105" s="19">
        <f t="shared" si="59"/>
        <v>195</v>
      </c>
      <c r="I105" s="19">
        <f t="shared" si="59"/>
        <v>191</v>
      </c>
      <c r="J105" s="19">
        <f t="shared" si="59"/>
        <v>208</v>
      </c>
      <c r="K105" s="19">
        <f t="shared" si="59"/>
        <v>216</v>
      </c>
      <c r="L105" s="19">
        <f t="shared" si="59"/>
        <v>273</v>
      </c>
      <c r="M105" s="20">
        <f t="shared" si="59"/>
        <v>383</v>
      </c>
      <c r="N105" s="21">
        <f t="shared" ref="N105:N107" si="60">MIN(D105:M105)</f>
        <v>191</v>
      </c>
      <c r="O105" s="71">
        <f t="shared" ref="O105:O107" si="61">C105-N105</f>
        <v>568</v>
      </c>
      <c r="P105" s="7">
        <f t="shared" ref="P105:P107" si="62">O105/C105</f>
        <v>0.74835309617918311</v>
      </c>
      <c r="Q105" s="504"/>
    </row>
    <row r="106" spans="1:17" ht="11.25" customHeight="1">
      <c r="A106" s="13" t="s">
        <v>475</v>
      </c>
      <c r="B106" s="13" t="s">
        <v>23</v>
      </c>
      <c r="C106" s="109">
        <f>SUM('By Lot'!E2385+'By Lot'!E2402+'By Lot'!E2419+'By Lot'!E2436)</f>
        <v>195</v>
      </c>
      <c r="D106" s="116">
        <f>SUM('By Lot'!F2385+'By Lot'!F2402+'By Lot'!F2419+'By Lot'!F2436)</f>
        <v>147</v>
      </c>
      <c r="E106" s="128">
        <f>SUM('By Lot'!G2385+'By Lot'!G2402+'By Lot'!G2419+'By Lot'!G2436)</f>
        <v>112</v>
      </c>
      <c r="F106" s="128">
        <f>SUM('By Lot'!H2385+'By Lot'!H2402+'By Lot'!H2419+'By Lot'!H2436)</f>
        <v>98</v>
      </c>
      <c r="G106" s="128">
        <f>SUM('By Lot'!I2385+'By Lot'!I2402+'By Lot'!I2419+'By Lot'!I2436)</f>
        <v>90</v>
      </c>
      <c r="H106" s="128">
        <f>SUM('By Lot'!J2385+'By Lot'!J2402+'By Lot'!J2419+'By Lot'!J2436)</f>
        <v>82</v>
      </c>
      <c r="I106" s="128">
        <f>SUM('By Lot'!K2385+'By Lot'!K2402+'By Lot'!K2419+'By Lot'!K2436)</f>
        <v>87</v>
      </c>
      <c r="J106" s="128">
        <f>SUM('By Lot'!L2385+'By Lot'!L2402+'By Lot'!L2419+'By Lot'!L2436)</f>
        <v>94</v>
      </c>
      <c r="K106" s="128">
        <f>SUM('By Lot'!M2385+'By Lot'!M2402+'By Lot'!M2419+'By Lot'!M2436)</f>
        <v>101</v>
      </c>
      <c r="L106" s="128">
        <f>SUM('By Lot'!N2385+'By Lot'!N2402+'By Lot'!N2419+'By Lot'!N2436)</f>
        <v>114</v>
      </c>
      <c r="M106" s="129">
        <f>SUM('By Lot'!O2385+'By Lot'!O2402+'By Lot'!O2419+'By Lot'!O2436)</f>
        <v>143</v>
      </c>
      <c r="N106" s="504">
        <f t="shared" si="60"/>
        <v>82</v>
      </c>
      <c r="O106" s="504">
        <f t="shared" si="61"/>
        <v>113</v>
      </c>
      <c r="P106" s="107">
        <f t="shared" si="62"/>
        <v>0.57948717948717954</v>
      </c>
      <c r="Q106" s="504"/>
    </row>
    <row r="107" spans="1:17" ht="11.25" customHeight="1">
      <c r="A107" s="13" t="s">
        <v>476</v>
      </c>
      <c r="B107" s="13" t="s">
        <v>25</v>
      </c>
      <c r="C107" s="109">
        <f>SUM('By Lot'!E2488+'By Lot'!E2471+'By Lot'!E2454+'By Lot'!E2437+'By Lot'!E2420)</f>
        <v>654</v>
      </c>
      <c r="D107" s="109">
        <f>SUM('By Lot'!F2488+'By Lot'!F2471+'By Lot'!F2454+'By Lot'!F2437+'By Lot'!F2420)</f>
        <v>382</v>
      </c>
      <c r="E107" s="504">
        <f>SUM('By Lot'!G2488+'By Lot'!G2471+'By Lot'!G2454+'By Lot'!G2437+'By Lot'!G2420)</f>
        <v>303</v>
      </c>
      <c r="F107" s="504">
        <f>SUM('By Lot'!H2488+'By Lot'!H2471+'By Lot'!H2454+'By Lot'!H2437+'By Lot'!H2420)</f>
        <v>263</v>
      </c>
      <c r="G107" s="504">
        <f>SUM('By Lot'!I2488+'By Lot'!I2471+'By Lot'!I2454+'By Lot'!I2437+'By Lot'!I2420)</f>
        <v>258</v>
      </c>
      <c r="H107" s="504">
        <f>SUM('By Lot'!J2488+'By Lot'!J2471+'By Lot'!J2454+'By Lot'!J2437+'By Lot'!J2420)</f>
        <v>243</v>
      </c>
      <c r="I107" s="504">
        <f>SUM('By Lot'!K2488+'By Lot'!K2471+'By Lot'!K2454+'By Lot'!K2437+'By Lot'!K2420)</f>
        <v>238</v>
      </c>
      <c r="J107" s="504">
        <f>SUM('By Lot'!L2488+'By Lot'!L2471+'By Lot'!L2454+'By Lot'!L2437+'By Lot'!L2420)</f>
        <v>246</v>
      </c>
      <c r="K107" s="504">
        <f>SUM('By Lot'!M2488+'By Lot'!M2471+'By Lot'!M2454+'By Lot'!M2437+'By Lot'!M2420)</f>
        <v>266</v>
      </c>
      <c r="L107" s="504">
        <f>SUM('By Lot'!N2488+'By Lot'!N2471+'By Lot'!N2454+'By Lot'!N2437+'By Lot'!N2420)</f>
        <v>369</v>
      </c>
      <c r="M107" s="110">
        <f>SUM('By Lot'!O2488+'By Lot'!O2471+'By Lot'!O2454+'By Lot'!O2437+'By Lot'!O2420)</f>
        <v>438</v>
      </c>
      <c r="N107" s="504">
        <f t="shared" si="60"/>
        <v>238</v>
      </c>
      <c r="O107" s="504">
        <f t="shared" si="61"/>
        <v>416</v>
      </c>
      <c r="P107" s="107">
        <f t="shared" si="62"/>
        <v>0.63608562691131498</v>
      </c>
      <c r="Q107" s="504"/>
    </row>
    <row r="108" spans="1:17" ht="11.25" customHeight="1">
      <c r="A108" s="13"/>
      <c r="B108" s="13" t="s">
        <v>27</v>
      </c>
      <c r="C108" s="13"/>
      <c r="D108" s="109"/>
      <c r="E108" s="504"/>
      <c r="F108" s="504"/>
      <c r="G108" s="504"/>
      <c r="H108" s="504"/>
      <c r="I108" s="504"/>
      <c r="J108" s="504"/>
      <c r="K108" s="504"/>
      <c r="L108" s="504"/>
      <c r="M108" s="110"/>
      <c r="N108" s="109"/>
      <c r="O108" s="504"/>
      <c r="P108" s="107"/>
      <c r="Q108" s="504"/>
    </row>
    <row r="109" spans="1:17" ht="11.25" customHeight="1">
      <c r="A109" s="13"/>
      <c r="B109" s="13" t="s">
        <v>31</v>
      </c>
      <c r="C109" s="109">
        <f>SUM('By Lot'!E2388+'By Lot'!E2405+'By Lot'!E2422)</f>
        <v>258</v>
      </c>
      <c r="D109" s="109">
        <f>SUM('By Lot'!F2388+'By Lot'!F2405+'By Lot'!F2422)</f>
        <v>171</v>
      </c>
      <c r="E109" s="504">
        <f>SUM('By Lot'!G2388+'By Lot'!G2405+'By Lot'!G2422)</f>
        <v>143</v>
      </c>
      <c r="F109" s="504">
        <f>SUM('By Lot'!H2388+'By Lot'!H2405+'By Lot'!H2422)</f>
        <v>125</v>
      </c>
      <c r="G109" s="504">
        <f>SUM('By Lot'!I2388+'By Lot'!I2405+'By Lot'!I2422)</f>
        <v>124</v>
      </c>
      <c r="H109" s="504">
        <f>SUM('By Lot'!J2388+'By Lot'!J2405+'By Lot'!J2422)</f>
        <v>134</v>
      </c>
      <c r="I109" s="504">
        <f>SUM('By Lot'!K2388+'By Lot'!K2405+'By Lot'!K2422)</f>
        <v>139</v>
      </c>
      <c r="J109" s="504">
        <f>SUM('By Lot'!L2388+'By Lot'!L2405+'By Lot'!L2422)</f>
        <v>124</v>
      </c>
      <c r="K109" s="504">
        <f>SUM('By Lot'!M2388+'By Lot'!M2405+'By Lot'!M2422)</f>
        <v>155</v>
      </c>
      <c r="L109" s="504">
        <f>SUM('By Lot'!N2388+'By Lot'!N2405+'By Lot'!N2422)</f>
        <v>192</v>
      </c>
      <c r="M109" s="110">
        <f>SUM('By Lot'!O2388+'By Lot'!O2405+'By Lot'!O2422)</f>
        <v>214</v>
      </c>
      <c r="N109" s="504">
        <f t="shared" ref="N109:N112" si="63">MIN(D109:M109)</f>
        <v>124</v>
      </c>
      <c r="O109" s="504">
        <f t="shared" ref="O109:O112" si="64">C109-N109</f>
        <v>134</v>
      </c>
      <c r="P109" s="107">
        <f t="shared" ref="P109:P112" si="65">O109/C109</f>
        <v>0.51937984496124034</v>
      </c>
      <c r="Q109" s="504"/>
    </row>
    <row r="110" spans="1:17" ht="11.25" customHeight="1">
      <c r="A110" s="13"/>
      <c r="B110" s="13" t="s">
        <v>32</v>
      </c>
      <c r="C110" s="109">
        <f>SUM('By Lot'!E2441)</f>
        <v>6</v>
      </c>
      <c r="D110" s="109">
        <f>SUM('By Lot'!F2441)</f>
        <v>5</v>
      </c>
      <c r="E110" s="504">
        <f>SUM('By Lot'!G2441)</f>
        <v>5</v>
      </c>
      <c r="F110" s="504">
        <f>SUM('By Lot'!H2441)</f>
        <v>5</v>
      </c>
      <c r="G110" s="504">
        <f>SUM('By Lot'!I2441)</f>
        <v>5</v>
      </c>
      <c r="H110" s="504">
        <f>SUM('By Lot'!J2441)</f>
        <v>5</v>
      </c>
      <c r="I110" s="504">
        <f>SUM('By Lot'!K2441)</f>
        <v>5</v>
      </c>
      <c r="J110" s="504">
        <f>SUM('By Lot'!L2441)</f>
        <v>5</v>
      </c>
      <c r="K110" s="504">
        <f>SUM('By Lot'!M2441)</f>
        <v>5</v>
      </c>
      <c r="L110" s="504">
        <f>SUM('By Lot'!N2441)</f>
        <v>6</v>
      </c>
      <c r="M110" s="110">
        <f>SUM('By Lot'!O2441)</f>
        <v>6</v>
      </c>
      <c r="N110" s="504">
        <f t="shared" si="63"/>
        <v>5</v>
      </c>
      <c r="O110" s="504">
        <f t="shared" si="64"/>
        <v>1</v>
      </c>
      <c r="P110" s="107">
        <f t="shared" si="65"/>
        <v>0.16666666666666666</v>
      </c>
      <c r="Q110" s="504"/>
    </row>
    <row r="111" spans="1:17" ht="11.25" customHeight="1">
      <c r="A111" s="13"/>
      <c r="B111" s="13" t="s">
        <v>33</v>
      </c>
      <c r="C111" s="109">
        <f>SUM('By Lot'!E2391+'By Lot'!E2392+'By Lot'!E2459+'By Lot'!E2476)</f>
        <v>45</v>
      </c>
      <c r="D111" s="109">
        <f>SUM('By Lot'!F2391+'By Lot'!F2392+'By Lot'!F2459+'By Lot'!F2476)</f>
        <v>27</v>
      </c>
      <c r="E111" s="504">
        <f>SUM('By Lot'!G2391+'By Lot'!G2392+'By Lot'!G2459+'By Lot'!G2476)</f>
        <v>25</v>
      </c>
      <c r="F111" s="504">
        <f>SUM('By Lot'!H2391+'By Lot'!H2392+'By Lot'!H2459+'By Lot'!H2476)</f>
        <v>26</v>
      </c>
      <c r="G111" s="504">
        <f>SUM('By Lot'!I2391+'By Lot'!I2392+'By Lot'!I2459+'By Lot'!I2476)</f>
        <v>19</v>
      </c>
      <c r="H111" s="504">
        <f>SUM('By Lot'!J2391+'By Lot'!J2392+'By Lot'!J2459+'By Lot'!J2476)</f>
        <v>28</v>
      </c>
      <c r="I111" s="504">
        <f>SUM('By Lot'!K2391+'By Lot'!K2392+'By Lot'!K2459+'By Lot'!K2476)</f>
        <v>25</v>
      </c>
      <c r="J111" s="504">
        <f>SUM('By Lot'!L2391+'By Lot'!L2392+'By Lot'!L2459+'By Lot'!L2476)</f>
        <v>26</v>
      </c>
      <c r="K111" s="504">
        <f>SUM('By Lot'!M2391+'By Lot'!M2392+'By Lot'!M2459+'By Lot'!M2476)</f>
        <v>22</v>
      </c>
      <c r="L111" s="504">
        <f>SUM('By Lot'!N2391+'By Lot'!N2392+'By Lot'!N2459+'By Lot'!N2476)</f>
        <v>30</v>
      </c>
      <c r="M111" s="110">
        <f>SUM('By Lot'!O2391+'By Lot'!O2392+'By Lot'!O2459+'By Lot'!O2476)</f>
        <v>33</v>
      </c>
      <c r="N111" s="504">
        <f t="shared" si="63"/>
        <v>19</v>
      </c>
      <c r="O111" s="504">
        <f t="shared" si="64"/>
        <v>26</v>
      </c>
      <c r="P111" s="107">
        <f t="shared" si="65"/>
        <v>0.57777777777777772</v>
      </c>
      <c r="Q111" s="504"/>
    </row>
    <row r="112" spans="1:17" ht="11.25" customHeight="1">
      <c r="A112" s="13"/>
      <c r="B112" s="13" t="s">
        <v>34</v>
      </c>
      <c r="C112" s="109">
        <f>SUM('By Lot'!E2431+'By Lot'!E2414+'By Lot'!E2397)</f>
        <v>77</v>
      </c>
      <c r="D112" s="109">
        <f>SUM('By Lot'!F2431+'By Lot'!F2414+'By Lot'!F2397)</f>
        <v>65</v>
      </c>
      <c r="E112" s="504">
        <f>SUM('By Lot'!G2431+'By Lot'!G2414+'By Lot'!G2397)</f>
        <v>47</v>
      </c>
      <c r="F112" s="504">
        <f>SUM('By Lot'!H2431+'By Lot'!H2414+'By Lot'!H2397)</f>
        <v>45</v>
      </c>
      <c r="G112" s="504">
        <f>SUM('By Lot'!I2431+'By Lot'!I2414+'By Lot'!I2397)</f>
        <v>39</v>
      </c>
      <c r="H112" s="504">
        <f>SUM('By Lot'!J2431+'By Lot'!J2414+'By Lot'!J2397)</f>
        <v>46</v>
      </c>
      <c r="I112" s="504">
        <f>SUM('By Lot'!K2431+'By Lot'!K2414+'By Lot'!K2397)</f>
        <v>43</v>
      </c>
      <c r="J112" s="504">
        <f>SUM('By Lot'!L2431+'By Lot'!L2414+'By Lot'!L2397)</f>
        <v>41</v>
      </c>
      <c r="K112" s="504">
        <f>SUM('By Lot'!M2431+'By Lot'!M2414+'By Lot'!M2397)</f>
        <v>50</v>
      </c>
      <c r="L112" s="504">
        <f>SUM('By Lot'!N2431+'By Lot'!N2414+'By Lot'!N2397)</f>
        <v>53</v>
      </c>
      <c r="M112" s="110">
        <f>SUM('By Lot'!O2431+'By Lot'!O2414+'By Lot'!O2397)</f>
        <v>65</v>
      </c>
      <c r="N112" s="504">
        <f t="shared" si="63"/>
        <v>39</v>
      </c>
      <c r="O112" s="504">
        <f t="shared" si="64"/>
        <v>38</v>
      </c>
      <c r="P112" s="107">
        <f t="shared" si="65"/>
        <v>0.4935064935064935</v>
      </c>
      <c r="Q112" s="504"/>
    </row>
    <row r="113" spans="1:17" ht="11.25" customHeight="1">
      <c r="A113" s="13"/>
      <c r="B113" s="13" t="s">
        <v>35</v>
      </c>
      <c r="C113" s="13"/>
      <c r="D113" s="109"/>
      <c r="E113" s="504"/>
      <c r="F113" s="504"/>
      <c r="G113" s="504"/>
      <c r="H113" s="504"/>
      <c r="I113" s="504"/>
      <c r="J113" s="504"/>
      <c r="K113" s="504"/>
      <c r="L113" s="504"/>
      <c r="M113" s="110"/>
      <c r="N113" s="109"/>
      <c r="O113" s="504"/>
      <c r="P113" s="107"/>
      <c r="Q113" s="504"/>
    </row>
    <row r="114" spans="1:17" ht="11.25" customHeight="1">
      <c r="A114" s="13"/>
      <c r="B114" s="13" t="s">
        <v>36</v>
      </c>
      <c r="C114" s="13"/>
      <c r="D114" s="109"/>
      <c r="E114" s="504"/>
      <c r="F114" s="504"/>
      <c r="G114" s="504"/>
      <c r="H114" s="504"/>
      <c r="I114" s="504"/>
      <c r="J114" s="504"/>
      <c r="K114" s="504"/>
      <c r="L114" s="504"/>
      <c r="M114" s="110"/>
      <c r="N114" s="109"/>
      <c r="O114" s="504"/>
      <c r="P114" s="107"/>
      <c r="Q114" s="504"/>
    </row>
    <row r="115" spans="1:17" ht="11.25" customHeight="1">
      <c r="A115" s="13"/>
      <c r="B115" s="13" t="s">
        <v>37</v>
      </c>
      <c r="C115" s="13"/>
      <c r="D115" s="109"/>
      <c r="E115" s="504"/>
      <c r="F115" s="504"/>
      <c r="G115" s="504"/>
      <c r="H115" s="504"/>
      <c r="I115" s="504"/>
      <c r="J115" s="504"/>
      <c r="K115" s="504"/>
      <c r="L115" s="504"/>
      <c r="M115" s="110"/>
      <c r="N115" s="109"/>
      <c r="O115" s="504"/>
      <c r="P115" s="107"/>
      <c r="Q115" s="504"/>
    </row>
    <row r="116" spans="1:17" ht="11.25" customHeight="1">
      <c r="A116" s="63"/>
      <c r="B116" s="64" t="s">
        <v>38</v>
      </c>
      <c r="C116" s="64">
        <v>1255</v>
      </c>
      <c r="D116" s="69">
        <v>714</v>
      </c>
      <c r="E116" s="68">
        <v>467</v>
      </c>
      <c r="F116" s="68">
        <v>336</v>
      </c>
      <c r="G116" s="68">
        <v>270</v>
      </c>
      <c r="H116" s="68">
        <v>286</v>
      </c>
      <c r="I116" s="68">
        <v>298</v>
      </c>
      <c r="J116" s="68">
        <v>320</v>
      </c>
      <c r="K116" s="68">
        <v>416</v>
      </c>
      <c r="L116" s="68">
        <v>541</v>
      </c>
      <c r="M116" s="65">
        <v>759</v>
      </c>
      <c r="N116" s="69">
        <f t="shared" ref="N116" si="66">MIN(D116:M116)</f>
        <v>270</v>
      </c>
      <c r="O116" s="68">
        <v>985</v>
      </c>
      <c r="P116" s="66">
        <v>0.78486055776892427</v>
      </c>
      <c r="Q116" s="504"/>
    </row>
    <row r="117" spans="1:17" ht="11.25" customHeight="1">
      <c r="A117" s="13" t="s">
        <v>477</v>
      </c>
      <c r="B117" s="13" t="s">
        <v>23</v>
      </c>
      <c r="C117" s="13"/>
      <c r="D117" s="109"/>
      <c r="E117" s="504"/>
      <c r="F117" s="504"/>
      <c r="G117" s="504"/>
      <c r="H117" s="504"/>
      <c r="I117" s="504"/>
      <c r="J117" s="504"/>
      <c r="K117" s="504"/>
      <c r="L117" s="504"/>
      <c r="M117" s="110"/>
      <c r="N117" s="109"/>
      <c r="O117" s="504"/>
      <c r="P117" s="107"/>
      <c r="Q117" s="504"/>
    </row>
    <row r="118" spans="1:17" ht="11.25" customHeight="1">
      <c r="A118" s="13" t="s">
        <v>478</v>
      </c>
      <c r="B118" s="13" t="s">
        <v>25</v>
      </c>
      <c r="C118" s="109">
        <f>SUM('By Lot'!E2709+'By Lot'!E2726+'By Lot'!E2743)</f>
        <v>458</v>
      </c>
      <c r="D118" s="109">
        <f>SUM('By Lot'!F2709+'By Lot'!F2726+'By Lot'!F2743)</f>
        <v>299</v>
      </c>
      <c r="E118" s="519"/>
      <c r="F118" s="504">
        <f>SUM('By Lot'!H2709+'By Lot'!H2726+'By Lot'!H2743)</f>
        <v>89</v>
      </c>
      <c r="G118" s="519"/>
      <c r="H118" s="504">
        <f>SUM('By Lot'!J2709+'By Lot'!J2726+'By Lot'!J2743)</f>
        <v>110</v>
      </c>
      <c r="I118" s="519"/>
      <c r="J118" s="504">
        <f>SUM('By Lot'!L2709+'By Lot'!L2726+'By Lot'!L2743)</f>
        <v>124</v>
      </c>
      <c r="K118" s="519"/>
      <c r="L118" s="519"/>
      <c r="M118" s="523"/>
      <c r="N118" s="504">
        <f>MIN(D118,F118, H118, J118)</f>
        <v>89</v>
      </c>
      <c r="O118" s="504">
        <f>C118-N118</f>
        <v>369</v>
      </c>
      <c r="P118" s="107">
        <f>O118/C118</f>
        <v>0.80567685589519655</v>
      </c>
      <c r="Q118" s="504"/>
    </row>
    <row r="119" spans="1:17" ht="11.25" customHeight="1">
      <c r="A119" s="13"/>
      <c r="B119" s="13" t="s">
        <v>27</v>
      </c>
      <c r="C119" s="13"/>
      <c r="D119" s="109"/>
      <c r="E119" s="504"/>
      <c r="F119" s="504"/>
      <c r="G119" s="504"/>
      <c r="H119" s="504"/>
      <c r="I119" s="504"/>
      <c r="J119" s="504"/>
      <c r="K119" s="504"/>
      <c r="L119" s="504"/>
      <c r="M119" s="110"/>
      <c r="N119" s="109"/>
      <c r="O119" s="504"/>
      <c r="P119" s="107"/>
      <c r="Q119" s="504"/>
    </row>
    <row r="120" spans="1:17" ht="11.25" customHeight="1">
      <c r="A120" s="517" t="s">
        <v>402</v>
      </c>
      <c r="B120" s="13" t="s">
        <v>31</v>
      </c>
      <c r="C120" s="13"/>
      <c r="D120" s="109"/>
      <c r="E120" s="504"/>
      <c r="F120" s="504"/>
      <c r="G120" s="504"/>
      <c r="H120" s="504"/>
      <c r="I120" s="504"/>
      <c r="J120" s="504"/>
      <c r="K120" s="504"/>
      <c r="L120" s="504"/>
      <c r="M120" s="110"/>
      <c r="N120" s="109"/>
      <c r="O120" s="504"/>
      <c r="P120" s="107"/>
      <c r="Q120" s="504"/>
    </row>
    <row r="121" spans="1:17" ht="11.25" customHeight="1">
      <c r="A121" s="517" t="s">
        <v>403</v>
      </c>
      <c r="B121" s="13" t="s">
        <v>32</v>
      </c>
      <c r="C121" s="13"/>
      <c r="D121" s="109"/>
      <c r="E121" s="504"/>
      <c r="F121" s="504"/>
      <c r="G121" s="504"/>
      <c r="H121" s="504"/>
      <c r="I121" s="504"/>
      <c r="J121" s="504"/>
      <c r="K121" s="504"/>
      <c r="L121" s="504"/>
      <c r="M121" s="110"/>
      <c r="N121" s="109"/>
      <c r="O121" s="504"/>
      <c r="P121" s="107"/>
      <c r="Q121" s="504"/>
    </row>
    <row r="122" spans="1:17" ht="11.25" customHeight="1">
      <c r="A122" s="517" t="s">
        <v>404</v>
      </c>
      <c r="B122" s="13" t="s">
        <v>33</v>
      </c>
      <c r="C122" s="109">
        <f>SUM('By Lot'!E2714+'By Lot'!E2715+'By Lot'!E2716+'By Lot'!E2731+'By Lot'!E2732+'By Lot'!E2748)</f>
        <v>47</v>
      </c>
      <c r="D122" s="109">
        <f>SUM('By Lot'!F2714+'By Lot'!F2715+'By Lot'!F2716+'By Lot'!F2731+'By Lot'!F2748)</f>
        <v>25</v>
      </c>
      <c r="E122" s="519"/>
      <c r="F122" s="504">
        <f>SUM('By Lot'!H2714+'By Lot'!H2715+'By Lot'!H2716+'By Lot'!H2731+'By Lot'!H2748)</f>
        <v>24</v>
      </c>
      <c r="G122" s="519"/>
      <c r="H122" s="504">
        <f>SUM('By Lot'!J2714+'By Lot'!J2715+'By Lot'!J2716+'By Lot'!J2731+'By Lot'!J2748)</f>
        <v>16</v>
      </c>
      <c r="I122" s="524"/>
      <c r="J122" s="91">
        <f>SUM('By Lot'!L2714+'By Lot'!L2715+'By Lot'!L2716+'By Lot'!L2731+'By Lot'!L2748)</f>
        <v>16</v>
      </c>
      <c r="K122" s="524"/>
      <c r="L122" s="524"/>
      <c r="M122" s="525"/>
      <c r="N122" s="504">
        <f>MIN(D122,F122, H122, J122)</f>
        <v>16</v>
      </c>
      <c r="O122" s="504">
        <f t="shared" ref="O122" si="67">C122-N122</f>
        <v>31</v>
      </c>
      <c r="P122" s="107">
        <f t="shared" ref="P122" si="68">O122/C122</f>
        <v>0.65957446808510634</v>
      </c>
      <c r="Q122" s="504"/>
    </row>
    <row r="123" spans="1:17" ht="11.25" customHeight="1">
      <c r="A123" s="517" t="s">
        <v>405</v>
      </c>
      <c r="B123" s="13" t="s">
        <v>34</v>
      </c>
      <c r="C123" s="518">
        <f>SUM('By Lot'!E2720,'By Lot'!E2737,'By Lot'!E2754)</f>
        <v>19</v>
      </c>
      <c r="D123" s="518"/>
      <c r="E123" s="519"/>
      <c r="F123" s="519"/>
      <c r="G123" s="519"/>
      <c r="H123" s="519"/>
      <c r="I123" s="520"/>
      <c r="J123" s="520"/>
      <c r="K123" s="520"/>
      <c r="L123" s="520"/>
      <c r="M123" s="521"/>
      <c r="N123" s="519"/>
      <c r="O123" s="519"/>
      <c r="P123" s="522"/>
      <c r="Q123" s="504"/>
    </row>
    <row r="124" spans="1:17" ht="11.25" customHeight="1">
      <c r="A124" s="13"/>
      <c r="B124" s="13" t="s">
        <v>35</v>
      </c>
      <c r="C124" s="13"/>
      <c r="D124" s="109"/>
      <c r="E124" s="504"/>
      <c r="F124" s="504"/>
      <c r="G124" s="504"/>
      <c r="H124" s="504"/>
      <c r="I124" s="504"/>
      <c r="J124" s="504"/>
      <c r="K124" s="504"/>
      <c r="L124" s="504"/>
      <c r="M124" s="110"/>
      <c r="N124" s="109"/>
      <c r="O124" s="504"/>
      <c r="P124" s="107"/>
      <c r="Q124" s="504"/>
    </row>
    <row r="125" spans="1:17" ht="11.25" customHeight="1">
      <c r="A125" s="13"/>
      <c r="B125" s="13" t="s">
        <v>36</v>
      </c>
      <c r="C125" s="13"/>
      <c r="D125" s="109"/>
      <c r="E125" s="504"/>
      <c r="F125" s="504"/>
      <c r="G125" s="504"/>
      <c r="H125" s="504"/>
      <c r="I125" s="504"/>
      <c r="J125" s="504"/>
      <c r="K125" s="504"/>
      <c r="L125" s="504"/>
      <c r="M125" s="110"/>
      <c r="N125" s="109"/>
      <c r="O125" s="504"/>
      <c r="P125" s="107"/>
      <c r="Q125" s="504"/>
    </row>
    <row r="126" spans="1:17" ht="11.25" customHeight="1">
      <c r="A126" s="13"/>
      <c r="B126" s="13" t="s">
        <v>37</v>
      </c>
      <c r="C126" s="13"/>
      <c r="D126" s="109"/>
      <c r="E126" s="504"/>
      <c r="F126" s="504"/>
      <c r="G126" s="504"/>
      <c r="H126" s="504"/>
      <c r="I126" s="504"/>
      <c r="J126" s="504"/>
      <c r="K126" s="504"/>
      <c r="L126" s="504"/>
      <c r="M126" s="110"/>
      <c r="N126" s="109"/>
      <c r="O126" s="504"/>
      <c r="P126" s="107"/>
      <c r="Q126" s="504"/>
    </row>
    <row r="127" spans="1:17" ht="11.25" customHeight="1">
      <c r="A127" s="63"/>
      <c r="B127" s="64" t="s">
        <v>38</v>
      </c>
      <c r="C127" s="69">
        <f>SUM(C118+C122+C123)</f>
        <v>524</v>
      </c>
      <c r="D127" s="18">
        <f t="shared" ref="D127:M127" si="69">SUM(D117:D126)</f>
        <v>324</v>
      </c>
      <c r="E127" s="19">
        <f t="shared" si="69"/>
        <v>0</v>
      </c>
      <c r="F127" s="19">
        <f t="shared" si="69"/>
        <v>113</v>
      </c>
      <c r="G127" s="19">
        <f t="shared" si="69"/>
        <v>0</v>
      </c>
      <c r="H127" s="19">
        <f t="shared" si="69"/>
        <v>126</v>
      </c>
      <c r="I127" s="19">
        <f t="shared" si="69"/>
        <v>0</v>
      </c>
      <c r="J127" s="19">
        <f t="shared" si="69"/>
        <v>140</v>
      </c>
      <c r="K127" s="19">
        <f t="shared" si="69"/>
        <v>0</v>
      </c>
      <c r="L127" s="19">
        <f t="shared" si="69"/>
        <v>0</v>
      </c>
      <c r="M127" s="20">
        <f t="shared" si="69"/>
        <v>0</v>
      </c>
      <c r="N127" s="68">
        <f>MIN(D127,F127, H127, J127)</f>
        <v>113</v>
      </c>
      <c r="O127" s="68">
        <f t="shared" ref="O127:O128" si="70">C127-N127</f>
        <v>411</v>
      </c>
      <c r="P127" s="66">
        <f t="shared" ref="P127:P128" si="71">O127/C127</f>
        <v>0.78435114503816794</v>
      </c>
      <c r="Q127" s="504"/>
    </row>
    <row r="128" spans="1:17" ht="11.25" customHeight="1">
      <c r="A128" s="13" t="s">
        <v>479</v>
      </c>
      <c r="B128" s="13" t="s">
        <v>23</v>
      </c>
      <c r="C128" s="103">
        <f>SUM('By Lot'!E2980+'By Lot'!E2963+'By Lot'!E2946+'By Lot'!E2929+'By Lot'!E2912)</f>
        <v>226</v>
      </c>
      <c r="D128" s="104">
        <f>SUM('By Lot'!F2912+'By Lot'!F2929+'By Lot'!F2946+'By Lot'!F2963+'By Lot'!F2980)</f>
        <v>110</v>
      </c>
      <c r="E128" s="105">
        <f>SUM('By Lot'!G2912+'By Lot'!G2929+'By Lot'!G2946+'By Lot'!G2963+'By Lot'!G2980)</f>
        <v>102</v>
      </c>
      <c r="F128" s="105">
        <f>SUM('By Lot'!H2912+'By Lot'!H2929+'By Lot'!H2946+'By Lot'!H2963+'By Lot'!H2980)</f>
        <v>85</v>
      </c>
      <c r="G128" s="105">
        <f>SUM('By Lot'!I2912+'By Lot'!I2929+'By Lot'!I2946+'By Lot'!I2963+'By Lot'!I2980)</f>
        <v>87</v>
      </c>
      <c r="H128" s="105">
        <f>SUM('By Lot'!J2912+'By Lot'!J2929+'By Lot'!J2946+'By Lot'!J2963+'By Lot'!J2980)</f>
        <v>84</v>
      </c>
      <c r="I128" s="105">
        <f>SUM('By Lot'!K2912+'By Lot'!K2929+'By Lot'!K2946+'By Lot'!K2963+'By Lot'!K2980)</f>
        <v>87</v>
      </c>
      <c r="J128" s="105">
        <f>SUM('By Lot'!L2912+'By Lot'!L2929+'By Lot'!L2946+'By Lot'!L2963+'By Lot'!L2980)</f>
        <v>78</v>
      </c>
      <c r="K128" s="105">
        <f>SUM('By Lot'!M2912+'By Lot'!M2929+'By Lot'!M2946+'By Lot'!M2963+'By Lot'!M2980)</f>
        <v>103</v>
      </c>
      <c r="L128" s="105">
        <f>SUM('By Lot'!N2912+'By Lot'!N2929+'By Lot'!N2946+'By Lot'!N2963+'By Lot'!N2980)</f>
        <v>147</v>
      </c>
      <c r="M128" s="106">
        <f>SUM('By Lot'!O2912+'By Lot'!O2929+'By Lot'!O2946+'By Lot'!O2963+'By Lot'!O2980)</f>
        <v>166</v>
      </c>
      <c r="N128" s="91">
        <f t="shared" ref="N128" si="72">MIN(D128:M128)</f>
        <v>78</v>
      </c>
      <c r="O128" s="91">
        <f t="shared" si="70"/>
        <v>148</v>
      </c>
      <c r="P128" s="107">
        <f t="shared" si="71"/>
        <v>0.65486725663716816</v>
      </c>
      <c r="Q128" s="504"/>
    </row>
    <row r="129" spans="1:17" ht="11.25" customHeight="1">
      <c r="A129" s="13" t="s">
        <v>480</v>
      </c>
      <c r="B129" s="13" t="s">
        <v>25</v>
      </c>
      <c r="C129" s="13"/>
      <c r="D129" s="109"/>
      <c r="E129" s="504"/>
      <c r="F129" s="504"/>
      <c r="G129" s="504"/>
      <c r="H129" s="504"/>
      <c r="I129" s="504"/>
      <c r="J129" s="504"/>
      <c r="K129" s="504"/>
      <c r="L129" s="504"/>
      <c r="M129" s="110"/>
      <c r="N129" s="109"/>
      <c r="O129" s="504"/>
      <c r="P129" s="107"/>
      <c r="Q129" s="504"/>
    </row>
    <row r="130" spans="1:17" ht="11.25" customHeight="1">
      <c r="A130" s="13"/>
      <c r="B130" s="13" t="s">
        <v>27</v>
      </c>
      <c r="C130" s="13"/>
      <c r="D130" s="109"/>
      <c r="E130" s="504"/>
      <c r="F130" s="504"/>
      <c r="G130" s="504"/>
      <c r="H130" s="504"/>
      <c r="I130" s="504"/>
      <c r="J130" s="504"/>
      <c r="K130" s="504"/>
      <c r="L130" s="504"/>
      <c r="M130" s="110"/>
      <c r="N130" s="109"/>
      <c r="O130" s="504"/>
      <c r="P130" s="107"/>
      <c r="Q130" s="504"/>
    </row>
    <row r="131" spans="1:17" ht="11.25" customHeight="1">
      <c r="A131" s="13"/>
      <c r="B131" s="13" t="s">
        <v>31</v>
      </c>
      <c r="C131" s="103">
        <f>SUM('By Lot'!E2762+'By Lot'!E2779+'By Lot'!E2796+'By Lot'!E2813+'By Lot'!E2830+'By Lot'!E2847+'By Lot'!E2864)</f>
        <v>273</v>
      </c>
      <c r="D131" s="103">
        <f>SUM('By Lot'!F2762+'By Lot'!F2779+'By Lot'!F2796+'By Lot'!F2813+'By Lot'!F2830+'By Lot'!F2847+'By Lot'!F2864)</f>
        <v>168</v>
      </c>
      <c r="E131" s="91">
        <f>SUM('By Lot'!G2762+'By Lot'!G2779+'By Lot'!G2796+'By Lot'!G2813+'By Lot'!G2830+'By Lot'!G2847+'By Lot'!G2864)</f>
        <v>153</v>
      </c>
      <c r="F131" s="91">
        <f>SUM('By Lot'!H2762+'By Lot'!H2779+'By Lot'!H2796+'By Lot'!H2813+'By Lot'!H2830+'By Lot'!H2847+'By Lot'!H2864)</f>
        <v>151</v>
      </c>
      <c r="G131" s="91">
        <f>SUM('By Lot'!I2762+'By Lot'!I2779+'By Lot'!I2796+'By Lot'!I2813+'By Lot'!I2830+'By Lot'!I2847+'By Lot'!I2864)</f>
        <v>145</v>
      </c>
      <c r="H131" s="91">
        <f>SUM('By Lot'!J2762+'By Lot'!J2779+'By Lot'!J2796+'By Lot'!J2813+'By Lot'!J2830+'By Lot'!J2847+'By Lot'!J2864)</f>
        <v>148</v>
      </c>
      <c r="I131" s="91">
        <f>SUM('By Lot'!K2762+'By Lot'!K2779+'By Lot'!K2796+'By Lot'!K2813+'By Lot'!K2830+'By Lot'!K2847+'By Lot'!K2864)</f>
        <v>156</v>
      </c>
      <c r="J131" s="91">
        <f>SUM('By Lot'!L2762+'By Lot'!L2779+'By Lot'!L2796+'By Lot'!L2813+'By Lot'!L2830+'By Lot'!L2847+'By Lot'!L2864)</f>
        <v>168</v>
      </c>
      <c r="K131" s="91">
        <f>SUM('By Lot'!M2762+'By Lot'!M2779+'By Lot'!M2796+'By Lot'!M2813+'By Lot'!M2830+'By Lot'!M2847+'By Lot'!M2864)</f>
        <v>186</v>
      </c>
      <c r="L131" s="91">
        <f>SUM('By Lot'!N2762+'By Lot'!N2779+'By Lot'!N2796+'By Lot'!N2813+'By Lot'!N2830+'By Lot'!N2847+'By Lot'!N2864)</f>
        <v>214</v>
      </c>
      <c r="M131" s="108">
        <f>SUM('By Lot'!O2762+'By Lot'!O2779+'By Lot'!O2796+'By Lot'!O2813+'By Lot'!O2830+'By Lot'!O2847+'By Lot'!O2864)</f>
        <v>224</v>
      </c>
      <c r="N131" s="91">
        <f t="shared" ref="N131:N134" si="73">MIN(D131:M131)</f>
        <v>145</v>
      </c>
      <c r="O131" s="91">
        <f t="shared" ref="O131:O134" si="74">C131-N131</f>
        <v>128</v>
      </c>
      <c r="P131" s="107">
        <f t="shared" ref="P131:P134" si="75">O131/C131</f>
        <v>0.46886446886446886</v>
      </c>
      <c r="Q131" s="504"/>
    </row>
    <row r="132" spans="1:17" ht="11.25" customHeight="1">
      <c r="A132" s="13"/>
      <c r="B132" s="13" t="s">
        <v>32</v>
      </c>
      <c r="C132" s="103">
        <f>SUM('By Lot'!E2900)</f>
        <v>19</v>
      </c>
      <c r="D132" s="103">
        <f>SUM('By Lot'!F2900)</f>
        <v>18</v>
      </c>
      <c r="E132" s="91">
        <f>SUM('By Lot'!G2900)</f>
        <v>18</v>
      </c>
      <c r="F132" s="91">
        <f>SUM('By Lot'!H2900)</f>
        <v>17</v>
      </c>
      <c r="G132" s="91">
        <f>SUM('By Lot'!I2900)</f>
        <v>17</v>
      </c>
      <c r="H132" s="91">
        <f>SUM('By Lot'!J2900)</f>
        <v>19</v>
      </c>
      <c r="I132" s="91">
        <f>SUM('By Lot'!K2900)</f>
        <v>18</v>
      </c>
      <c r="J132" s="91">
        <f>SUM('By Lot'!L2900)</f>
        <v>18</v>
      </c>
      <c r="K132" s="91">
        <f>SUM('By Lot'!M2900)</f>
        <v>18</v>
      </c>
      <c r="L132" s="91">
        <f>SUM('By Lot'!N2900)</f>
        <v>18</v>
      </c>
      <c r="M132" s="108">
        <f>SUM('By Lot'!O2900)</f>
        <v>17</v>
      </c>
      <c r="N132" s="91">
        <f t="shared" si="73"/>
        <v>17</v>
      </c>
      <c r="O132" s="91">
        <f t="shared" si="74"/>
        <v>2</v>
      </c>
      <c r="P132" s="107">
        <f t="shared" si="75"/>
        <v>0.10526315789473684</v>
      </c>
      <c r="Q132" s="504"/>
    </row>
    <row r="133" spans="1:17" ht="11.25" customHeight="1">
      <c r="A133" s="13"/>
      <c r="B133" s="13" t="s">
        <v>33</v>
      </c>
      <c r="C133" s="103">
        <f>SUM('By Lot'!E2867+'By Lot'!E2884+'By Lot'!E2901)</f>
        <v>18</v>
      </c>
      <c r="D133" s="103">
        <f>SUM('By Lot'!F2867+'By Lot'!F2884+'By Lot'!F2901)</f>
        <v>11</v>
      </c>
      <c r="E133" s="91">
        <f>SUM('By Lot'!G2867+'By Lot'!G2884+'By Lot'!G2901)</f>
        <v>11</v>
      </c>
      <c r="F133" s="91">
        <f>SUM('By Lot'!H2867+'By Lot'!H2884+'By Lot'!H2901)</f>
        <v>12</v>
      </c>
      <c r="G133" s="91">
        <f>SUM('By Lot'!I2867+'By Lot'!I2884+'By Lot'!I2901)</f>
        <v>10</v>
      </c>
      <c r="H133" s="91">
        <f>SUM('By Lot'!J2867+'By Lot'!J2884+'By Lot'!J2901)</f>
        <v>8</v>
      </c>
      <c r="I133" s="91">
        <f>SUM('By Lot'!K2867+'By Lot'!K2884+'By Lot'!K2901)</f>
        <v>7</v>
      </c>
      <c r="J133" s="91">
        <f>SUM('By Lot'!L2867+'By Lot'!L2884+'By Lot'!L2901)</f>
        <v>6</v>
      </c>
      <c r="K133" s="91">
        <f>SUM('By Lot'!M2867+'By Lot'!M2884+'By Lot'!M2901)</f>
        <v>6</v>
      </c>
      <c r="L133" s="91">
        <f>SUM('By Lot'!N2867+'By Lot'!N2884+'By Lot'!N2901)</f>
        <v>8</v>
      </c>
      <c r="M133" s="108">
        <f>SUM('By Lot'!O2867+'By Lot'!O2884+'By Lot'!O2901)</f>
        <v>12</v>
      </c>
      <c r="N133" s="91">
        <f t="shared" si="73"/>
        <v>6</v>
      </c>
      <c r="O133" s="91">
        <f t="shared" si="74"/>
        <v>12</v>
      </c>
      <c r="P133" s="107">
        <f t="shared" si="75"/>
        <v>0.66666666666666663</v>
      </c>
      <c r="Q133" s="504"/>
    </row>
    <row r="134" spans="1:17" ht="11.25" customHeight="1">
      <c r="A134" s="13"/>
      <c r="B134" s="13" t="s">
        <v>34</v>
      </c>
      <c r="C134" s="103">
        <f>SUM('By Lot'!E2992+'By Lot'!E2958+'By Lot'!E2924+'By Lot'!E2890)</f>
        <v>15</v>
      </c>
      <c r="D134" s="103">
        <f>SUM('By Lot'!F2890+'By Lot'!F2924+'By Lot'!F2958+'By Lot'!F2992)</f>
        <v>3</v>
      </c>
      <c r="E134" s="91">
        <f>SUM('By Lot'!G2890+'By Lot'!G2924+'By Lot'!G2958+'By Lot'!G2992)</f>
        <v>3</v>
      </c>
      <c r="F134" s="91">
        <f>SUM('By Lot'!H2890+'By Lot'!H2924+'By Lot'!H2958+'By Lot'!H2992)</f>
        <v>3</v>
      </c>
      <c r="G134" s="91">
        <f>SUM('By Lot'!I2890+'By Lot'!I2924+'By Lot'!I2958+'By Lot'!I2992)</f>
        <v>4</v>
      </c>
      <c r="H134" s="91">
        <f>SUM('By Lot'!J2890+'By Lot'!J2924+'By Lot'!J2958+'By Lot'!J2992)</f>
        <v>4</v>
      </c>
      <c r="I134" s="91">
        <f>SUM('By Lot'!K2890+'By Lot'!K2924+'By Lot'!K2958+'By Lot'!K2992)</f>
        <v>5</v>
      </c>
      <c r="J134" s="91">
        <f>SUM('By Lot'!L2890+'By Lot'!L2924+'By Lot'!L2958+'By Lot'!L2992)</f>
        <v>8</v>
      </c>
      <c r="K134" s="91">
        <f>SUM('By Lot'!M2890+'By Lot'!M2924+'By Lot'!M2958+'By Lot'!M2992)</f>
        <v>8</v>
      </c>
      <c r="L134" s="91">
        <f>SUM('By Lot'!N2890+'By Lot'!N2924+'By Lot'!N2958+'By Lot'!N2992)</f>
        <v>9</v>
      </c>
      <c r="M134" s="108">
        <f>SUM('By Lot'!O2890+'By Lot'!O2924+'By Lot'!O2958+'By Lot'!O2992)</f>
        <v>10</v>
      </c>
      <c r="N134" s="91">
        <f t="shared" si="73"/>
        <v>3</v>
      </c>
      <c r="O134" s="91">
        <f t="shared" si="74"/>
        <v>12</v>
      </c>
      <c r="P134" s="107">
        <f t="shared" si="75"/>
        <v>0.8</v>
      </c>
      <c r="Q134" s="504"/>
    </row>
    <row r="135" spans="1:17" ht="11.25" customHeight="1">
      <c r="A135" s="13"/>
      <c r="B135" s="13" t="s">
        <v>35</v>
      </c>
      <c r="C135" s="13"/>
      <c r="D135" s="109"/>
      <c r="E135" s="504"/>
      <c r="F135" s="504"/>
      <c r="G135" s="504"/>
      <c r="H135" s="504"/>
      <c r="I135" s="504"/>
      <c r="J135" s="504"/>
      <c r="K135" s="504"/>
      <c r="L135" s="504"/>
      <c r="M135" s="110"/>
      <c r="N135" s="109"/>
      <c r="O135" s="504"/>
      <c r="P135" s="107"/>
      <c r="Q135" s="504"/>
    </row>
    <row r="136" spans="1:17" ht="11.25" customHeight="1">
      <c r="A136" s="13"/>
      <c r="B136" s="13" t="s">
        <v>36</v>
      </c>
      <c r="C136" s="13"/>
      <c r="D136" s="109"/>
      <c r="E136" s="504"/>
      <c r="F136" s="504"/>
      <c r="G136" s="504"/>
      <c r="H136" s="504"/>
      <c r="I136" s="504"/>
      <c r="J136" s="504"/>
      <c r="K136" s="504"/>
      <c r="L136" s="504"/>
      <c r="M136" s="110"/>
      <c r="N136" s="109"/>
      <c r="O136" s="504"/>
      <c r="P136" s="107"/>
      <c r="Q136" s="504"/>
    </row>
    <row r="137" spans="1:17" ht="11.25" customHeight="1">
      <c r="A137" s="13"/>
      <c r="B137" s="13" t="s">
        <v>37</v>
      </c>
      <c r="C137" s="13"/>
      <c r="D137" s="109"/>
      <c r="E137" s="504"/>
      <c r="F137" s="504"/>
      <c r="G137" s="504"/>
      <c r="H137" s="504"/>
      <c r="I137" s="504"/>
      <c r="J137" s="504"/>
      <c r="K137" s="504"/>
      <c r="L137" s="504"/>
      <c r="M137" s="110"/>
      <c r="N137" s="109"/>
      <c r="O137" s="504"/>
      <c r="P137" s="107"/>
      <c r="Q137" s="504"/>
    </row>
    <row r="138" spans="1:17" ht="11.25" customHeight="1">
      <c r="A138" s="2"/>
      <c r="B138" s="3" t="s">
        <v>38</v>
      </c>
      <c r="C138" s="6">
        <f>SUM(C128:C137)</f>
        <v>551</v>
      </c>
      <c r="D138" s="6">
        <f t="shared" ref="D138:M138" si="76">SUM(D128:D137)</f>
        <v>310</v>
      </c>
      <c r="E138" s="70">
        <f t="shared" si="76"/>
        <v>287</v>
      </c>
      <c r="F138" s="70">
        <f t="shared" si="76"/>
        <v>268</v>
      </c>
      <c r="G138" s="70">
        <f t="shared" si="76"/>
        <v>263</v>
      </c>
      <c r="H138" s="70">
        <f t="shared" si="76"/>
        <v>263</v>
      </c>
      <c r="I138" s="70">
        <f t="shared" si="76"/>
        <v>273</v>
      </c>
      <c r="J138" s="70">
        <f t="shared" si="76"/>
        <v>278</v>
      </c>
      <c r="K138" s="70">
        <f t="shared" si="76"/>
        <v>321</v>
      </c>
      <c r="L138" s="70">
        <f t="shared" si="76"/>
        <v>396</v>
      </c>
      <c r="M138" s="27">
        <f t="shared" si="76"/>
        <v>429</v>
      </c>
      <c r="N138" s="70">
        <f>MIN(D138:M138)</f>
        <v>263</v>
      </c>
      <c r="O138" s="70">
        <f>C138-N138</f>
        <v>288</v>
      </c>
      <c r="P138" s="7">
        <f>O138/C138</f>
        <v>0.52268602540834841</v>
      </c>
      <c r="Q138" s="504"/>
    </row>
    <row r="139" spans="1:17" ht="11.25" customHeight="1">
      <c r="A139" s="43" t="s">
        <v>481</v>
      </c>
      <c r="B139" s="13" t="s">
        <v>23</v>
      </c>
      <c r="C139" s="13"/>
      <c r="D139" s="109"/>
      <c r="E139" s="504"/>
      <c r="F139" s="504"/>
      <c r="G139" s="504"/>
      <c r="H139" s="504"/>
      <c r="I139" s="504"/>
      <c r="J139" s="504"/>
      <c r="K139" s="504"/>
      <c r="L139" s="504"/>
      <c r="M139" s="110"/>
      <c r="N139" s="109"/>
      <c r="O139" s="504"/>
      <c r="P139" s="107"/>
      <c r="Q139" s="504"/>
    </row>
    <row r="140" spans="1:17" ht="11.25" customHeight="1">
      <c r="A140" s="13" t="s">
        <v>482</v>
      </c>
      <c r="B140" s="13" t="s">
        <v>25</v>
      </c>
      <c r="C140" s="103">
        <f>SUM('By Lot'!E2998+'By Lot'!E3015+'By Lot'!E3032+'By Lot'!E3049+'By Lot'!E3066+'By Lot'!E3083+'By Lot'!E3100+'By Lot'!E3117+'By Lot'!E3134+'By Lot'!E3151+'By Lot'!E3168)</f>
        <v>1016</v>
      </c>
      <c r="D140" s="103">
        <f>SUM('By Lot'!F2998+'By Lot'!F3015+'By Lot'!F3032+'By Lot'!F3049+'By Lot'!F3066+'By Lot'!F3083+'By Lot'!F3100+'By Lot'!F3117+'By Lot'!F3134+'By Lot'!F3151+'By Lot'!F3168)</f>
        <v>374</v>
      </c>
      <c r="E140" s="91">
        <f>SUM('By Lot'!G2998+'By Lot'!G3015+'By Lot'!G3032+'By Lot'!G3049+'By Lot'!G3066+'By Lot'!G3083+'By Lot'!G3100+'By Lot'!G3117+'By Lot'!G3134+'By Lot'!G3151+'By Lot'!G3168)</f>
        <v>302</v>
      </c>
      <c r="F140" s="91">
        <f>SUM('By Lot'!H2998+'By Lot'!H3015+'By Lot'!H3032+'By Lot'!H3049+'By Lot'!H3066+'By Lot'!H3083+'By Lot'!H3100+'By Lot'!H3117+'By Lot'!H3134+'By Lot'!H3151+'By Lot'!H3168)</f>
        <v>279</v>
      </c>
      <c r="G140" s="91">
        <f>SUM('By Lot'!I2998+'By Lot'!I3015+'By Lot'!I3032+'By Lot'!I3049+'By Lot'!I3066+'By Lot'!I3083+'By Lot'!I3100+'By Lot'!I3117+'By Lot'!I3134+'By Lot'!I3151+'By Lot'!I3168)</f>
        <v>246</v>
      </c>
      <c r="H140" s="91">
        <f>SUM('By Lot'!J2998+'By Lot'!J3015+'By Lot'!J3032+'By Lot'!J3049+'By Lot'!J3066+'By Lot'!J3083+'By Lot'!J3100+'By Lot'!J3117+'By Lot'!J3134+'By Lot'!J3151+'By Lot'!J3168)</f>
        <v>230</v>
      </c>
      <c r="I140" s="91">
        <f>SUM('By Lot'!K2998+'By Lot'!K3015+'By Lot'!K3032+'By Lot'!K3049+'By Lot'!K3066+'By Lot'!K3083+'By Lot'!K3100+'By Lot'!K3117+'By Lot'!K3134+'By Lot'!K3151+'By Lot'!K3168)</f>
        <v>221</v>
      </c>
      <c r="J140" s="91">
        <f>SUM('By Lot'!L2998+'By Lot'!L3015+'By Lot'!L3032+'By Lot'!L3049+'By Lot'!L3066+'By Lot'!L3083+'By Lot'!L3100+'By Lot'!L3117+'By Lot'!L3134+'By Lot'!L3151+'By Lot'!L3168)</f>
        <v>258</v>
      </c>
      <c r="K140" s="91">
        <f>SUM('By Lot'!M2998+'By Lot'!M3015+'By Lot'!M3032+'By Lot'!M3049+'By Lot'!M3066+'By Lot'!M3083+'By Lot'!M3100+'By Lot'!M3117+'By Lot'!M3134+'By Lot'!M3151+'By Lot'!M3168)</f>
        <v>338</v>
      </c>
      <c r="L140" s="91">
        <f>SUM('By Lot'!N2998+'By Lot'!N3015+'By Lot'!N3032+'By Lot'!N3049+'By Lot'!N3066+'By Lot'!N3083+'By Lot'!N3100+'By Lot'!N3117+'By Lot'!N3134+'By Lot'!N3151+'By Lot'!N3168)</f>
        <v>428</v>
      </c>
      <c r="M140" s="108">
        <f>SUM('By Lot'!O2998+'By Lot'!O3015+'By Lot'!O3032+'By Lot'!O3049+'By Lot'!O3066+'By Lot'!O3083+'By Lot'!O3100+'By Lot'!O3117+'By Lot'!O3134+'By Lot'!O3151+'By Lot'!O3168)</f>
        <v>491</v>
      </c>
      <c r="N140" s="91">
        <f>MIN(D140:M140)</f>
        <v>221</v>
      </c>
      <c r="O140" s="91">
        <f>C140-N140</f>
        <v>795</v>
      </c>
      <c r="P140" s="107">
        <f>O140/C140</f>
        <v>0.78248031496062997</v>
      </c>
      <c r="Q140" s="504"/>
    </row>
    <row r="141" spans="1:17" ht="11.25" customHeight="1">
      <c r="A141" s="13"/>
      <c r="B141" s="13" t="s">
        <v>27</v>
      </c>
      <c r="C141" s="13"/>
      <c r="D141" s="109"/>
      <c r="E141" s="504"/>
      <c r="F141" s="504"/>
      <c r="G141" s="504"/>
      <c r="H141" s="504"/>
      <c r="I141" s="504"/>
      <c r="J141" s="504"/>
      <c r="K141" s="504"/>
      <c r="L141" s="504"/>
      <c r="M141" s="110"/>
      <c r="N141" s="109"/>
      <c r="O141" s="504"/>
      <c r="P141" s="107"/>
      <c r="Q141" s="504"/>
    </row>
    <row r="142" spans="1:17" ht="11.25" customHeight="1">
      <c r="A142" s="13"/>
      <c r="B142" s="13" t="s">
        <v>31</v>
      </c>
      <c r="C142" s="13"/>
      <c r="D142" s="109"/>
      <c r="E142" s="504"/>
      <c r="F142" s="504"/>
      <c r="G142" s="504"/>
      <c r="H142" s="504"/>
      <c r="I142" s="504"/>
      <c r="J142" s="504"/>
      <c r="K142" s="504"/>
      <c r="L142" s="504"/>
      <c r="M142" s="110"/>
      <c r="N142" s="109"/>
      <c r="O142" s="504"/>
      <c r="P142" s="107"/>
      <c r="Q142" s="504"/>
    </row>
    <row r="143" spans="1:17" ht="11.25" customHeight="1">
      <c r="A143" s="13"/>
      <c r="B143" s="13" t="s">
        <v>32</v>
      </c>
      <c r="C143" s="13"/>
      <c r="D143" s="109"/>
      <c r="E143" s="504"/>
      <c r="F143" s="504"/>
      <c r="G143" s="504"/>
      <c r="H143" s="504"/>
      <c r="I143" s="504"/>
      <c r="J143" s="504"/>
      <c r="K143" s="504"/>
      <c r="L143" s="504"/>
      <c r="M143" s="110"/>
      <c r="N143" s="109"/>
      <c r="O143" s="504"/>
      <c r="P143" s="107"/>
      <c r="Q143" s="504"/>
    </row>
    <row r="144" spans="1:17" ht="11.25" customHeight="1">
      <c r="A144" s="13"/>
      <c r="B144" s="13" t="s">
        <v>33</v>
      </c>
      <c r="C144" s="103">
        <f>SUM('By Lot'!E3020+'By Lot'!E3021+'By Lot'!E3037)</f>
        <v>12</v>
      </c>
      <c r="D144" s="103">
        <f>SUM('By Lot'!F3020+'By Lot'!F3021+'By Lot'!F3037)</f>
        <v>4</v>
      </c>
      <c r="E144" s="91">
        <f>SUM('By Lot'!G3020+'By Lot'!G3021+'By Lot'!G3037)</f>
        <v>5</v>
      </c>
      <c r="F144" s="91">
        <f>SUM('By Lot'!H3020+'By Lot'!H3021+'By Lot'!H3037)</f>
        <v>5</v>
      </c>
      <c r="G144" s="91">
        <f>SUM('By Lot'!I3020+'By Lot'!I3021+'By Lot'!I3037)</f>
        <v>5</v>
      </c>
      <c r="H144" s="91">
        <f>SUM('By Lot'!J3020+'By Lot'!J3021+'By Lot'!J3037)</f>
        <v>7</v>
      </c>
      <c r="I144" s="91">
        <f>SUM('By Lot'!K3020+'By Lot'!K3021+'By Lot'!K3037)</f>
        <v>7</v>
      </c>
      <c r="J144" s="91">
        <f>SUM('By Lot'!L3020+'By Lot'!L3021+'By Lot'!L3037)</f>
        <v>6</v>
      </c>
      <c r="K144" s="91">
        <f>SUM('By Lot'!M3020+'By Lot'!M3021+'By Lot'!M3037)</f>
        <v>7</v>
      </c>
      <c r="L144" s="91">
        <f>SUM('By Lot'!N3020+'By Lot'!N3021+'By Lot'!N3037)</f>
        <v>6</v>
      </c>
      <c r="M144" s="108">
        <f>SUM('By Lot'!O3020+'By Lot'!O3021+'By Lot'!O3037)</f>
        <v>7</v>
      </c>
      <c r="N144" s="91">
        <f t="shared" ref="N144:N145" si="77">MIN(D144:M144)</f>
        <v>4</v>
      </c>
      <c r="O144" s="91">
        <f t="shared" ref="O144:O145" si="78">C144-N144</f>
        <v>8</v>
      </c>
      <c r="P144" s="107">
        <f t="shared" ref="P144:P145" si="79">O144/C144</f>
        <v>0.66666666666666663</v>
      </c>
      <c r="Q144" s="504"/>
    </row>
    <row r="145" spans="1:17" ht="11.25" customHeight="1">
      <c r="A145" s="13"/>
      <c r="B145" s="13" t="s">
        <v>34</v>
      </c>
      <c r="C145" s="103">
        <f>SUM('By Lot'!E3009+'By Lot'!E3026+'By Lot'!E3094)</f>
        <v>6</v>
      </c>
      <c r="D145" s="103">
        <f>SUM('By Lot'!F3009+'By Lot'!F3026+'By Lot'!F3094)</f>
        <v>6</v>
      </c>
      <c r="E145" s="91">
        <f>SUM('By Lot'!G3009+'By Lot'!G3026+'By Lot'!G3094)</f>
        <v>6</v>
      </c>
      <c r="F145" s="91">
        <f>SUM('By Lot'!H3009+'By Lot'!H3026+'By Lot'!H3094)</f>
        <v>6</v>
      </c>
      <c r="G145" s="91">
        <f>SUM('By Lot'!I3009+'By Lot'!I3026+'By Lot'!I3094)</f>
        <v>5</v>
      </c>
      <c r="H145" s="91">
        <f>SUM('By Lot'!J3009+'By Lot'!J3026+'By Lot'!J3094)</f>
        <v>5</v>
      </c>
      <c r="I145" s="91">
        <f>SUM('By Lot'!K3009+'By Lot'!K3026+'By Lot'!K3094)</f>
        <v>5</v>
      </c>
      <c r="J145" s="91">
        <f>SUM('By Lot'!L3009+'By Lot'!L3026+'By Lot'!L3094)</f>
        <v>5</v>
      </c>
      <c r="K145" s="91">
        <f>SUM('By Lot'!M3009+'By Lot'!M3026+'By Lot'!M3094)</f>
        <v>6</v>
      </c>
      <c r="L145" s="91">
        <f>SUM('By Lot'!N3009+'By Lot'!N3026+'By Lot'!N3094)</f>
        <v>6</v>
      </c>
      <c r="M145" s="108">
        <f>SUM('By Lot'!O3009+'By Lot'!O3026+'By Lot'!O3094)</f>
        <v>6</v>
      </c>
      <c r="N145" s="91">
        <f t="shared" si="77"/>
        <v>5</v>
      </c>
      <c r="O145" s="91">
        <f t="shared" si="78"/>
        <v>1</v>
      </c>
      <c r="P145" s="107">
        <f t="shared" si="79"/>
        <v>0.16666666666666666</v>
      </c>
      <c r="Q145" s="504"/>
    </row>
    <row r="146" spans="1:17" ht="11.25" customHeight="1">
      <c r="A146" s="13"/>
      <c r="B146" s="13" t="s">
        <v>35</v>
      </c>
      <c r="C146" s="13"/>
      <c r="D146" s="109"/>
      <c r="E146" s="504"/>
      <c r="F146" s="504"/>
      <c r="G146" s="504"/>
      <c r="H146" s="504"/>
      <c r="I146" s="504"/>
      <c r="J146" s="504"/>
      <c r="K146" s="504"/>
      <c r="L146" s="504"/>
      <c r="M146" s="110"/>
      <c r="N146" s="109"/>
      <c r="O146" s="504"/>
      <c r="P146" s="107"/>
      <c r="Q146" s="504"/>
    </row>
    <row r="147" spans="1:17" ht="11.25" customHeight="1">
      <c r="A147" s="13"/>
      <c r="B147" s="13" t="s">
        <v>36</v>
      </c>
      <c r="C147" s="13"/>
      <c r="D147" s="109"/>
      <c r="E147" s="504"/>
      <c r="F147" s="504"/>
      <c r="G147" s="504"/>
      <c r="H147" s="504"/>
      <c r="I147" s="504"/>
      <c r="J147" s="504"/>
      <c r="K147" s="504"/>
      <c r="L147" s="504"/>
      <c r="M147" s="110"/>
      <c r="N147" s="109"/>
      <c r="O147" s="504"/>
      <c r="P147" s="107"/>
      <c r="Q147" s="504"/>
    </row>
    <row r="148" spans="1:17" ht="11.25" customHeight="1">
      <c r="A148" s="13"/>
      <c r="B148" s="13" t="s">
        <v>37</v>
      </c>
      <c r="C148" s="13"/>
      <c r="D148" s="109"/>
      <c r="E148" s="504"/>
      <c r="F148" s="504"/>
      <c r="G148" s="504"/>
      <c r="H148" s="504"/>
      <c r="I148" s="504"/>
      <c r="J148" s="504"/>
      <c r="K148" s="504"/>
      <c r="L148" s="504"/>
      <c r="M148" s="110"/>
      <c r="N148" s="109"/>
      <c r="O148" s="504"/>
      <c r="P148" s="107"/>
      <c r="Q148" s="504"/>
    </row>
    <row r="149" spans="1:17" ht="11.25" customHeight="1">
      <c r="A149" s="2"/>
      <c r="B149" s="3" t="s">
        <v>38</v>
      </c>
      <c r="C149" s="21">
        <f>SUM(C139:C148)</f>
        <v>1034</v>
      </c>
      <c r="D149" s="18">
        <f t="shared" ref="D149:M149" si="80">SUM(D139:D148)</f>
        <v>384</v>
      </c>
      <c r="E149" s="19">
        <f t="shared" si="80"/>
        <v>313</v>
      </c>
      <c r="F149" s="19">
        <f t="shared" si="80"/>
        <v>290</v>
      </c>
      <c r="G149" s="19">
        <f t="shared" si="80"/>
        <v>256</v>
      </c>
      <c r="H149" s="19">
        <f t="shared" si="80"/>
        <v>242</v>
      </c>
      <c r="I149" s="19">
        <f t="shared" si="80"/>
        <v>233</v>
      </c>
      <c r="J149" s="19">
        <f t="shared" si="80"/>
        <v>269</v>
      </c>
      <c r="K149" s="19">
        <f t="shared" si="80"/>
        <v>351</v>
      </c>
      <c r="L149" s="19">
        <f t="shared" si="80"/>
        <v>440</v>
      </c>
      <c r="M149" s="20">
        <f t="shared" si="80"/>
        <v>504</v>
      </c>
      <c r="N149" s="71">
        <f t="shared" ref="N149:N151" si="81">MIN(D149:M149)</f>
        <v>233</v>
      </c>
      <c r="O149" s="71">
        <f t="shared" ref="O149:O151" si="82">C149-N149</f>
        <v>801</v>
      </c>
      <c r="P149" s="7">
        <f t="shared" ref="P149:P151" si="83">O149/C149</f>
        <v>0.77466150870406192</v>
      </c>
      <c r="Q149" s="504"/>
    </row>
    <row r="150" spans="1:17" ht="11.25" customHeight="1">
      <c r="A150" s="43" t="s">
        <v>483</v>
      </c>
      <c r="B150" s="13" t="s">
        <v>23</v>
      </c>
      <c r="C150" s="103">
        <f>SUM('By Lot'!E3201)</f>
        <v>11</v>
      </c>
      <c r="D150" s="104">
        <f>SUM('By Lot'!F3201)</f>
        <v>11</v>
      </c>
      <c r="E150" s="105">
        <f>SUM('By Lot'!G3201)</f>
        <v>11</v>
      </c>
      <c r="F150" s="105">
        <f>SUM('By Lot'!H3201)</f>
        <v>9</v>
      </c>
      <c r="G150" s="105">
        <f>SUM('By Lot'!I3201)</f>
        <v>10</v>
      </c>
      <c r="H150" s="105">
        <f>SUM('By Lot'!J3201)</f>
        <v>10</v>
      </c>
      <c r="I150" s="105">
        <f>SUM('By Lot'!K3201)</f>
        <v>10</v>
      </c>
      <c r="J150" s="105">
        <f>SUM('By Lot'!L3201)</f>
        <v>10</v>
      </c>
      <c r="K150" s="105">
        <f>SUM('By Lot'!M3201)</f>
        <v>10</v>
      </c>
      <c r="L150" s="105">
        <f>SUM('By Lot'!N3201)</f>
        <v>10</v>
      </c>
      <c r="M150" s="106">
        <f>SUM('By Lot'!O3201)</f>
        <v>10</v>
      </c>
      <c r="N150" s="91">
        <f t="shared" si="81"/>
        <v>9</v>
      </c>
      <c r="O150" s="91">
        <f t="shared" si="82"/>
        <v>2</v>
      </c>
      <c r="P150" s="107">
        <f t="shared" si="83"/>
        <v>0.18181818181818182</v>
      </c>
      <c r="Q150" s="504"/>
    </row>
    <row r="151" spans="1:17" ht="11.25" customHeight="1">
      <c r="A151" s="13" t="s">
        <v>484</v>
      </c>
      <c r="B151" s="13" t="s">
        <v>25</v>
      </c>
      <c r="C151" s="103">
        <f>SUM('By Lot'!E3202)</f>
        <v>21</v>
      </c>
      <c r="D151" s="103">
        <f>SUM('By Lot'!F3202)</f>
        <v>17</v>
      </c>
      <c r="E151" s="91">
        <f>SUM('By Lot'!G3202)</f>
        <v>15</v>
      </c>
      <c r="F151" s="91">
        <f>SUM('By Lot'!H3202)</f>
        <v>6</v>
      </c>
      <c r="G151" s="91">
        <f>SUM('By Lot'!I3202)</f>
        <v>6</v>
      </c>
      <c r="H151" s="91">
        <f>SUM('By Lot'!J3202)</f>
        <v>6</v>
      </c>
      <c r="I151" s="91">
        <f>SUM('By Lot'!K3202)</f>
        <v>5</v>
      </c>
      <c r="J151" s="91">
        <f>SUM('By Lot'!L3202)</f>
        <v>7</v>
      </c>
      <c r="K151" s="91">
        <f>SUM('By Lot'!M3202)</f>
        <v>12</v>
      </c>
      <c r="L151" s="91">
        <f>SUM('By Lot'!N3202)</f>
        <v>11</v>
      </c>
      <c r="M151" s="108">
        <f>SUM('By Lot'!O3202)</f>
        <v>14</v>
      </c>
      <c r="N151" s="91">
        <f t="shared" si="81"/>
        <v>5</v>
      </c>
      <c r="O151" s="91">
        <f t="shared" si="82"/>
        <v>16</v>
      </c>
      <c r="P151" s="107">
        <f t="shared" si="83"/>
        <v>0.76190476190476186</v>
      </c>
      <c r="Q151" s="504"/>
    </row>
    <row r="152" spans="1:17" ht="11.25" customHeight="1">
      <c r="A152" s="13"/>
      <c r="B152" s="13" t="s">
        <v>27</v>
      </c>
      <c r="C152" s="13"/>
      <c r="D152" s="109"/>
      <c r="E152" s="504"/>
      <c r="F152" s="504"/>
      <c r="G152" s="504"/>
      <c r="H152" s="504"/>
      <c r="I152" s="504"/>
      <c r="J152" s="504"/>
      <c r="K152" s="504"/>
      <c r="L152" s="504"/>
      <c r="M152" s="110"/>
      <c r="N152" s="109"/>
      <c r="O152" s="504"/>
      <c r="P152" s="107"/>
      <c r="Q152" s="504"/>
    </row>
    <row r="153" spans="1:17" ht="11.25" customHeight="1">
      <c r="A153" s="13"/>
      <c r="B153" s="13" t="s">
        <v>31</v>
      </c>
      <c r="C153" s="13"/>
      <c r="D153" s="109"/>
      <c r="E153" s="504"/>
      <c r="F153" s="504"/>
      <c r="G153" s="504"/>
      <c r="H153" s="504"/>
      <c r="I153" s="504"/>
      <c r="J153" s="504"/>
      <c r="K153" s="504"/>
      <c r="L153" s="504"/>
      <c r="M153" s="110"/>
      <c r="N153" s="109"/>
      <c r="O153" s="504"/>
      <c r="P153" s="107"/>
      <c r="Q153" s="504"/>
    </row>
    <row r="154" spans="1:17" ht="11.25" customHeight="1">
      <c r="A154" s="13"/>
      <c r="B154" s="13" t="s">
        <v>32</v>
      </c>
      <c r="C154" s="103">
        <f>SUM('By Lot'!E3206)</f>
        <v>2</v>
      </c>
      <c r="D154" s="103">
        <f>SUM('By Lot'!F3206)</f>
        <v>2</v>
      </c>
      <c r="E154" s="91">
        <f>SUM('By Lot'!G3206)</f>
        <v>2</v>
      </c>
      <c r="F154" s="91">
        <f>SUM('By Lot'!H3206)</f>
        <v>2</v>
      </c>
      <c r="G154" s="91">
        <f>SUM('By Lot'!I3206)</f>
        <v>2</v>
      </c>
      <c r="H154" s="91">
        <f>SUM('By Lot'!J3206)</f>
        <v>2</v>
      </c>
      <c r="I154" s="91">
        <f>SUM('By Lot'!K3206)</f>
        <v>1</v>
      </c>
      <c r="J154" s="91">
        <f>SUM('By Lot'!L3206)</f>
        <v>1</v>
      </c>
      <c r="K154" s="91">
        <f>SUM('By Lot'!M3206)</f>
        <v>1</v>
      </c>
      <c r="L154" s="91">
        <f>SUM('By Lot'!N3206)</f>
        <v>2</v>
      </c>
      <c r="M154" s="108">
        <f>SUM('By Lot'!O3206)</f>
        <v>2</v>
      </c>
      <c r="N154" s="91">
        <f t="shared" ref="N154:N156" si="84">MIN(D154:M154)</f>
        <v>1</v>
      </c>
      <c r="O154" s="91">
        <f t="shared" ref="O154:O156" si="85">C154-N154</f>
        <v>1</v>
      </c>
      <c r="P154" s="107">
        <f t="shared" ref="P154:P156" si="86">O154/C154</f>
        <v>0.5</v>
      </c>
      <c r="Q154" s="504"/>
    </row>
    <row r="155" spans="1:17" ht="11.25" customHeight="1">
      <c r="A155" s="13"/>
      <c r="B155" s="13" t="s">
        <v>33</v>
      </c>
      <c r="C155" s="103">
        <f>SUM('By Lot'!E3190+'By Lot'!E3207+'By Lot'!E3208)</f>
        <v>42</v>
      </c>
      <c r="D155" s="103">
        <f>SUM('By Lot'!F3190+'By Lot'!F3207+'By Lot'!F3208)</f>
        <v>33</v>
      </c>
      <c r="E155" s="91">
        <f>SUM('By Lot'!G3190+'By Lot'!G3207+'By Lot'!G3208)</f>
        <v>30</v>
      </c>
      <c r="F155" s="91">
        <f>SUM('By Lot'!H3190+'By Lot'!H3207+'By Lot'!H3208)</f>
        <v>32</v>
      </c>
      <c r="G155" s="91">
        <f>SUM('By Lot'!I3190+'By Lot'!I3207+'By Lot'!I3208)</f>
        <v>28</v>
      </c>
      <c r="H155" s="91">
        <f>SUM('By Lot'!J3190+'By Lot'!J3207+'By Lot'!J3208)</f>
        <v>30</v>
      </c>
      <c r="I155" s="91">
        <f>SUM('By Lot'!K3190+'By Lot'!K3207+'By Lot'!K3208)</f>
        <v>30</v>
      </c>
      <c r="J155" s="91">
        <f>SUM('By Lot'!L3190+'By Lot'!L3207+'By Lot'!L3208)</f>
        <v>30</v>
      </c>
      <c r="K155" s="91">
        <f>SUM('By Lot'!M3190+'By Lot'!M3207+'By Lot'!M3208)</f>
        <v>30</v>
      </c>
      <c r="L155" s="91">
        <f>SUM('By Lot'!N3190+'By Lot'!N3207+'By Lot'!N3208)</f>
        <v>33</v>
      </c>
      <c r="M155" s="108">
        <f>SUM('By Lot'!O3190+'By Lot'!O3207+'By Lot'!O3208)</f>
        <v>35</v>
      </c>
      <c r="N155" s="91">
        <f t="shared" si="84"/>
        <v>28</v>
      </c>
      <c r="O155" s="91">
        <f t="shared" si="85"/>
        <v>14</v>
      </c>
      <c r="P155" s="107">
        <f t="shared" si="86"/>
        <v>0.33333333333333331</v>
      </c>
      <c r="Q155" s="504"/>
    </row>
    <row r="156" spans="1:17" ht="11.25" customHeight="1">
      <c r="A156" s="13"/>
      <c r="B156" s="13" t="s">
        <v>34</v>
      </c>
      <c r="C156" s="103">
        <f>SUM('By Lot'!E3196+'By Lot'!E3213)</f>
        <v>4</v>
      </c>
      <c r="D156" s="103">
        <f>SUM('By Lot'!F3196+'By Lot'!F3213)</f>
        <v>4</v>
      </c>
      <c r="E156" s="91">
        <f>SUM('By Lot'!G3196+'By Lot'!G3213)</f>
        <v>4</v>
      </c>
      <c r="F156" s="91">
        <f>SUM('By Lot'!H3196+'By Lot'!H3213)</f>
        <v>4</v>
      </c>
      <c r="G156" s="91">
        <f>SUM('By Lot'!I3196+'By Lot'!I3213)</f>
        <v>4</v>
      </c>
      <c r="H156" s="91">
        <f>SUM('By Lot'!J3196+'By Lot'!J3213)</f>
        <v>4</v>
      </c>
      <c r="I156" s="91">
        <f>SUM('By Lot'!K3196+'By Lot'!K3213)</f>
        <v>4</v>
      </c>
      <c r="J156" s="91">
        <f>SUM('By Lot'!L3196+'By Lot'!L3213)</f>
        <v>4</v>
      </c>
      <c r="K156" s="91">
        <f>SUM('By Lot'!M3196+'By Lot'!M3213)</f>
        <v>4</v>
      </c>
      <c r="L156" s="91">
        <f>SUM('By Lot'!N3196+'By Lot'!N3213)</f>
        <v>4</v>
      </c>
      <c r="M156" s="108">
        <f>SUM('By Lot'!O3196+'By Lot'!O3213)</f>
        <v>4</v>
      </c>
      <c r="N156" s="91">
        <f t="shared" si="84"/>
        <v>4</v>
      </c>
      <c r="O156" s="91">
        <f t="shared" si="85"/>
        <v>0</v>
      </c>
      <c r="P156" s="107">
        <f t="shared" si="86"/>
        <v>0</v>
      </c>
      <c r="Q156" s="504"/>
    </row>
    <row r="157" spans="1:17" ht="11.25" customHeight="1">
      <c r="A157" s="13"/>
      <c r="B157" s="13" t="s">
        <v>35</v>
      </c>
      <c r="C157" s="13"/>
      <c r="D157" s="109"/>
      <c r="E157" s="504"/>
      <c r="F157" s="504"/>
      <c r="G157" s="504"/>
      <c r="H157" s="504"/>
      <c r="I157" s="504"/>
      <c r="J157" s="504"/>
      <c r="K157" s="504"/>
      <c r="L157" s="504"/>
      <c r="M157" s="110"/>
      <c r="N157" s="109"/>
      <c r="O157" s="504"/>
      <c r="P157" s="107"/>
      <c r="Q157" s="504"/>
    </row>
    <row r="158" spans="1:17" ht="11.25" customHeight="1">
      <c r="A158" s="13"/>
      <c r="B158" s="13" t="s">
        <v>36</v>
      </c>
      <c r="C158" s="13"/>
      <c r="D158" s="109"/>
      <c r="E158" s="504"/>
      <c r="F158" s="504"/>
      <c r="G158" s="504"/>
      <c r="H158" s="504"/>
      <c r="I158" s="504"/>
      <c r="J158" s="504"/>
      <c r="K158" s="504"/>
      <c r="L158" s="504"/>
      <c r="M158" s="110"/>
      <c r="N158" s="109"/>
      <c r="O158" s="504"/>
      <c r="P158" s="107"/>
      <c r="Q158" s="504"/>
    </row>
    <row r="159" spans="1:17" ht="11.25" customHeight="1">
      <c r="A159" s="13"/>
      <c r="B159" s="13" t="s">
        <v>37</v>
      </c>
      <c r="C159" s="13"/>
      <c r="D159" s="109"/>
      <c r="E159" s="504"/>
      <c r="F159" s="504"/>
      <c r="G159" s="504"/>
      <c r="H159" s="504"/>
      <c r="I159" s="504"/>
      <c r="J159" s="504"/>
      <c r="K159" s="504"/>
      <c r="L159" s="504"/>
      <c r="M159" s="110"/>
      <c r="N159" s="109"/>
      <c r="O159" s="504"/>
      <c r="P159" s="107"/>
      <c r="Q159" s="504"/>
    </row>
    <row r="160" spans="1:17" ht="11.25" customHeight="1">
      <c r="A160" s="2"/>
      <c r="B160" s="3" t="s">
        <v>38</v>
      </c>
      <c r="C160" s="6">
        <f>SUM(C150:C159)</f>
        <v>80</v>
      </c>
      <c r="D160" s="6">
        <f t="shared" ref="D160:M160" si="87">SUM(D150:D159)</f>
        <v>67</v>
      </c>
      <c r="E160" s="70">
        <f t="shared" si="87"/>
        <v>62</v>
      </c>
      <c r="F160" s="70">
        <f t="shared" si="87"/>
        <v>53</v>
      </c>
      <c r="G160" s="70">
        <f t="shared" si="87"/>
        <v>50</v>
      </c>
      <c r="H160" s="70">
        <f t="shared" si="87"/>
        <v>52</v>
      </c>
      <c r="I160" s="70">
        <f t="shared" si="87"/>
        <v>50</v>
      </c>
      <c r="J160" s="70">
        <f t="shared" si="87"/>
        <v>52</v>
      </c>
      <c r="K160" s="70">
        <f t="shared" si="87"/>
        <v>57</v>
      </c>
      <c r="L160" s="70">
        <f t="shared" si="87"/>
        <v>60</v>
      </c>
      <c r="M160" s="27">
        <f t="shared" si="87"/>
        <v>65</v>
      </c>
      <c r="N160" s="70">
        <f>MIN(D160:M160)</f>
        <v>50</v>
      </c>
      <c r="O160" s="70">
        <f>C160-N160</f>
        <v>30</v>
      </c>
      <c r="P160" s="7">
        <f>O160/C160</f>
        <v>0.375</v>
      </c>
      <c r="Q160" s="504"/>
    </row>
    <row r="161" spans="1:17" ht="11.25" customHeight="1">
      <c r="A161" s="504"/>
      <c r="B161" s="504"/>
      <c r="C161" s="504"/>
      <c r="D161" s="504"/>
      <c r="E161" s="504"/>
      <c r="F161" s="504"/>
      <c r="G161" s="504"/>
      <c r="H161" s="504"/>
      <c r="I161" s="504"/>
      <c r="J161" s="504"/>
      <c r="K161" s="504"/>
      <c r="L161" s="504"/>
      <c r="M161" s="504"/>
      <c r="N161" s="504"/>
      <c r="O161" s="504"/>
      <c r="P161" s="504"/>
      <c r="Q161" s="504"/>
    </row>
    <row r="162" spans="1:17" ht="11.25" customHeight="1">
      <c r="A162" s="504"/>
      <c r="B162" s="504"/>
      <c r="C162" s="504"/>
      <c r="D162" s="504"/>
      <c r="E162" s="504"/>
      <c r="F162" s="504"/>
      <c r="G162" s="504"/>
      <c r="H162" s="504"/>
      <c r="I162" s="504"/>
      <c r="J162" s="504"/>
      <c r="K162" s="504"/>
      <c r="L162" s="504"/>
      <c r="M162" s="504"/>
      <c r="N162" s="504"/>
      <c r="O162" s="504"/>
      <c r="P162" s="504"/>
      <c r="Q162" s="504"/>
    </row>
    <row r="163" spans="1:17" ht="15.75" customHeight="1">
      <c r="A163" s="503"/>
      <c r="B163" s="503"/>
      <c r="C163" s="503"/>
      <c r="D163" s="503"/>
      <c r="E163" s="503"/>
      <c r="F163" s="503"/>
      <c r="G163" s="503"/>
      <c r="H163" s="503"/>
      <c r="I163" s="503"/>
      <c r="J163" s="503"/>
      <c r="K163" s="503"/>
      <c r="L163" s="503"/>
      <c r="M163" s="503"/>
      <c r="N163" s="503"/>
      <c r="O163" s="503"/>
      <c r="P163" s="503"/>
      <c r="Q163" s="503"/>
    </row>
    <row r="164" spans="1:17" ht="15.75" customHeight="1">
      <c r="A164" s="503"/>
      <c r="B164" s="503"/>
      <c r="C164" s="503"/>
      <c r="D164" s="503"/>
      <c r="E164" s="503"/>
      <c r="F164" s="503"/>
      <c r="G164" s="503"/>
      <c r="H164" s="503"/>
      <c r="I164" s="503"/>
      <c r="J164" s="503"/>
      <c r="K164" s="503"/>
      <c r="L164" s="503"/>
      <c r="M164" s="503"/>
      <c r="N164" s="503"/>
      <c r="O164" s="503"/>
      <c r="P164" s="503"/>
      <c r="Q164" s="503"/>
    </row>
    <row r="165" spans="1:17" ht="15.75" customHeight="1">
      <c r="A165" s="503"/>
      <c r="B165" s="503"/>
      <c r="C165" s="503"/>
      <c r="D165" s="503"/>
      <c r="E165" s="503"/>
      <c r="F165" s="503"/>
      <c r="G165" s="503"/>
      <c r="H165" s="503"/>
      <c r="I165" s="503"/>
      <c r="J165" s="503"/>
      <c r="K165" s="503"/>
      <c r="L165" s="503"/>
      <c r="M165" s="503"/>
      <c r="N165" s="503"/>
      <c r="O165" s="503"/>
      <c r="P165" s="503"/>
      <c r="Q165" s="503"/>
    </row>
    <row r="166" spans="1:17" ht="15.75" customHeight="1">
      <c r="A166" s="503"/>
      <c r="B166" s="503"/>
      <c r="C166" s="503"/>
      <c r="D166" s="503"/>
      <c r="E166" s="503"/>
      <c r="F166" s="503"/>
      <c r="G166" s="503"/>
      <c r="H166" s="503"/>
      <c r="I166" s="503"/>
      <c r="J166" s="503"/>
      <c r="K166" s="503"/>
      <c r="L166" s="503"/>
      <c r="M166" s="503"/>
      <c r="N166" s="503"/>
      <c r="O166" s="503"/>
      <c r="P166" s="503"/>
      <c r="Q166" s="503"/>
    </row>
    <row r="167" spans="1:17" ht="15.75" customHeight="1">
      <c r="A167" s="503"/>
      <c r="B167" s="503"/>
      <c r="C167" s="503"/>
      <c r="D167" s="503"/>
      <c r="E167" s="503"/>
      <c r="F167" s="503"/>
      <c r="G167" s="503"/>
      <c r="H167" s="503"/>
      <c r="I167" s="503"/>
      <c r="J167" s="503"/>
      <c r="K167" s="503"/>
      <c r="L167" s="503"/>
      <c r="M167" s="503"/>
      <c r="N167" s="503"/>
      <c r="O167" s="503"/>
      <c r="P167" s="503"/>
      <c r="Q167" s="503"/>
    </row>
    <row r="168" spans="1:17" ht="15.75" customHeight="1">
      <c r="A168" s="503"/>
      <c r="B168" s="503"/>
      <c r="C168" s="503"/>
      <c r="D168" s="503"/>
      <c r="E168" s="503"/>
      <c r="F168" s="503"/>
      <c r="G168" s="503"/>
      <c r="H168" s="503"/>
      <c r="I168" s="503"/>
      <c r="J168" s="503"/>
      <c r="K168" s="503"/>
      <c r="L168" s="503"/>
      <c r="M168" s="503"/>
      <c r="N168" s="503"/>
      <c r="O168" s="503"/>
      <c r="P168" s="503"/>
      <c r="Q168" s="503"/>
    </row>
    <row r="169" spans="1:17" ht="15.75" customHeight="1">
      <c r="A169" s="503"/>
      <c r="B169" s="503"/>
      <c r="C169" s="503"/>
      <c r="D169" s="503"/>
      <c r="E169" s="503"/>
      <c r="F169" s="503"/>
      <c r="G169" s="503"/>
      <c r="H169" s="503"/>
      <c r="I169" s="503"/>
      <c r="J169" s="503"/>
      <c r="K169" s="503"/>
      <c r="L169" s="503"/>
      <c r="M169" s="503"/>
      <c r="N169" s="503"/>
      <c r="O169" s="503"/>
      <c r="P169" s="503"/>
      <c r="Q169" s="503"/>
    </row>
    <row r="170" spans="1:17" ht="15.75" customHeight="1">
      <c r="A170" s="503"/>
      <c r="B170" s="503"/>
      <c r="C170" s="503"/>
      <c r="D170" s="503"/>
      <c r="E170" s="503"/>
      <c r="F170" s="503"/>
      <c r="G170" s="503"/>
      <c r="H170" s="503"/>
      <c r="I170" s="503"/>
      <c r="J170" s="503"/>
      <c r="K170" s="503"/>
      <c r="L170" s="503"/>
      <c r="M170" s="503"/>
      <c r="N170" s="503"/>
      <c r="O170" s="503"/>
      <c r="P170" s="503"/>
      <c r="Q170" s="503"/>
    </row>
    <row r="171" spans="1:17" ht="15.75" customHeight="1">
      <c r="A171" s="503"/>
      <c r="B171" s="503"/>
      <c r="C171" s="503"/>
      <c r="D171" s="503"/>
      <c r="E171" s="503"/>
      <c r="F171" s="503"/>
      <c r="G171" s="503"/>
      <c r="H171" s="503"/>
      <c r="I171" s="503"/>
      <c r="J171" s="503"/>
      <c r="K171" s="503"/>
      <c r="L171" s="503"/>
      <c r="M171" s="503"/>
      <c r="N171" s="503"/>
      <c r="O171" s="503"/>
      <c r="P171" s="503"/>
      <c r="Q171" s="503"/>
    </row>
    <row r="172" spans="1:17" ht="15.75" customHeight="1">
      <c r="A172" s="503"/>
      <c r="B172" s="503"/>
      <c r="C172" s="503"/>
      <c r="D172" s="503"/>
      <c r="E172" s="503"/>
      <c r="F172" s="503"/>
      <c r="G172" s="503"/>
      <c r="H172" s="503"/>
      <c r="I172" s="503"/>
      <c r="J172" s="503"/>
      <c r="K172" s="503"/>
      <c r="L172" s="503"/>
      <c r="M172" s="503"/>
      <c r="N172" s="503"/>
      <c r="O172" s="503"/>
      <c r="P172" s="503"/>
      <c r="Q172" s="503"/>
    </row>
    <row r="173" spans="1:17" ht="15.75" customHeight="1">
      <c r="A173" s="503"/>
      <c r="B173" s="503"/>
      <c r="C173" s="503"/>
      <c r="D173" s="503"/>
      <c r="E173" s="503"/>
      <c r="F173" s="503"/>
      <c r="G173" s="503"/>
      <c r="H173" s="503"/>
      <c r="I173" s="503"/>
      <c r="J173" s="503"/>
      <c r="K173" s="503"/>
      <c r="L173" s="503"/>
      <c r="M173" s="503"/>
      <c r="N173" s="503"/>
      <c r="O173" s="503"/>
      <c r="P173" s="503"/>
      <c r="Q173" s="503"/>
    </row>
    <row r="174" spans="1:17" ht="15.75" customHeight="1">
      <c r="A174" s="503"/>
      <c r="B174" s="503"/>
      <c r="C174" s="503"/>
      <c r="D174" s="503"/>
      <c r="E174" s="503"/>
      <c r="F174" s="503"/>
      <c r="G174" s="503"/>
      <c r="H174" s="503"/>
      <c r="I174" s="503"/>
      <c r="J174" s="503"/>
      <c r="K174" s="503"/>
      <c r="L174" s="503"/>
      <c r="M174" s="503"/>
      <c r="N174" s="503"/>
      <c r="O174" s="503"/>
      <c r="P174" s="503"/>
      <c r="Q174" s="503"/>
    </row>
    <row r="175" spans="1:17" ht="15.75" customHeight="1">
      <c r="A175" s="503"/>
      <c r="B175" s="503"/>
      <c r="C175" s="503"/>
      <c r="D175" s="503"/>
      <c r="E175" s="503"/>
      <c r="F175" s="503"/>
      <c r="G175" s="503"/>
      <c r="H175" s="503"/>
      <c r="I175" s="503"/>
      <c r="J175" s="503"/>
      <c r="K175" s="503"/>
      <c r="L175" s="503"/>
      <c r="M175" s="503"/>
      <c r="N175" s="503"/>
      <c r="O175" s="503"/>
      <c r="P175" s="503"/>
      <c r="Q175" s="503"/>
    </row>
    <row r="176" spans="1:17" ht="15.75" customHeight="1">
      <c r="A176" s="503"/>
      <c r="B176" s="503"/>
      <c r="C176" s="503"/>
      <c r="D176" s="503"/>
      <c r="E176" s="503"/>
      <c r="F176" s="503"/>
      <c r="G176" s="503"/>
      <c r="H176" s="503"/>
      <c r="I176" s="503"/>
      <c r="J176" s="503"/>
      <c r="K176" s="503"/>
      <c r="L176" s="503"/>
      <c r="M176" s="503"/>
      <c r="N176" s="503"/>
      <c r="O176" s="503"/>
      <c r="P176" s="503"/>
      <c r="Q176" s="503"/>
    </row>
    <row r="177" spans="1:17" ht="15.75" customHeight="1">
      <c r="A177" s="503"/>
      <c r="B177" s="503"/>
      <c r="C177" s="503"/>
      <c r="D177" s="503"/>
      <c r="E177" s="503"/>
      <c r="F177" s="503"/>
      <c r="G177" s="503"/>
      <c r="H177" s="503"/>
      <c r="I177" s="503"/>
      <c r="J177" s="503"/>
      <c r="K177" s="503"/>
      <c r="L177" s="503"/>
      <c r="M177" s="503"/>
      <c r="N177" s="503"/>
      <c r="O177" s="503"/>
      <c r="P177" s="503"/>
      <c r="Q177" s="503"/>
    </row>
    <row r="178" spans="1:17" ht="15.75" customHeight="1">
      <c r="A178" s="503"/>
      <c r="B178" s="503"/>
      <c r="C178" s="503"/>
      <c r="D178" s="503"/>
      <c r="E178" s="503"/>
      <c r="F178" s="503"/>
      <c r="G178" s="503"/>
      <c r="H178" s="503"/>
      <c r="I178" s="503"/>
      <c r="J178" s="503"/>
      <c r="K178" s="503"/>
      <c r="L178" s="503"/>
      <c r="M178" s="503"/>
      <c r="N178" s="503"/>
      <c r="O178" s="503"/>
      <c r="P178" s="503"/>
      <c r="Q178" s="503"/>
    </row>
    <row r="179" spans="1:17" ht="15.75" customHeight="1">
      <c r="A179" s="503"/>
      <c r="B179" s="503"/>
      <c r="C179" s="503"/>
      <c r="D179" s="503"/>
      <c r="E179" s="503"/>
      <c r="F179" s="503"/>
      <c r="G179" s="503"/>
      <c r="H179" s="503"/>
      <c r="I179" s="503"/>
      <c r="J179" s="503"/>
      <c r="K179" s="503"/>
      <c r="L179" s="503"/>
      <c r="M179" s="503"/>
      <c r="N179" s="503"/>
      <c r="O179" s="503"/>
      <c r="P179" s="503"/>
      <c r="Q179" s="503"/>
    </row>
    <row r="180" spans="1:17" ht="15.75" customHeight="1">
      <c r="A180" s="503"/>
      <c r="B180" s="503"/>
      <c r="C180" s="503"/>
      <c r="D180" s="503"/>
      <c r="E180" s="503"/>
      <c r="F180" s="503"/>
      <c r="G180" s="503"/>
      <c r="H180" s="503"/>
      <c r="I180" s="503"/>
      <c r="J180" s="503"/>
      <c r="K180" s="503"/>
      <c r="L180" s="503"/>
      <c r="M180" s="503"/>
      <c r="N180" s="503"/>
      <c r="O180" s="503"/>
      <c r="P180" s="503"/>
      <c r="Q180" s="503"/>
    </row>
    <row r="181" spans="1:17" ht="15.75" customHeight="1">
      <c r="A181" s="503"/>
      <c r="B181" s="503"/>
      <c r="C181" s="503"/>
      <c r="D181" s="503"/>
      <c r="E181" s="503"/>
      <c r="F181" s="503"/>
      <c r="G181" s="503"/>
      <c r="H181" s="503"/>
      <c r="I181" s="503"/>
      <c r="J181" s="503"/>
      <c r="K181" s="503"/>
      <c r="L181" s="503"/>
      <c r="M181" s="503"/>
      <c r="N181" s="503"/>
      <c r="O181" s="503"/>
      <c r="P181" s="503"/>
      <c r="Q181" s="503"/>
    </row>
    <row r="182" spans="1:17" ht="15.75" customHeight="1">
      <c r="A182" s="503"/>
      <c r="B182" s="503"/>
      <c r="C182" s="503"/>
      <c r="D182" s="503"/>
      <c r="E182" s="503"/>
      <c r="F182" s="503"/>
      <c r="G182" s="503"/>
      <c r="H182" s="503"/>
      <c r="I182" s="503"/>
      <c r="J182" s="503"/>
      <c r="K182" s="503"/>
      <c r="L182" s="503"/>
      <c r="M182" s="503"/>
      <c r="N182" s="503"/>
      <c r="O182" s="503"/>
      <c r="P182" s="503"/>
      <c r="Q182" s="503"/>
    </row>
    <row r="183" spans="1:17" ht="15.75" customHeight="1">
      <c r="A183" s="503"/>
      <c r="B183" s="503"/>
      <c r="C183" s="503"/>
      <c r="D183" s="503"/>
      <c r="E183" s="503"/>
      <c r="F183" s="503"/>
      <c r="G183" s="503"/>
      <c r="H183" s="503"/>
      <c r="I183" s="503"/>
      <c r="J183" s="503"/>
      <c r="K183" s="503"/>
      <c r="L183" s="503"/>
      <c r="M183" s="503"/>
      <c r="N183" s="503"/>
      <c r="O183" s="503"/>
      <c r="P183" s="503"/>
      <c r="Q183" s="503"/>
    </row>
    <row r="184" spans="1:17" ht="15.75" customHeight="1">
      <c r="A184" s="503"/>
      <c r="B184" s="503"/>
      <c r="C184" s="503"/>
      <c r="D184" s="503"/>
      <c r="E184" s="503"/>
      <c r="F184" s="503"/>
      <c r="G184" s="503"/>
      <c r="H184" s="503"/>
      <c r="I184" s="503"/>
      <c r="J184" s="503"/>
      <c r="K184" s="503"/>
      <c r="L184" s="503"/>
      <c r="M184" s="503"/>
      <c r="N184" s="503"/>
      <c r="O184" s="503"/>
      <c r="P184" s="503"/>
      <c r="Q184" s="503"/>
    </row>
    <row r="185" spans="1:17" ht="15.75" customHeight="1">
      <c r="A185" s="503"/>
      <c r="B185" s="503"/>
      <c r="C185" s="503"/>
      <c r="D185" s="503"/>
      <c r="E185" s="503"/>
      <c r="F185" s="503"/>
      <c r="G185" s="503"/>
      <c r="H185" s="503"/>
      <c r="I185" s="503"/>
      <c r="J185" s="503"/>
      <c r="K185" s="503"/>
      <c r="L185" s="503"/>
      <c r="M185" s="503"/>
      <c r="N185" s="503"/>
      <c r="O185" s="503"/>
      <c r="P185" s="503"/>
      <c r="Q185" s="503"/>
    </row>
    <row r="186" spans="1:17" ht="15.75" customHeight="1">
      <c r="A186" s="503"/>
      <c r="B186" s="503"/>
      <c r="C186" s="503"/>
      <c r="D186" s="503"/>
      <c r="E186" s="503"/>
      <c r="F186" s="503"/>
      <c r="G186" s="503"/>
      <c r="H186" s="503"/>
      <c r="I186" s="503"/>
      <c r="J186" s="503"/>
      <c r="K186" s="503"/>
      <c r="L186" s="503"/>
      <c r="M186" s="503"/>
      <c r="N186" s="503"/>
      <c r="O186" s="503"/>
      <c r="P186" s="503"/>
      <c r="Q186" s="503"/>
    </row>
    <row r="187" spans="1:17" ht="15.75" customHeight="1">
      <c r="A187" s="503"/>
      <c r="B187" s="503"/>
      <c r="C187" s="503"/>
      <c r="D187" s="503"/>
      <c r="E187" s="503"/>
      <c r="F187" s="503"/>
      <c r="G187" s="503"/>
      <c r="H187" s="503"/>
      <c r="I187" s="503"/>
      <c r="J187" s="503"/>
      <c r="K187" s="503"/>
      <c r="L187" s="503"/>
      <c r="M187" s="503"/>
      <c r="N187" s="503"/>
      <c r="O187" s="503"/>
      <c r="P187" s="503"/>
      <c r="Q187" s="503"/>
    </row>
    <row r="188" spans="1:17" ht="15.75" customHeight="1">
      <c r="A188" s="503"/>
      <c r="B188" s="503"/>
      <c r="C188" s="503"/>
      <c r="D188" s="503"/>
      <c r="E188" s="503"/>
      <c r="F188" s="503"/>
      <c r="G188" s="503"/>
      <c r="H188" s="503"/>
      <c r="I188" s="503"/>
      <c r="J188" s="503"/>
      <c r="K188" s="503"/>
      <c r="L188" s="503"/>
      <c r="M188" s="503"/>
      <c r="N188" s="503"/>
      <c r="O188" s="503"/>
      <c r="P188" s="503"/>
      <c r="Q188" s="503"/>
    </row>
    <row r="189" spans="1:17" ht="15.75" customHeight="1">
      <c r="A189" s="503"/>
      <c r="B189" s="503"/>
      <c r="C189" s="503"/>
      <c r="D189" s="503"/>
      <c r="E189" s="503"/>
      <c r="F189" s="503"/>
      <c r="G189" s="503"/>
      <c r="H189" s="503"/>
      <c r="I189" s="503"/>
      <c r="J189" s="503"/>
      <c r="K189" s="503"/>
      <c r="L189" s="503"/>
      <c r="M189" s="503"/>
      <c r="N189" s="503"/>
      <c r="O189" s="503"/>
      <c r="P189" s="503"/>
      <c r="Q189" s="503"/>
    </row>
    <row r="190" spans="1:17" ht="15.75" customHeight="1">
      <c r="A190" s="503"/>
      <c r="B190" s="503"/>
      <c r="C190" s="503"/>
      <c r="D190" s="503"/>
      <c r="E190" s="503"/>
      <c r="F190" s="503"/>
      <c r="G190" s="503"/>
      <c r="H190" s="503"/>
      <c r="I190" s="503"/>
      <c r="J190" s="503"/>
      <c r="K190" s="503"/>
      <c r="L190" s="503"/>
      <c r="M190" s="503"/>
      <c r="N190" s="503"/>
      <c r="O190" s="503"/>
      <c r="P190" s="503"/>
      <c r="Q190" s="503"/>
    </row>
    <row r="191" spans="1:17" ht="15.75" customHeight="1">
      <c r="A191" s="503"/>
      <c r="B191" s="503"/>
      <c r="C191" s="503"/>
      <c r="D191" s="503"/>
      <c r="E191" s="503"/>
      <c r="F191" s="503"/>
      <c r="G191" s="503"/>
      <c r="H191" s="503"/>
      <c r="I191" s="503"/>
      <c r="J191" s="503"/>
      <c r="K191" s="503"/>
      <c r="L191" s="503"/>
      <c r="M191" s="503"/>
      <c r="N191" s="503"/>
      <c r="O191" s="503"/>
      <c r="P191" s="503"/>
      <c r="Q191" s="503"/>
    </row>
    <row r="192" spans="1:17" ht="15.75" customHeight="1">
      <c r="A192" s="503"/>
      <c r="B192" s="503"/>
      <c r="C192" s="503"/>
      <c r="D192" s="503"/>
      <c r="E192" s="503"/>
      <c r="F192" s="503"/>
      <c r="G192" s="503"/>
      <c r="H192" s="503"/>
      <c r="I192" s="503"/>
      <c r="J192" s="503"/>
      <c r="K192" s="503"/>
      <c r="L192" s="503"/>
      <c r="M192" s="503"/>
      <c r="N192" s="503"/>
      <c r="O192" s="503"/>
      <c r="P192" s="503"/>
      <c r="Q192" s="503"/>
    </row>
    <row r="193" spans="1:17" ht="15.75" customHeight="1">
      <c r="A193" s="503"/>
      <c r="B193" s="503"/>
      <c r="C193" s="503"/>
      <c r="D193" s="503"/>
      <c r="E193" s="503"/>
      <c r="F193" s="503"/>
      <c r="G193" s="503"/>
      <c r="H193" s="503"/>
      <c r="I193" s="503"/>
      <c r="J193" s="503"/>
      <c r="K193" s="503"/>
      <c r="L193" s="503"/>
      <c r="M193" s="503"/>
      <c r="N193" s="503"/>
      <c r="O193" s="503"/>
      <c r="P193" s="503"/>
      <c r="Q193" s="503"/>
    </row>
    <row r="194" spans="1:17" ht="15.75" customHeight="1">
      <c r="A194" s="503"/>
      <c r="B194" s="503"/>
      <c r="C194" s="503"/>
      <c r="D194" s="503"/>
      <c r="E194" s="503"/>
      <c r="F194" s="503"/>
      <c r="G194" s="503"/>
      <c r="H194" s="503"/>
      <c r="I194" s="503"/>
      <c r="J194" s="503"/>
      <c r="K194" s="503"/>
      <c r="L194" s="503"/>
      <c r="M194" s="503"/>
      <c r="N194" s="503"/>
      <c r="O194" s="503"/>
      <c r="P194" s="503"/>
      <c r="Q194" s="503"/>
    </row>
    <row r="195" spans="1:17" ht="15.75" customHeight="1">
      <c r="A195" s="503"/>
      <c r="B195" s="503"/>
      <c r="C195" s="503"/>
      <c r="D195" s="503"/>
      <c r="E195" s="503"/>
      <c r="F195" s="503"/>
      <c r="G195" s="503"/>
      <c r="H195" s="503"/>
      <c r="I195" s="503"/>
      <c r="J195" s="503"/>
      <c r="K195" s="503"/>
      <c r="L195" s="503"/>
      <c r="M195" s="503"/>
      <c r="N195" s="503"/>
      <c r="O195" s="503"/>
      <c r="P195" s="503"/>
      <c r="Q195" s="503"/>
    </row>
    <row r="196" spans="1:17" ht="15.75" customHeight="1">
      <c r="A196" s="503"/>
      <c r="B196" s="503"/>
      <c r="C196" s="503"/>
      <c r="D196" s="503"/>
      <c r="E196" s="503"/>
      <c r="F196" s="503"/>
      <c r="G196" s="503"/>
      <c r="H196" s="503"/>
      <c r="I196" s="503"/>
      <c r="J196" s="503"/>
      <c r="K196" s="503"/>
      <c r="L196" s="503"/>
      <c r="M196" s="503"/>
      <c r="N196" s="503"/>
      <c r="O196" s="503"/>
      <c r="P196" s="503"/>
      <c r="Q196" s="503"/>
    </row>
    <row r="197" spans="1:17" ht="15.75" customHeight="1">
      <c r="A197" s="503"/>
      <c r="B197" s="503"/>
      <c r="C197" s="503"/>
      <c r="D197" s="503"/>
      <c r="E197" s="503"/>
      <c r="F197" s="503"/>
      <c r="G197" s="503"/>
      <c r="H197" s="503"/>
      <c r="I197" s="503"/>
      <c r="J197" s="503"/>
      <c r="K197" s="503"/>
      <c r="L197" s="503"/>
      <c r="M197" s="503"/>
      <c r="N197" s="503"/>
      <c r="O197" s="503"/>
      <c r="P197" s="503"/>
      <c r="Q197" s="503"/>
    </row>
    <row r="198" spans="1:17" ht="15.75" customHeight="1">
      <c r="A198" s="503"/>
      <c r="B198" s="503"/>
      <c r="C198" s="503"/>
      <c r="D198" s="503"/>
      <c r="E198" s="503"/>
      <c r="F198" s="503"/>
      <c r="G198" s="503"/>
      <c r="H198" s="503"/>
      <c r="I198" s="503"/>
      <c r="J198" s="503"/>
      <c r="K198" s="503"/>
      <c r="L198" s="503"/>
      <c r="M198" s="503"/>
      <c r="N198" s="503"/>
      <c r="O198" s="503"/>
      <c r="P198" s="503"/>
      <c r="Q198" s="503"/>
    </row>
    <row r="199" spans="1:17" ht="15.75" customHeight="1">
      <c r="A199" s="503"/>
      <c r="B199" s="503"/>
      <c r="C199" s="503"/>
      <c r="D199" s="503"/>
      <c r="E199" s="503"/>
      <c r="F199" s="503"/>
      <c r="G199" s="503"/>
      <c r="H199" s="503"/>
      <c r="I199" s="503"/>
      <c r="J199" s="503"/>
      <c r="K199" s="503"/>
      <c r="L199" s="503"/>
      <c r="M199" s="503"/>
      <c r="N199" s="503"/>
      <c r="O199" s="503"/>
      <c r="P199" s="503"/>
      <c r="Q199" s="503"/>
    </row>
    <row r="200" spans="1:17" ht="15.75" customHeight="1">
      <c r="A200" s="503"/>
      <c r="B200" s="503"/>
      <c r="C200" s="503"/>
      <c r="D200" s="503"/>
      <c r="E200" s="503"/>
      <c r="F200" s="503"/>
      <c r="G200" s="503"/>
      <c r="H200" s="503"/>
      <c r="I200" s="503"/>
      <c r="J200" s="503"/>
      <c r="K200" s="503"/>
      <c r="L200" s="503"/>
      <c r="M200" s="503"/>
      <c r="N200" s="503"/>
      <c r="O200" s="503"/>
      <c r="P200" s="503"/>
      <c r="Q200" s="503"/>
    </row>
    <row r="201" spans="1:17" ht="15.75" customHeight="1">
      <c r="A201" s="503"/>
      <c r="B201" s="503"/>
      <c r="C201" s="503"/>
      <c r="D201" s="503"/>
      <c r="E201" s="503"/>
      <c r="F201" s="503"/>
      <c r="G201" s="503"/>
      <c r="H201" s="503"/>
      <c r="I201" s="503"/>
      <c r="J201" s="503"/>
      <c r="K201" s="503"/>
      <c r="L201" s="503"/>
      <c r="M201" s="503"/>
      <c r="N201" s="503"/>
      <c r="O201" s="503"/>
      <c r="P201" s="503"/>
      <c r="Q201" s="503"/>
    </row>
    <row r="202" spans="1:17" ht="15.75" customHeight="1">
      <c r="A202" s="503"/>
      <c r="B202" s="503"/>
      <c r="C202" s="503"/>
      <c r="D202" s="503"/>
      <c r="E202" s="503"/>
      <c r="F202" s="503"/>
      <c r="G202" s="503"/>
      <c r="H202" s="503"/>
      <c r="I202" s="503"/>
      <c r="J202" s="503"/>
      <c r="K202" s="503"/>
      <c r="L202" s="503"/>
      <c r="M202" s="503"/>
      <c r="N202" s="503"/>
      <c r="O202" s="503"/>
      <c r="P202" s="503"/>
      <c r="Q202" s="503"/>
    </row>
    <row r="203" spans="1:17" ht="15.75" customHeight="1">
      <c r="A203" s="503"/>
      <c r="B203" s="503"/>
      <c r="C203" s="503"/>
      <c r="D203" s="503"/>
      <c r="E203" s="503"/>
      <c r="F203" s="503"/>
      <c r="G203" s="503"/>
      <c r="H203" s="503"/>
      <c r="I203" s="503"/>
      <c r="J203" s="503"/>
      <c r="K203" s="503"/>
      <c r="L203" s="503"/>
      <c r="M203" s="503"/>
      <c r="N203" s="503"/>
      <c r="O203" s="503"/>
      <c r="P203" s="503"/>
      <c r="Q203" s="503"/>
    </row>
    <row r="204" spans="1:17" ht="15.75" customHeight="1">
      <c r="A204" s="503"/>
      <c r="B204" s="503"/>
      <c r="C204" s="503"/>
      <c r="D204" s="503"/>
      <c r="E204" s="503"/>
      <c r="F204" s="503"/>
      <c r="G204" s="503"/>
      <c r="H204" s="503"/>
      <c r="I204" s="503"/>
      <c r="J204" s="503"/>
      <c r="K204" s="503"/>
      <c r="L204" s="503"/>
      <c r="M204" s="503"/>
      <c r="N204" s="503"/>
      <c r="O204" s="503"/>
      <c r="P204" s="503"/>
      <c r="Q204" s="503"/>
    </row>
    <row r="205" spans="1:17" ht="15.75" customHeight="1">
      <c r="A205" s="503"/>
      <c r="B205" s="503"/>
      <c r="C205" s="503"/>
      <c r="D205" s="503"/>
      <c r="E205" s="503"/>
      <c r="F205" s="503"/>
      <c r="G205" s="503"/>
      <c r="H205" s="503"/>
      <c r="I205" s="503"/>
      <c r="J205" s="503"/>
      <c r="K205" s="503"/>
      <c r="L205" s="503"/>
      <c r="M205" s="503"/>
      <c r="N205" s="503"/>
      <c r="O205" s="503"/>
      <c r="P205" s="503"/>
      <c r="Q205" s="503"/>
    </row>
    <row r="206" spans="1:17" ht="15.75" customHeight="1">
      <c r="A206" s="503"/>
      <c r="B206" s="503"/>
      <c r="C206" s="503"/>
      <c r="D206" s="503"/>
      <c r="E206" s="503"/>
      <c r="F206" s="503"/>
      <c r="G206" s="503"/>
      <c r="H206" s="503"/>
      <c r="I206" s="503"/>
      <c r="J206" s="503"/>
      <c r="K206" s="503"/>
      <c r="L206" s="503"/>
      <c r="M206" s="503"/>
      <c r="N206" s="503"/>
      <c r="O206" s="503"/>
      <c r="P206" s="503"/>
      <c r="Q206" s="503"/>
    </row>
    <row r="207" spans="1:17" ht="15.75" customHeight="1">
      <c r="A207" s="503"/>
      <c r="B207" s="503"/>
      <c r="C207" s="503"/>
      <c r="D207" s="503"/>
      <c r="E207" s="503"/>
      <c r="F207" s="503"/>
      <c r="G207" s="503"/>
      <c r="H207" s="503"/>
      <c r="I207" s="503"/>
      <c r="J207" s="503"/>
      <c r="K207" s="503"/>
      <c r="L207" s="503"/>
      <c r="M207" s="503"/>
      <c r="N207" s="503"/>
      <c r="O207" s="503"/>
      <c r="P207" s="503"/>
      <c r="Q207" s="503"/>
    </row>
    <row r="208" spans="1:17" ht="15.75" customHeight="1">
      <c r="A208" s="503"/>
      <c r="B208" s="503"/>
      <c r="C208" s="503"/>
      <c r="D208" s="503"/>
      <c r="E208" s="503"/>
      <c r="F208" s="503"/>
      <c r="G208" s="503"/>
      <c r="H208" s="503"/>
      <c r="I208" s="503"/>
      <c r="J208" s="503"/>
      <c r="K208" s="503"/>
      <c r="L208" s="503"/>
      <c r="M208" s="503"/>
      <c r="N208" s="503"/>
      <c r="O208" s="503"/>
      <c r="P208" s="503"/>
      <c r="Q208" s="503"/>
    </row>
    <row r="209" spans="1:17" ht="15.75" customHeight="1">
      <c r="A209" s="503"/>
      <c r="B209" s="503"/>
      <c r="C209" s="503"/>
      <c r="D209" s="503"/>
      <c r="E209" s="503"/>
      <c r="F209" s="503"/>
      <c r="G209" s="503"/>
      <c r="H209" s="503"/>
      <c r="I209" s="503"/>
      <c r="J209" s="503"/>
      <c r="K209" s="503"/>
      <c r="L209" s="503"/>
      <c r="M209" s="503"/>
      <c r="N209" s="503"/>
      <c r="O209" s="503"/>
      <c r="P209" s="503"/>
      <c r="Q209" s="503"/>
    </row>
    <row r="210" spans="1:17" ht="15.75" customHeight="1">
      <c r="A210" s="503"/>
      <c r="B210" s="503"/>
      <c r="C210" s="503"/>
      <c r="D210" s="503"/>
      <c r="E210" s="503"/>
      <c r="F210" s="503"/>
      <c r="G210" s="503"/>
      <c r="H210" s="503"/>
      <c r="I210" s="503"/>
      <c r="J210" s="503"/>
      <c r="K210" s="503"/>
      <c r="L210" s="503"/>
      <c r="M210" s="503"/>
      <c r="N210" s="503"/>
      <c r="O210" s="503"/>
      <c r="P210" s="503"/>
      <c r="Q210" s="503"/>
    </row>
    <row r="211" spans="1:17" ht="15.75" customHeight="1">
      <c r="A211" s="503"/>
      <c r="B211" s="503"/>
      <c r="C211" s="503"/>
      <c r="D211" s="503"/>
      <c r="E211" s="503"/>
      <c r="F211" s="503"/>
      <c r="G211" s="503"/>
      <c r="H211" s="503"/>
      <c r="I211" s="503"/>
      <c r="J211" s="503"/>
      <c r="K211" s="503"/>
      <c r="L211" s="503"/>
      <c r="M211" s="503"/>
      <c r="N211" s="503"/>
      <c r="O211" s="503"/>
      <c r="P211" s="503"/>
      <c r="Q211" s="503"/>
    </row>
    <row r="212" spans="1:17" ht="15.75" customHeight="1">
      <c r="A212" s="503"/>
      <c r="B212" s="503"/>
      <c r="C212" s="503"/>
      <c r="D212" s="503"/>
      <c r="E212" s="503"/>
      <c r="F212" s="503"/>
      <c r="G212" s="503"/>
      <c r="H212" s="503"/>
      <c r="I212" s="503"/>
      <c r="J212" s="503"/>
      <c r="K212" s="503"/>
      <c r="L212" s="503"/>
      <c r="M212" s="503"/>
      <c r="N212" s="503"/>
      <c r="O212" s="503"/>
      <c r="P212" s="503"/>
      <c r="Q212" s="503"/>
    </row>
    <row r="213" spans="1:17" ht="15.75" customHeight="1">
      <c r="A213" s="503"/>
      <c r="B213" s="503"/>
      <c r="C213" s="503"/>
      <c r="D213" s="503"/>
      <c r="E213" s="503"/>
      <c r="F213" s="503"/>
      <c r="G213" s="503"/>
      <c r="H213" s="503"/>
      <c r="I213" s="503"/>
      <c r="J213" s="503"/>
      <c r="K213" s="503"/>
      <c r="L213" s="503"/>
      <c r="M213" s="503"/>
      <c r="N213" s="503"/>
      <c r="O213" s="503"/>
      <c r="P213" s="503"/>
      <c r="Q213" s="503"/>
    </row>
    <row r="214" spans="1:17" ht="15.75" customHeight="1">
      <c r="A214" s="503"/>
      <c r="B214" s="503"/>
      <c r="C214" s="503"/>
      <c r="D214" s="503"/>
      <c r="E214" s="503"/>
      <c r="F214" s="503"/>
      <c r="G214" s="503"/>
      <c r="H214" s="503"/>
      <c r="I214" s="503"/>
      <c r="J214" s="503"/>
      <c r="K214" s="503"/>
      <c r="L214" s="503"/>
      <c r="M214" s="503"/>
      <c r="N214" s="503"/>
      <c r="O214" s="503"/>
      <c r="P214" s="503"/>
      <c r="Q214" s="503"/>
    </row>
    <row r="215" spans="1:17" ht="15.75" customHeight="1">
      <c r="A215" s="503"/>
      <c r="B215" s="503"/>
      <c r="C215" s="503"/>
      <c r="D215" s="503"/>
      <c r="E215" s="503"/>
      <c r="F215" s="503"/>
      <c r="G215" s="503"/>
      <c r="H215" s="503"/>
      <c r="I215" s="503"/>
      <c r="J215" s="503"/>
      <c r="K215" s="503"/>
      <c r="L215" s="503"/>
      <c r="M215" s="503"/>
      <c r="N215" s="503"/>
      <c r="O215" s="503"/>
      <c r="P215" s="503"/>
      <c r="Q215" s="503"/>
    </row>
    <row r="216" spans="1:17" ht="15.75" customHeight="1">
      <c r="A216" s="503"/>
      <c r="B216" s="503"/>
      <c r="C216" s="503"/>
      <c r="D216" s="503"/>
      <c r="E216" s="503"/>
      <c r="F216" s="503"/>
      <c r="G216" s="503"/>
      <c r="H216" s="503"/>
      <c r="I216" s="503"/>
      <c r="J216" s="503"/>
      <c r="K216" s="503"/>
      <c r="L216" s="503"/>
      <c r="M216" s="503"/>
      <c r="N216" s="503"/>
      <c r="O216" s="503"/>
      <c r="P216" s="503"/>
      <c r="Q216" s="503"/>
    </row>
    <row r="217" spans="1:17" ht="15.75" customHeight="1">
      <c r="A217" s="503"/>
      <c r="B217" s="503"/>
      <c r="C217" s="503"/>
      <c r="D217" s="503"/>
      <c r="E217" s="503"/>
      <c r="F217" s="503"/>
      <c r="G217" s="503"/>
      <c r="H217" s="503"/>
      <c r="I217" s="503"/>
      <c r="J217" s="503"/>
      <c r="K217" s="503"/>
      <c r="L217" s="503"/>
      <c r="M217" s="503"/>
      <c r="N217" s="503"/>
      <c r="O217" s="503"/>
      <c r="P217" s="503"/>
      <c r="Q217" s="503"/>
    </row>
    <row r="218" spans="1:17" ht="15.75" customHeight="1">
      <c r="A218" s="503"/>
      <c r="B218" s="503"/>
      <c r="C218" s="503"/>
      <c r="D218" s="503"/>
      <c r="E218" s="503"/>
      <c r="F218" s="503"/>
      <c r="G218" s="503"/>
      <c r="H218" s="503"/>
      <c r="I218" s="503"/>
      <c r="J218" s="503"/>
      <c r="K218" s="503"/>
      <c r="L218" s="503"/>
      <c r="M218" s="503"/>
      <c r="N218" s="503"/>
      <c r="O218" s="503"/>
      <c r="P218" s="503"/>
      <c r="Q218" s="503"/>
    </row>
    <row r="219" spans="1:17" ht="15.75" customHeight="1">
      <c r="A219" s="503"/>
      <c r="B219" s="503"/>
      <c r="C219" s="503"/>
      <c r="D219" s="503"/>
      <c r="E219" s="503"/>
      <c r="F219" s="503"/>
      <c r="G219" s="503"/>
      <c r="H219" s="503"/>
      <c r="I219" s="503"/>
      <c r="J219" s="503"/>
      <c r="K219" s="503"/>
      <c r="L219" s="503"/>
      <c r="M219" s="503"/>
      <c r="N219" s="503"/>
      <c r="O219" s="503"/>
      <c r="P219" s="503"/>
      <c r="Q219" s="503"/>
    </row>
    <row r="220" spans="1:17" ht="15.75" customHeight="1">
      <c r="A220" s="503"/>
      <c r="B220" s="503"/>
      <c r="C220" s="503"/>
      <c r="D220" s="503"/>
      <c r="E220" s="503"/>
      <c r="F220" s="503"/>
      <c r="G220" s="503"/>
      <c r="H220" s="503"/>
      <c r="I220" s="503"/>
      <c r="J220" s="503"/>
      <c r="K220" s="503"/>
      <c r="L220" s="503"/>
      <c r="M220" s="503"/>
      <c r="N220" s="503"/>
      <c r="O220" s="503"/>
      <c r="P220" s="503"/>
      <c r="Q220" s="503"/>
    </row>
    <row r="221" spans="1:17" ht="15.75" customHeight="1">
      <c r="A221" s="503"/>
      <c r="B221" s="503"/>
      <c r="C221" s="503"/>
      <c r="D221" s="503"/>
      <c r="E221" s="503"/>
      <c r="F221" s="503"/>
      <c r="G221" s="503"/>
      <c r="H221" s="503"/>
      <c r="I221" s="503"/>
      <c r="J221" s="503"/>
      <c r="K221" s="503"/>
      <c r="L221" s="503"/>
      <c r="M221" s="503"/>
      <c r="N221" s="503"/>
      <c r="O221" s="503"/>
      <c r="P221" s="503"/>
      <c r="Q221" s="503"/>
    </row>
    <row r="222" spans="1:17" ht="15.75" customHeight="1">
      <c r="A222" s="503"/>
      <c r="B222" s="503"/>
      <c r="C222" s="503"/>
      <c r="D222" s="503"/>
      <c r="E222" s="503"/>
      <c r="F222" s="503"/>
      <c r="G222" s="503"/>
      <c r="H222" s="503"/>
      <c r="I222" s="503"/>
      <c r="J222" s="503"/>
      <c r="K222" s="503"/>
      <c r="L222" s="503"/>
      <c r="M222" s="503"/>
      <c r="N222" s="503"/>
      <c r="O222" s="503"/>
      <c r="P222" s="503"/>
      <c r="Q222" s="503"/>
    </row>
    <row r="223" spans="1:17" ht="15.75" customHeight="1">
      <c r="A223" s="503"/>
      <c r="B223" s="503"/>
      <c r="C223" s="503"/>
      <c r="D223" s="503"/>
      <c r="E223" s="503"/>
      <c r="F223" s="503"/>
      <c r="G223" s="503"/>
      <c r="H223" s="503"/>
      <c r="I223" s="503"/>
      <c r="J223" s="503"/>
      <c r="K223" s="503"/>
      <c r="L223" s="503"/>
      <c r="M223" s="503"/>
      <c r="N223" s="503"/>
      <c r="O223" s="503"/>
      <c r="P223" s="503"/>
      <c r="Q223" s="503"/>
    </row>
    <row r="224" spans="1:17" ht="15.75" customHeight="1">
      <c r="A224" s="503"/>
      <c r="B224" s="503"/>
      <c r="C224" s="503"/>
      <c r="D224" s="503"/>
      <c r="E224" s="503"/>
      <c r="F224" s="503"/>
      <c r="G224" s="503"/>
      <c r="H224" s="503"/>
      <c r="I224" s="503"/>
      <c r="J224" s="503"/>
      <c r="K224" s="503"/>
      <c r="L224" s="503"/>
      <c r="M224" s="503"/>
      <c r="N224" s="503"/>
      <c r="O224" s="503"/>
      <c r="P224" s="503"/>
      <c r="Q224" s="503"/>
    </row>
    <row r="225" spans="1:17" ht="15.75" customHeight="1">
      <c r="A225" s="503"/>
      <c r="B225" s="503"/>
      <c r="C225" s="503"/>
      <c r="D225" s="503"/>
      <c r="E225" s="503"/>
      <c r="F225" s="503"/>
      <c r="G225" s="503"/>
      <c r="H225" s="503"/>
      <c r="I225" s="503"/>
      <c r="J225" s="503"/>
      <c r="K225" s="503"/>
      <c r="L225" s="503"/>
      <c r="M225" s="503"/>
      <c r="N225" s="503"/>
      <c r="O225" s="503"/>
      <c r="P225" s="503"/>
      <c r="Q225" s="503"/>
    </row>
    <row r="226" spans="1:17" ht="15.75" customHeight="1">
      <c r="A226" s="503"/>
      <c r="B226" s="503"/>
      <c r="C226" s="503"/>
      <c r="D226" s="503"/>
      <c r="E226" s="503"/>
      <c r="F226" s="503"/>
      <c r="G226" s="503"/>
      <c r="H226" s="503"/>
      <c r="I226" s="503"/>
      <c r="J226" s="503"/>
      <c r="K226" s="503"/>
      <c r="L226" s="503"/>
      <c r="M226" s="503"/>
      <c r="N226" s="503"/>
      <c r="O226" s="503"/>
      <c r="P226" s="503"/>
      <c r="Q226" s="503"/>
    </row>
    <row r="227" spans="1:17" ht="15.75" customHeight="1">
      <c r="A227" s="503"/>
      <c r="B227" s="503"/>
      <c r="C227" s="503"/>
      <c r="D227" s="503"/>
      <c r="E227" s="503"/>
      <c r="F227" s="503"/>
      <c r="G227" s="503"/>
      <c r="H227" s="503"/>
      <c r="I227" s="503"/>
      <c r="J227" s="503"/>
      <c r="K227" s="503"/>
      <c r="L227" s="503"/>
      <c r="M227" s="503"/>
      <c r="N227" s="503"/>
      <c r="O227" s="503"/>
      <c r="P227" s="503"/>
      <c r="Q227" s="503"/>
    </row>
    <row r="228" spans="1:17" ht="15.75" customHeight="1">
      <c r="A228" s="503"/>
      <c r="B228" s="503"/>
      <c r="C228" s="503"/>
      <c r="D228" s="503"/>
      <c r="E228" s="503"/>
      <c r="F228" s="503"/>
      <c r="G228" s="503"/>
      <c r="H228" s="503"/>
      <c r="I228" s="503"/>
      <c r="J228" s="503"/>
      <c r="K228" s="503"/>
      <c r="L228" s="503"/>
      <c r="M228" s="503"/>
      <c r="N228" s="503"/>
      <c r="O228" s="503"/>
      <c r="P228" s="503"/>
      <c r="Q228" s="503"/>
    </row>
    <row r="229" spans="1:17" ht="15.75" customHeight="1">
      <c r="A229" s="503"/>
      <c r="B229" s="503"/>
      <c r="C229" s="503"/>
      <c r="D229" s="503"/>
      <c r="E229" s="503"/>
      <c r="F229" s="503"/>
      <c r="G229" s="503"/>
      <c r="H229" s="503"/>
      <c r="I229" s="503"/>
      <c r="J229" s="503"/>
      <c r="K229" s="503"/>
      <c r="L229" s="503"/>
      <c r="M229" s="503"/>
      <c r="N229" s="503"/>
      <c r="O229" s="503"/>
      <c r="P229" s="503"/>
      <c r="Q229" s="503"/>
    </row>
    <row r="230" spans="1:17" ht="15.75" customHeight="1">
      <c r="A230" s="503"/>
      <c r="B230" s="503"/>
      <c r="C230" s="503"/>
      <c r="D230" s="503"/>
      <c r="E230" s="503"/>
      <c r="F230" s="503"/>
      <c r="G230" s="503"/>
      <c r="H230" s="503"/>
      <c r="I230" s="503"/>
      <c r="J230" s="503"/>
      <c r="K230" s="503"/>
      <c r="L230" s="503"/>
      <c r="M230" s="503"/>
      <c r="N230" s="503"/>
      <c r="O230" s="503"/>
      <c r="P230" s="503"/>
      <c r="Q230" s="503"/>
    </row>
    <row r="231" spans="1:17" ht="15.75" customHeight="1">
      <c r="A231" s="503"/>
      <c r="B231" s="503"/>
      <c r="C231" s="503"/>
      <c r="D231" s="503"/>
      <c r="E231" s="503"/>
      <c r="F231" s="503"/>
      <c r="G231" s="503"/>
      <c r="H231" s="503"/>
      <c r="I231" s="503"/>
      <c r="J231" s="503"/>
      <c r="K231" s="503"/>
      <c r="L231" s="503"/>
      <c r="M231" s="503"/>
      <c r="N231" s="503"/>
      <c r="O231" s="503"/>
      <c r="P231" s="503"/>
      <c r="Q231" s="503"/>
    </row>
    <row r="232" spans="1:17" ht="15.75" customHeight="1">
      <c r="A232" s="503"/>
      <c r="B232" s="503"/>
      <c r="C232" s="503"/>
      <c r="D232" s="503"/>
      <c r="E232" s="503"/>
      <c r="F232" s="503"/>
      <c r="G232" s="503"/>
      <c r="H232" s="503"/>
      <c r="I232" s="503"/>
      <c r="J232" s="503"/>
      <c r="K232" s="503"/>
      <c r="L232" s="503"/>
      <c r="M232" s="503"/>
      <c r="N232" s="503"/>
      <c r="O232" s="503"/>
      <c r="P232" s="503"/>
      <c r="Q232" s="503"/>
    </row>
    <row r="233" spans="1:17" ht="15.75" customHeight="1">
      <c r="A233" s="503"/>
      <c r="B233" s="503"/>
      <c r="C233" s="503"/>
      <c r="D233" s="503"/>
      <c r="E233" s="503"/>
      <c r="F233" s="503"/>
      <c r="G233" s="503"/>
      <c r="H233" s="503"/>
      <c r="I233" s="503"/>
      <c r="J233" s="503"/>
      <c r="K233" s="503"/>
      <c r="L233" s="503"/>
      <c r="M233" s="503"/>
      <c r="N233" s="503"/>
      <c r="O233" s="503"/>
      <c r="P233" s="503"/>
      <c r="Q233" s="503"/>
    </row>
    <row r="234" spans="1:17" ht="15.75" customHeight="1">
      <c r="A234" s="503"/>
      <c r="B234" s="503"/>
      <c r="C234" s="503"/>
      <c r="D234" s="503"/>
      <c r="E234" s="503"/>
      <c r="F234" s="503"/>
      <c r="G234" s="503"/>
      <c r="H234" s="503"/>
      <c r="I234" s="503"/>
      <c r="J234" s="503"/>
      <c r="K234" s="503"/>
      <c r="L234" s="503"/>
      <c r="M234" s="503"/>
      <c r="N234" s="503"/>
      <c r="O234" s="503"/>
      <c r="P234" s="503"/>
      <c r="Q234" s="503"/>
    </row>
    <row r="235" spans="1:17" ht="15.75" customHeight="1">
      <c r="A235" s="503"/>
      <c r="B235" s="503"/>
      <c r="C235" s="503"/>
      <c r="D235" s="503"/>
      <c r="E235" s="503"/>
      <c r="F235" s="503"/>
      <c r="G235" s="503"/>
      <c r="H235" s="503"/>
      <c r="I235" s="503"/>
      <c r="J235" s="503"/>
      <c r="K235" s="503"/>
      <c r="L235" s="503"/>
      <c r="M235" s="503"/>
      <c r="N235" s="503"/>
      <c r="O235" s="503"/>
      <c r="P235" s="503"/>
      <c r="Q235" s="503"/>
    </row>
    <row r="236" spans="1:17" ht="15.75" customHeight="1">
      <c r="A236" s="503"/>
      <c r="B236" s="503"/>
      <c r="C236" s="503"/>
      <c r="D236" s="503"/>
      <c r="E236" s="503"/>
      <c r="F236" s="503"/>
      <c r="G236" s="503"/>
      <c r="H236" s="503"/>
      <c r="I236" s="503"/>
      <c r="J236" s="503"/>
      <c r="K236" s="503"/>
      <c r="L236" s="503"/>
      <c r="M236" s="503"/>
      <c r="N236" s="503"/>
      <c r="O236" s="503"/>
      <c r="P236" s="503"/>
      <c r="Q236" s="503"/>
    </row>
    <row r="237" spans="1:17" ht="15.75" customHeight="1">
      <c r="A237" s="503"/>
      <c r="B237" s="503"/>
      <c r="C237" s="503"/>
      <c r="D237" s="503"/>
      <c r="E237" s="503"/>
      <c r="F237" s="503"/>
      <c r="G237" s="503"/>
      <c r="H237" s="503"/>
      <c r="I237" s="503"/>
      <c r="J237" s="503"/>
      <c r="K237" s="503"/>
      <c r="L237" s="503"/>
      <c r="M237" s="503"/>
      <c r="N237" s="503"/>
      <c r="O237" s="503"/>
      <c r="P237" s="503"/>
      <c r="Q237" s="503"/>
    </row>
    <row r="238" spans="1:17" ht="15.75" customHeight="1">
      <c r="A238" s="503"/>
      <c r="B238" s="503"/>
      <c r="C238" s="503"/>
      <c r="D238" s="503"/>
      <c r="E238" s="503"/>
      <c r="F238" s="503"/>
      <c r="G238" s="503"/>
      <c r="H238" s="503"/>
      <c r="I238" s="503"/>
      <c r="J238" s="503"/>
      <c r="K238" s="503"/>
      <c r="L238" s="503"/>
      <c r="M238" s="503"/>
      <c r="N238" s="503"/>
      <c r="O238" s="503"/>
      <c r="P238" s="503"/>
      <c r="Q238" s="503"/>
    </row>
    <row r="239" spans="1:17" ht="15.75" customHeight="1">
      <c r="A239" s="503"/>
      <c r="B239" s="503"/>
      <c r="C239" s="503"/>
      <c r="D239" s="503"/>
      <c r="E239" s="503"/>
      <c r="F239" s="503"/>
      <c r="G239" s="503"/>
      <c r="H239" s="503"/>
      <c r="I239" s="503"/>
      <c r="J239" s="503"/>
      <c r="K239" s="503"/>
      <c r="L239" s="503"/>
      <c r="M239" s="503"/>
      <c r="N239" s="503"/>
      <c r="O239" s="503"/>
      <c r="P239" s="503"/>
      <c r="Q239" s="503"/>
    </row>
    <row r="240" spans="1:17" ht="15.75" customHeight="1">
      <c r="A240" s="503"/>
      <c r="B240" s="503"/>
      <c r="C240" s="503"/>
      <c r="D240" s="503"/>
      <c r="E240" s="503"/>
      <c r="F240" s="503"/>
      <c r="G240" s="503"/>
      <c r="H240" s="503"/>
      <c r="I240" s="503"/>
      <c r="J240" s="503"/>
      <c r="K240" s="503"/>
      <c r="L240" s="503"/>
      <c r="M240" s="503"/>
      <c r="N240" s="503"/>
      <c r="O240" s="503"/>
      <c r="P240" s="503"/>
      <c r="Q240" s="503"/>
    </row>
    <row r="241" spans="1:17" ht="15.75" customHeight="1">
      <c r="A241" s="503"/>
      <c r="B241" s="503"/>
      <c r="C241" s="503"/>
      <c r="D241" s="503"/>
      <c r="E241" s="503"/>
      <c r="F241" s="503"/>
      <c r="G241" s="503"/>
      <c r="H241" s="503"/>
      <c r="I241" s="503"/>
      <c r="J241" s="503"/>
      <c r="K241" s="503"/>
      <c r="L241" s="503"/>
      <c r="M241" s="503"/>
      <c r="N241" s="503"/>
      <c r="O241" s="503"/>
      <c r="P241" s="503"/>
      <c r="Q241" s="503"/>
    </row>
    <row r="242" spans="1:17" ht="15.75" customHeight="1">
      <c r="A242" s="503"/>
      <c r="B242" s="503"/>
      <c r="C242" s="503"/>
      <c r="D242" s="503"/>
      <c r="E242" s="503"/>
      <c r="F242" s="503"/>
      <c r="G242" s="503"/>
      <c r="H242" s="503"/>
      <c r="I242" s="503"/>
      <c r="J242" s="503"/>
      <c r="K242" s="503"/>
      <c r="L242" s="503"/>
      <c r="M242" s="503"/>
      <c r="N242" s="503"/>
      <c r="O242" s="503"/>
      <c r="P242" s="503"/>
      <c r="Q242" s="503"/>
    </row>
    <row r="243" spans="1:17" ht="15.75" customHeight="1">
      <c r="A243" s="503"/>
      <c r="B243" s="503"/>
      <c r="C243" s="503"/>
      <c r="D243" s="503"/>
      <c r="E243" s="503"/>
      <c r="F243" s="503"/>
      <c r="G243" s="503"/>
      <c r="H243" s="503"/>
      <c r="I243" s="503"/>
      <c r="J243" s="503"/>
      <c r="K243" s="503"/>
      <c r="L243" s="503"/>
      <c r="M243" s="503"/>
      <c r="N243" s="503"/>
      <c r="O243" s="503"/>
      <c r="P243" s="503"/>
      <c r="Q243" s="503"/>
    </row>
    <row r="244" spans="1:17" ht="15.75" customHeight="1">
      <c r="A244" s="503"/>
      <c r="B244" s="503"/>
      <c r="C244" s="503"/>
      <c r="D244" s="503"/>
      <c r="E244" s="503"/>
      <c r="F244" s="503"/>
      <c r="G244" s="503"/>
      <c r="H244" s="503"/>
      <c r="I244" s="503"/>
      <c r="J244" s="503"/>
      <c r="K244" s="503"/>
      <c r="L244" s="503"/>
      <c r="M244" s="503"/>
      <c r="N244" s="503"/>
      <c r="O244" s="503"/>
      <c r="P244" s="503"/>
      <c r="Q244" s="503"/>
    </row>
    <row r="245" spans="1:17" ht="15.75" customHeight="1">
      <c r="A245" s="503"/>
      <c r="B245" s="503"/>
      <c r="C245" s="503"/>
      <c r="D245" s="503"/>
      <c r="E245" s="503"/>
      <c r="F245" s="503"/>
      <c r="G245" s="503"/>
      <c r="H245" s="503"/>
      <c r="I245" s="503"/>
      <c r="J245" s="503"/>
      <c r="K245" s="503"/>
      <c r="L245" s="503"/>
      <c r="M245" s="503"/>
      <c r="N245" s="503"/>
      <c r="O245" s="503"/>
      <c r="P245" s="503"/>
      <c r="Q245" s="503"/>
    </row>
    <row r="246" spans="1:17" ht="15.75" customHeight="1">
      <c r="A246" s="503"/>
      <c r="B246" s="503"/>
      <c r="C246" s="503"/>
      <c r="D246" s="503"/>
      <c r="E246" s="503"/>
      <c r="F246" s="503"/>
      <c r="G246" s="503"/>
      <c r="H246" s="503"/>
      <c r="I246" s="503"/>
      <c r="J246" s="503"/>
      <c r="K246" s="503"/>
      <c r="L246" s="503"/>
      <c r="M246" s="503"/>
      <c r="N246" s="503"/>
      <c r="O246" s="503"/>
      <c r="P246" s="503"/>
      <c r="Q246" s="503"/>
    </row>
    <row r="247" spans="1:17" ht="15.75" customHeight="1">
      <c r="A247" s="503"/>
      <c r="B247" s="503"/>
      <c r="C247" s="503"/>
      <c r="D247" s="503"/>
      <c r="E247" s="503"/>
      <c r="F247" s="503"/>
      <c r="G247" s="503"/>
      <c r="H247" s="503"/>
      <c r="I247" s="503"/>
      <c r="J247" s="503"/>
      <c r="K247" s="503"/>
      <c r="L247" s="503"/>
      <c r="M247" s="503"/>
      <c r="N247" s="503"/>
      <c r="O247" s="503"/>
      <c r="P247" s="503"/>
      <c r="Q247" s="503"/>
    </row>
    <row r="248" spans="1:17" ht="15.75" customHeight="1">
      <c r="A248" s="503"/>
      <c r="B248" s="503"/>
      <c r="C248" s="503"/>
      <c r="D248" s="503"/>
      <c r="E248" s="503"/>
      <c r="F248" s="503"/>
      <c r="G248" s="503"/>
      <c r="H248" s="503"/>
      <c r="I248" s="503"/>
      <c r="J248" s="503"/>
      <c r="K248" s="503"/>
      <c r="L248" s="503"/>
      <c r="M248" s="503"/>
      <c r="N248" s="503"/>
      <c r="O248" s="503"/>
      <c r="P248" s="503"/>
      <c r="Q248" s="503"/>
    </row>
    <row r="249" spans="1:17" ht="15.75" customHeight="1">
      <c r="A249" s="503"/>
      <c r="B249" s="503"/>
      <c r="C249" s="503"/>
      <c r="D249" s="503"/>
      <c r="E249" s="503"/>
      <c r="F249" s="503"/>
      <c r="G249" s="503"/>
      <c r="H249" s="503"/>
      <c r="I249" s="503"/>
      <c r="J249" s="503"/>
      <c r="K249" s="503"/>
      <c r="L249" s="503"/>
      <c r="M249" s="503"/>
      <c r="N249" s="503"/>
      <c r="O249" s="503"/>
      <c r="P249" s="503"/>
      <c r="Q249" s="503"/>
    </row>
    <row r="250" spans="1:17" ht="15.75" customHeight="1">
      <c r="A250" s="503"/>
      <c r="B250" s="503"/>
      <c r="C250" s="503"/>
      <c r="D250" s="503"/>
      <c r="E250" s="503"/>
      <c r="F250" s="503"/>
      <c r="G250" s="503"/>
      <c r="H250" s="503"/>
      <c r="I250" s="503"/>
      <c r="J250" s="503"/>
      <c r="K250" s="503"/>
      <c r="L250" s="503"/>
      <c r="M250" s="503"/>
      <c r="N250" s="503"/>
      <c r="O250" s="503"/>
      <c r="P250" s="503"/>
      <c r="Q250" s="503"/>
    </row>
    <row r="251" spans="1:17" ht="15.75" customHeight="1">
      <c r="A251" s="503"/>
      <c r="B251" s="503"/>
      <c r="C251" s="503"/>
      <c r="D251" s="503"/>
      <c r="E251" s="503"/>
      <c r="F251" s="503"/>
      <c r="G251" s="503"/>
      <c r="H251" s="503"/>
      <c r="I251" s="503"/>
      <c r="J251" s="503"/>
      <c r="K251" s="503"/>
      <c r="L251" s="503"/>
      <c r="M251" s="503"/>
      <c r="N251" s="503"/>
      <c r="O251" s="503"/>
      <c r="P251" s="503"/>
      <c r="Q251" s="503"/>
    </row>
    <row r="252" spans="1:17" ht="15.75" customHeight="1">
      <c r="A252" s="503"/>
      <c r="B252" s="503"/>
      <c r="C252" s="503"/>
      <c r="D252" s="503"/>
      <c r="E252" s="503"/>
      <c r="F252" s="503"/>
      <c r="G252" s="503"/>
      <c r="H252" s="503"/>
      <c r="I252" s="503"/>
      <c r="J252" s="503"/>
      <c r="K252" s="503"/>
      <c r="L252" s="503"/>
      <c r="M252" s="503"/>
      <c r="N252" s="503"/>
      <c r="O252" s="503"/>
      <c r="P252" s="503"/>
      <c r="Q252" s="503"/>
    </row>
    <row r="253" spans="1:17" ht="15.75" customHeight="1">
      <c r="A253" s="503"/>
      <c r="B253" s="503"/>
      <c r="C253" s="503"/>
      <c r="D253" s="503"/>
      <c r="E253" s="503"/>
      <c r="F253" s="503"/>
      <c r="G253" s="503"/>
      <c r="H253" s="503"/>
      <c r="I253" s="503"/>
      <c r="J253" s="503"/>
      <c r="K253" s="503"/>
      <c r="L253" s="503"/>
      <c r="M253" s="503"/>
      <c r="N253" s="503"/>
      <c r="O253" s="503"/>
      <c r="P253" s="503"/>
      <c r="Q253" s="503"/>
    </row>
    <row r="254" spans="1:17" ht="15.75" customHeight="1">
      <c r="A254" s="503"/>
      <c r="B254" s="503"/>
      <c r="C254" s="503"/>
      <c r="D254" s="503"/>
      <c r="E254" s="503"/>
      <c r="F254" s="503"/>
      <c r="G254" s="503"/>
      <c r="H254" s="503"/>
      <c r="I254" s="503"/>
      <c r="J254" s="503"/>
      <c r="K254" s="503"/>
      <c r="L254" s="503"/>
      <c r="M254" s="503"/>
      <c r="N254" s="503"/>
      <c r="O254" s="503"/>
      <c r="P254" s="503"/>
      <c r="Q254" s="503"/>
    </row>
    <row r="255" spans="1:17" ht="15.75" customHeight="1">
      <c r="A255" s="503"/>
      <c r="B255" s="503"/>
      <c r="C255" s="503"/>
      <c r="D255" s="503"/>
      <c r="E255" s="503"/>
      <c r="F255" s="503"/>
      <c r="G255" s="503"/>
      <c r="H255" s="503"/>
      <c r="I255" s="503"/>
      <c r="J255" s="503"/>
      <c r="K255" s="503"/>
      <c r="L255" s="503"/>
      <c r="M255" s="503"/>
      <c r="N255" s="503"/>
      <c r="O255" s="503"/>
      <c r="P255" s="503"/>
      <c r="Q255" s="503"/>
    </row>
    <row r="256" spans="1:17" ht="15.75" customHeight="1">
      <c r="A256" s="503"/>
      <c r="B256" s="503"/>
      <c r="C256" s="503"/>
      <c r="D256" s="503"/>
      <c r="E256" s="503"/>
      <c r="F256" s="503"/>
      <c r="G256" s="503"/>
      <c r="H256" s="503"/>
      <c r="I256" s="503"/>
      <c r="J256" s="503"/>
      <c r="K256" s="503"/>
      <c r="L256" s="503"/>
      <c r="M256" s="503"/>
      <c r="N256" s="503"/>
      <c r="O256" s="503"/>
      <c r="P256" s="503"/>
      <c r="Q256" s="503"/>
    </row>
    <row r="257" spans="1:17" ht="15.75" customHeight="1">
      <c r="A257" s="503"/>
      <c r="B257" s="503"/>
      <c r="C257" s="503"/>
      <c r="D257" s="503"/>
      <c r="E257" s="503"/>
      <c r="F257" s="503"/>
      <c r="G257" s="503"/>
      <c r="H257" s="503"/>
      <c r="I257" s="503"/>
      <c r="J257" s="503"/>
      <c r="K257" s="503"/>
      <c r="L257" s="503"/>
      <c r="M257" s="503"/>
      <c r="N257" s="503"/>
      <c r="O257" s="503"/>
      <c r="P257" s="503"/>
      <c r="Q257" s="503"/>
    </row>
    <row r="258" spans="1:17" ht="15.75" customHeight="1">
      <c r="A258" s="503"/>
      <c r="B258" s="503"/>
      <c r="C258" s="503"/>
      <c r="D258" s="503"/>
      <c r="E258" s="503"/>
      <c r="F258" s="503"/>
      <c r="G258" s="503"/>
      <c r="H258" s="503"/>
      <c r="I258" s="503"/>
      <c r="J258" s="503"/>
      <c r="K258" s="503"/>
      <c r="L258" s="503"/>
      <c r="M258" s="503"/>
      <c r="N258" s="503"/>
      <c r="O258" s="503"/>
      <c r="P258" s="503"/>
      <c r="Q258" s="503"/>
    </row>
    <row r="259" spans="1:17" ht="15.75" customHeight="1">
      <c r="A259" s="503"/>
      <c r="B259" s="503"/>
      <c r="C259" s="503"/>
      <c r="D259" s="503"/>
      <c r="E259" s="503"/>
      <c r="F259" s="503"/>
      <c r="G259" s="503"/>
      <c r="H259" s="503"/>
      <c r="I259" s="503"/>
      <c r="J259" s="503"/>
      <c r="K259" s="503"/>
      <c r="L259" s="503"/>
      <c r="M259" s="503"/>
      <c r="N259" s="503"/>
      <c r="O259" s="503"/>
      <c r="P259" s="503"/>
      <c r="Q259" s="503"/>
    </row>
    <row r="260" spans="1:17" ht="15.75" customHeight="1">
      <c r="A260" s="503"/>
      <c r="B260" s="503"/>
      <c r="C260" s="503"/>
      <c r="D260" s="503"/>
      <c r="E260" s="503"/>
      <c r="F260" s="503"/>
      <c r="G260" s="503"/>
      <c r="H260" s="503"/>
      <c r="I260" s="503"/>
      <c r="J260" s="503"/>
      <c r="K260" s="503"/>
      <c r="L260" s="503"/>
      <c r="M260" s="503"/>
      <c r="N260" s="503"/>
      <c r="O260" s="503"/>
      <c r="P260" s="503"/>
      <c r="Q260" s="503"/>
    </row>
    <row r="261" spans="1:17" ht="15.75" customHeight="1">
      <c r="A261" s="503"/>
      <c r="B261" s="503"/>
      <c r="C261" s="503"/>
      <c r="D261" s="503"/>
      <c r="E261" s="503"/>
      <c r="F261" s="503"/>
      <c r="G261" s="503"/>
      <c r="H261" s="503"/>
      <c r="I261" s="503"/>
      <c r="J261" s="503"/>
      <c r="K261" s="503"/>
      <c r="L261" s="503"/>
      <c r="M261" s="503"/>
      <c r="N261" s="503"/>
      <c r="O261" s="503"/>
      <c r="P261" s="503"/>
      <c r="Q261" s="503"/>
    </row>
    <row r="262" spans="1:17" ht="15.75" customHeight="1">
      <c r="A262" s="503"/>
      <c r="B262" s="503"/>
      <c r="C262" s="503"/>
      <c r="D262" s="503"/>
      <c r="E262" s="503"/>
      <c r="F262" s="503"/>
      <c r="G262" s="503"/>
      <c r="H262" s="503"/>
      <c r="I262" s="503"/>
      <c r="J262" s="503"/>
      <c r="K262" s="503"/>
      <c r="L262" s="503"/>
      <c r="M262" s="503"/>
      <c r="N262" s="503"/>
      <c r="O262" s="503"/>
      <c r="P262" s="503"/>
      <c r="Q262" s="503"/>
    </row>
    <row r="263" spans="1:17" ht="15.75" customHeight="1">
      <c r="A263" s="503"/>
      <c r="B263" s="503"/>
      <c r="C263" s="503"/>
      <c r="D263" s="503"/>
      <c r="E263" s="503"/>
      <c r="F263" s="503"/>
      <c r="G263" s="503"/>
      <c r="H263" s="503"/>
      <c r="I263" s="503"/>
      <c r="J263" s="503"/>
      <c r="K263" s="503"/>
      <c r="L263" s="503"/>
      <c r="M263" s="503"/>
      <c r="N263" s="503"/>
      <c r="O263" s="503"/>
      <c r="P263" s="503"/>
      <c r="Q263" s="503"/>
    </row>
    <row r="264" spans="1:17" ht="15.75" customHeight="1">
      <c r="A264" s="503"/>
      <c r="B264" s="503"/>
      <c r="C264" s="503"/>
      <c r="D264" s="503"/>
      <c r="E264" s="503"/>
      <c r="F264" s="503"/>
      <c r="G264" s="503"/>
      <c r="H264" s="503"/>
      <c r="I264" s="503"/>
      <c r="J264" s="503"/>
      <c r="K264" s="503"/>
      <c r="L264" s="503"/>
      <c r="M264" s="503"/>
      <c r="N264" s="503"/>
      <c r="O264" s="503"/>
      <c r="P264" s="503"/>
      <c r="Q264" s="503"/>
    </row>
    <row r="265" spans="1:17" ht="15.75" customHeight="1">
      <c r="A265" s="503"/>
      <c r="B265" s="503"/>
      <c r="C265" s="503"/>
      <c r="D265" s="503"/>
      <c r="E265" s="503"/>
      <c r="F265" s="503"/>
      <c r="G265" s="503"/>
      <c r="H265" s="503"/>
      <c r="I265" s="503"/>
      <c r="J265" s="503"/>
      <c r="K265" s="503"/>
      <c r="L265" s="503"/>
      <c r="M265" s="503"/>
      <c r="N265" s="503"/>
      <c r="O265" s="503"/>
      <c r="P265" s="503"/>
      <c r="Q265" s="503"/>
    </row>
    <row r="266" spans="1:17" ht="15.75" customHeight="1">
      <c r="A266" s="503"/>
      <c r="B266" s="503"/>
      <c r="C266" s="503"/>
      <c r="D266" s="503"/>
      <c r="E266" s="503"/>
      <c r="F266" s="503"/>
      <c r="G266" s="503"/>
      <c r="H266" s="503"/>
      <c r="I266" s="503"/>
      <c r="J266" s="503"/>
      <c r="K266" s="503"/>
      <c r="L266" s="503"/>
      <c r="M266" s="503"/>
      <c r="N266" s="503"/>
      <c r="O266" s="503"/>
      <c r="P266" s="503"/>
      <c r="Q266" s="503"/>
    </row>
    <row r="267" spans="1:17" ht="15.75" customHeight="1">
      <c r="A267" s="503"/>
      <c r="B267" s="503"/>
      <c r="C267" s="503"/>
      <c r="D267" s="503"/>
      <c r="E267" s="503"/>
      <c r="F267" s="503"/>
      <c r="G267" s="503"/>
      <c r="H267" s="503"/>
      <c r="I267" s="503"/>
      <c r="J267" s="503"/>
      <c r="K267" s="503"/>
      <c r="L267" s="503"/>
      <c r="M267" s="503"/>
      <c r="N267" s="503"/>
      <c r="O267" s="503"/>
      <c r="P267" s="503"/>
      <c r="Q267" s="503"/>
    </row>
    <row r="268" spans="1:17" ht="15.75" customHeight="1">
      <c r="A268" s="503"/>
      <c r="B268" s="503"/>
      <c r="C268" s="503"/>
      <c r="D268" s="503"/>
      <c r="E268" s="503"/>
      <c r="F268" s="503"/>
      <c r="G268" s="503"/>
      <c r="H268" s="503"/>
      <c r="I268" s="503"/>
      <c r="J268" s="503"/>
      <c r="K268" s="503"/>
      <c r="L268" s="503"/>
      <c r="M268" s="503"/>
      <c r="N268" s="503"/>
      <c r="O268" s="503"/>
      <c r="P268" s="503"/>
      <c r="Q268" s="503"/>
    </row>
    <row r="269" spans="1:17" ht="15.75" customHeight="1">
      <c r="A269" s="503"/>
      <c r="B269" s="503"/>
      <c r="C269" s="503"/>
      <c r="D269" s="503"/>
      <c r="E269" s="503"/>
      <c r="F269" s="503"/>
      <c r="G269" s="503"/>
      <c r="H269" s="503"/>
      <c r="I269" s="503"/>
      <c r="J269" s="503"/>
      <c r="K269" s="503"/>
      <c r="L269" s="503"/>
      <c r="M269" s="503"/>
      <c r="N269" s="503"/>
      <c r="O269" s="503"/>
      <c r="P269" s="503"/>
      <c r="Q269" s="503"/>
    </row>
    <row r="270" spans="1:17" ht="15.75" customHeight="1">
      <c r="A270" s="503"/>
      <c r="B270" s="503"/>
      <c r="C270" s="503"/>
      <c r="D270" s="503"/>
      <c r="E270" s="503"/>
      <c r="F270" s="503"/>
      <c r="G270" s="503"/>
      <c r="H270" s="503"/>
      <c r="I270" s="503"/>
      <c r="J270" s="503"/>
      <c r="K270" s="503"/>
      <c r="L270" s="503"/>
      <c r="M270" s="503"/>
      <c r="N270" s="503"/>
      <c r="O270" s="503"/>
      <c r="P270" s="503"/>
      <c r="Q270" s="503"/>
    </row>
    <row r="271" spans="1:17" ht="15.75" customHeight="1">
      <c r="A271" s="503"/>
      <c r="B271" s="503"/>
      <c r="C271" s="503"/>
      <c r="D271" s="503"/>
      <c r="E271" s="503"/>
      <c r="F271" s="503"/>
      <c r="G271" s="503"/>
      <c r="H271" s="503"/>
      <c r="I271" s="503"/>
      <c r="J271" s="503"/>
      <c r="K271" s="503"/>
      <c r="L271" s="503"/>
      <c r="M271" s="503"/>
      <c r="N271" s="503"/>
      <c r="O271" s="503"/>
      <c r="P271" s="503"/>
      <c r="Q271" s="503"/>
    </row>
    <row r="272" spans="1:17" ht="15.75" customHeight="1">
      <c r="A272" s="503"/>
      <c r="B272" s="503"/>
      <c r="C272" s="503"/>
      <c r="D272" s="503"/>
      <c r="E272" s="503"/>
      <c r="F272" s="503"/>
      <c r="G272" s="503"/>
      <c r="H272" s="503"/>
      <c r="I272" s="503"/>
      <c r="J272" s="503"/>
      <c r="K272" s="503"/>
      <c r="L272" s="503"/>
      <c r="M272" s="503"/>
      <c r="N272" s="503"/>
      <c r="O272" s="503"/>
      <c r="P272" s="503"/>
      <c r="Q272" s="503"/>
    </row>
    <row r="273" spans="1:17" ht="15.75" customHeight="1">
      <c r="A273" s="503"/>
      <c r="B273" s="503"/>
      <c r="C273" s="503"/>
      <c r="D273" s="503"/>
      <c r="E273" s="503"/>
      <c r="F273" s="503"/>
      <c r="G273" s="503"/>
      <c r="H273" s="503"/>
      <c r="I273" s="503"/>
      <c r="J273" s="503"/>
      <c r="K273" s="503"/>
      <c r="L273" s="503"/>
      <c r="M273" s="503"/>
      <c r="N273" s="503"/>
      <c r="O273" s="503"/>
      <c r="P273" s="503"/>
      <c r="Q273" s="503"/>
    </row>
    <row r="274" spans="1:17" ht="15.75" customHeight="1">
      <c r="A274" s="503"/>
      <c r="B274" s="503"/>
      <c r="C274" s="503"/>
      <c r="D274" s="503"/>
      <c r="E274" s="503"/>
      <c r="F274" s="503"/>
      <c r="G274" s="503"/>
      <c r="H274" s="503"/>
      <c r="I274" s="503"/>
      <c r="J274" s="503"/>
      <c r="K274" s="503"/>
      <c r="L274" s="503"/>
      <c r="M274" s="503"/>
      <c r="N274" s="503"/>
      <c r="O274" s="503"/>
      <c r="P274" s="503"/>
      <c r="Q274" s="503"/>
    </row>
    <row r="275" spans="1:17" ht="15.75" customHeight="1">
      <c r="A275" s="503"/>
      <c r="B275" s="503"/>
      <c r="C275" s="503"/>
      <c r="D275" s="503"/>
      <c r="E275" s="503"/>
      <c r="F275" s="503"/>
      <c r="G275" s="503"/>
      <c r="H275" s="503"/>
      <c r="I275" s="503"/>
      <c r="J275" s="503"/>
      <c r="K275" s="503"/>
      <c r="L275" s="503"/>
      <c r="M275" s="503"/>
      <c r="N275" s="503"/>
      <c r="O275" s="503"/>
      <c r="P275" s="503"/>
      <c r="Q275" s="503"/>
    </row>
    <row r="276" spans="1:17" ht="15.75" customHeight="1">
      <c r="A276" s="503"/>
      <c r="B276" s="503"/>
      <c r="C276" s="503"/>
      <c r="D276" s="503"/>
      <c r="E276" s="503"/>
      <c r="F276" s="503"/>
      <c r="G276" s="503"/>
      <c r="H276" s="503"/>
      <c r="I276" s="503"/>
      <c r="J276" s="503"/>
      <c r="K276" s="503"/>
      <c r="L276" s="503"/>
      <c r="M276" s="503"/>
      <c r="N276" s="503"/>
      <c r="O276" s="503"/>
      <c r="P276" s="503"/>
      <c r="Q276" s="503"/>
    </row>
    <row r="277" spans="1:17" ht="15.75" customHeight="1">
      <c r="A277" s="503"/>
      <c r="B277" s="503"/>
      <c r="C277" s="503"/>
      <c r="D277" s="503"/>
      <c r="E277" s="503"/>
      <c r="F277" s="503"/>
      <c r="G277" s="503"/>
      <c r="H277" s="503"/>
      <c r="I277" s="503"/>
      <c r="J277" s="503"/>
      <c r="K277" s="503"/>
      <c r="L277" s="503"/>
      <c r="M277" s="503"/>
      <c r="N277" s="503"/>
      <c r="O277" s="503"/>
      <c r="P277" s="503"/>
      <c r="Q277" s="503"/>
    </row>
    <row r="278" spans="1:17" ht="15.75" customHeight="1">
      <c r="A278" s="503"/>
      <c r="B278" s="503"/>
      <c r="C278" s="503"/>
      <c r="D278" s="503"/>
      <c r="E278" s="503"/>
      <c r="F278" s="503"/>
      <c r="G278" s="503"/>
      <c r="H278" s="503"/>
      <c r="I278" s="503"/>
      <c r="J278" s="503"/>
      <c r="K278" s="503"/>
      <c r="L278" s="503"/>
      <c r="M278" s="503"/>
      <c r="N278" s="503"/>
      <c r="O278" s="503"/>
      <c r="P278" s="503"/>
      <c r="Q278" s="503"/>
    </row>
    <row r="279" spans="1:17" ht="15.75" customHeight="1">
      <c r="A279" s="503"/>
      <c r="B279" s="503"/>
      <c r="C279" s="503"/>
      <c r="D279" s="503"/>
      <c r="E279" s="503"/>
      <c r="F279" s="503"/>
      <c r="G279" s="503"/>
      <c r="H279" s="503"/>
      <c r="I279" s="503"/>
      <c r="J279" s="503"/>
      <c r="K279" s="503"/>
      <c r="L279" s="503"/>
      <c r="M279" s="503"/>
      <c r="N279" s="503"/>
      <c r="O279" s="503"/>
      <c r="P279" s="503"/>
      <c r="Q279" s="503"/>
    </row>
    <row r="280" spans="1:17" ht="15.75" customHeight="1">
      <c r="A280" s="503"/>
      <c r="B280" s="503"/>
      <c r="C280" s="503"/>
      <c r="D280" s="503"/>
      <c r="E280" s="503"/>
      <c r="F280" s="503"/>
      <c r="G280" s="503"/>
      <c r="H280" s="503"/>
      <c r="I280" s="503"/>
      <c r="J280" s="503"/>
      <c r="K280" s="503"/>
      <c r="L280" s="503"/>
      <c r="M280" s="503"/>
      <c r="N280" s="503"/>
      <c r="O280" s="503"/>
      <c r="P280" s="503"/>
      <c r="Q280" s="503"/>
    </row>
    <row r="281" spans="1:17" ht="15.75" customHeight="1">
      <c r="A281" s="503"/>
      <c r="B281" s="503"/>
      <c r="C281" s="503"/>
      <c r="D281" s="503"/>
      <c r="E281" s="503"/>
      <c r="F281" s="503"/>
      <c r="G281" s="503"/>
      <c r="H281" s="503"/>
      <c r="I281" s="503"/>
      <c r="J281" s="503"/>
      <c r="K281" s="503"/>
      <c r="L281" s="503"/>
      <c r="M281" s="503"/>
      <c r="N281" s="503"/>
      <c r="O281" s="503"/>
      <c r="P281" s="503"/>
      <c r="Q281" s="503"/>
    </row>
    <row r="282" spans="1:17" ht="15.75" customHeight="1">
      <c r="A282" s="503"/>
      <c r="B282" s="503"/>
      <c r="C282" s="503"/>
      <c r="D282" s="503"/>
      <c r="E282" s="503"/>
      <c r="F282" s="503"/>
      <c r="G282" s="503"/>
      <c r="H282" s="503"/>
      <c r="I282" s="503"/>
      <c r="J282" s="503"/>
      <c r="K282" s="503"/>
      <c r="L282" s="503"/>
      <c r="M282" s="503"/>
      <c r="N282" s="503"/>
      <c r="O282" s="503"/>
      <c r="P282" s="503"/>
      <c r="Q282" s="503"/>
    </row>
    <row r="283" spans="1:17" ht="15.75" customHeight="1">
      <c r="A283" s="503"/>
      <c r="B283" s="503"/>
      <c r="C283" s="503"/>
      <c r="D283" s="503"/>
      <c r="E283" s="503"/>
      <c r="F283" s="503"/>
      <c r="G283" s="503"/>
      <c r="H283" s="503"/>
      <c r="I283" s="503"/>
      <c r="J283" s="503"/>
      <c r="K283" s="503"/>
      <c r="L283" s="503"/>
      <c r="M283" s="503"/>
      <c r="N283" s="503"/>
      <c r="O283" s="503"/>
      <c r="P283" s="503"/>
      <c r="Q283" s="503"/>
    </row>
    <row r="284" spans="1:17" ht="15.75" customHeight="1">
      <c r="A284" s="503"/>
      <c r="B284" s="503"/>
      <c r="C284" s="503"/>
      <c r="D284" s="503"/>
      <c r="E284" s="503"/>
      <c r="F284" s="503"/>
      <c r="G284" s="503"/>
      <c r="H284" s="503"/>
      <c r="I284" s="503"/>
      <c r="J284" s="503"/>
      <c r="K284" s="503"/>
      <c r="L284" s="503"/>
      <c r="M284" s="503"/>
      <c r="N284" s="503"/>
      <c r="O284" s="503"/>
      <c r="P284" s="503"/>
      <c r="Q284" s="503"/>
    </row>
    <row r="285" spans="1:17" ht="15.75" customHeight="1">
      <c r="A285" s="503"/>
      <c r="B285" s="503"/>
      <c r="C285" s="503"/>
      <c r="D285" s="503"/>
      <c r="E285" s="503"/>
      <c r="F285" s="503"/>
      <c r="G285" s="503"/>
      <c r="H285" s="503"/>
      <c r="I285" s="503"/>
      <c r="J285" s="503"/>
      <c r="K285" s="503"/>
      <c r="L285" s="503"/>
      <c r="M285" s="503"/>
      <c r="N285" s="503"/>
      <c r="O285" s="503"/>
      <c r="P285" s="503"/>
      <c r="Q285" s="503"/>
    </row>
    <row r="286" spans="1:17" ht="15.75" customHeight="1">
      <c r="A286" s="503"/>
      <c r="B286" s="503"/>
      <c r="C286" s="503"/>
      <c r="D286" s="503"/>
      <c r="E286" s="503"/>
      <c r="F286" s="503"/>
      <c r="G286" s="503"/>
      <c r="H286" s="503"/>
      <c r="I286" s="503"/>
      <c r="J286" s="503"/>
      <c r="K286" s="503"/>
      <c r="L286" s="503"/>
      <c r="M286" s="503"/>
      <c r="N286" s="503"/>
      <c r="O286" s="503"/>
      <c r="P286" s="503"/>
      <c r="Q286" s="503"/>
    </row>
    <row r="287" spans="1:17" ht="15.75" customHeight="1">
      <c r="A287" s="503"/>
      <c r="B287" s="503"/>
      <c r="C287" s="503"/>
      <c r="D287" s="503"/>
      <c r="E287" s="503"/>
      <c r="F287" s="503"/>
      <c r="G287" s="503"/>
      <c r="H287" s="503"/>
      <c r="I287" s="503"/>
      <c r="J287" s="503"/>
      <c r="K287" s="503"/>
      <c r="L287" s="503"/>
      <c r="M287" s="503"/>
      <c r="N287" s="503"/>
      <c r="O287" s="503"/>
      <c r="P287" s="503"/>
      <c r="Q287" s="503"/>
    </row>
    <row r="288" spans="1:17" ht="15.75" customHeight="1">
      <c r="A288" s="503"/>
      <c r="B288" s="503"/>
      <c r="C288" s="503"/>
      <c r="D288" s="503"/>
      <c r="E288" s="503"/>
      <c r="F288" s="503"/>
      <c r="G288" s="503"/>
      <c r="H288" s="503"/>
      <c r="I288" s="503"/>
      <c r="J288" s="503"/>
      <c r="K288" s="503"/>
      <c r="L288" s="503"/>
      <c r="M288" s="503"/>
      <c r="N288" s="503"/>
      <c r="O288" s="503"/>
      <c r="P288" s="503"/>
      <c r="Q288" s="503"/>
    </row>
    <row r="289" spans="1:17" ht="15.75" customHeight="1">
      <c r="A289" s="503"/>
      <c r="B289" s="503"/>
      <c r="C289" s="503"/>
      <c r="D289" s="503"/>
      <c r="E289" s="503"/>
      <c r="F289" s="503"/>
      <c r="G289" s="503"/>
      <c r="H289" s="503"/>
      <c r="I289" s="503"/>
      <c r="J289" s="503"/>
      <c r="K289" s="503"/>
      <c r="L289" s="503"/>
      <c r="M289" s="503"/>
      <c r="N289" s="503"/>
      <c r="O289" s="503"/>
      <c r="P289" s="503"/>
      <c r="Q289" s="503"/>
    </row>
    <row r="290" spans="1:17" ht="15.75" customHeight="1">
      <c r="A290" s="503"/>
      <c r="B290" s="503"/>
      <c r="C290" s="503"/>
      <c r="D290" s="503"/>
      <c r="E290" s="503"/>
      <c r="F290" s="503"/>
      <c r="G290" s="503"/>
      <c r="H290" s="503"/>
      <c r="I290" s="503"/>
      <c r="J290" s="503"/>
      <c r="K290" s="503"/>
      <c r="L290" s="503"/>
      <c r="M290" s="503"/>
      <c r="N290" s="503"/>
      <c r="O290" s="503"/>
      <c r="P290" s="503"/>
      <c r="Q290" s="503"/>
    </row>
    <row r="291" spans="1:17" ht="15.75" customHeight="1">
      <c r="A291" s="503"/>
      <c r="B291" s="503"/>
      <c r="C291" s="503"/>
      <c r="D291" s="503"/>
      <c r="E291" s="503"/>
      <c r="F291" s="503"/>
      <c r="G291" s="503"/>
      <c r="H291" s="503"/>
      <c r="I291" s="503"/>
      <c r="J291" s="503"/>
      <c r="K291" s="503"/>
      <c r="L291" s="503"/>
      <c r="M291" s="503"/>
      <c r="N291" s="503"/>
      <c r="O291" s="503"/>
      <c r="P291" s="503"/>
      <c r="Q291" s="503"/>
    </row>
    <row r="292" spans="1:17" ht="15.75" customHeight="1">
      <c r="A292" s="503"/>
      <c r="B292" s="503"/>
      <c r="C292" s="503"/>
      <c r="D292" s="503"/>
      <c r="E292" s="503"/>
      <c r="F292" s="503"/>
      <c r="G292" s="503"/>
      <c r="H292" s="503"/>
      <c r="I292" s="503"/>
      <c r="J292" s="503"/>
      <c r="K292" s="503"/>
      <c r="L292" s="503"/>
      <c r="M292" s="503"/>
      <c r="N292" s="503"/>
      <c r="O292" s="503"/>
      <c r="P292" s="503"/>
      <c r="Q292" s="503"/>
    </row>
    <row r="293" spans="1:17" ht="15.75" customHeight="1">
      <c r="A293" s="503"/>
      <c r="B293" s="503"/>
      <c r="C293" s="503"/>
      <c r="D293" s="503"/>
      <c r="E293" s="503"/>
      <c r="F293" s="503"/>
      <c r="G293" s="503"/>
      <c r="H293" s="503"/>
      <c r="I293" s="503"/>
      <c r="J293" s="503"/>
      <c r="K293" s="503"/>
      <c r="L293" s="503"/>
      <c r="M293" s="503"/>
      <c r="N293" s="503"/>
      <c r="O293" s="503"/>
      <c r="P293" s="503"/>
      <c r="Q293" s="503"/>
    </row>
    <row r="294" spans="1:17" ht="15.75" customHeight="1">
      <c r="A294" s="503"/>
      <c r="B294" s="503"/>
      <c r="C294" s="503"/>
      <c r="D294" s="503"/>
      <c r="E294" s="503"/>
      <c r="F294" s="503"/>
      <c r="G294" s="503"/>
      <c r="H294" s="503"/>
      <c r="I294" s="503"/>
      <c r="J294" s="503"/>
      <c r="K294" s="503"/>
      <c r="L294" s="503"/>
      <c r="M294" s="503"/>
      <c r="N294" s="503"/>
      <c r="O294" s="503"/>
      <c r="P294" s="503"/>
      <c r="Q294" s="503"/>
    </row>
    <row r="295" spans="1:17" ht="15.75" customHeight="1">
      <c r="A295" s="503"/>
      <c r="B295" s="503"/>
      <c r="C295" s="503"/>
      <c r="D295" s="503"/>
      <c r="E295" s="503"/>
      <c r="F295" s="503"/>
      <c r="G295" s="503"/>
      <c r="H295" s="503"/>
      <c r="I295" s="503"/>
      <c r="J295" s="503"/>
      <c r="K295" s="503"/>
      <c r="L295" s="503"/>
      <c r="M295" s="503"/>
      <c r="N295" s="503"/>
      <c r="O295" s="503"/>
      <c r="P295" s="503"/>
      <c r="Q295" s="503"/>
    </row>
    <row r="296" spans="1:17" ht="15.75" customHeight="1">
      <c r="A296" s="503"/>
      <c r="B296" s="503"/>
      <c r="C296" s="503"/>
      <c r="D296" s="503"/>
      <c r="E296" s="503"/>
      <c r="F296" s="503"/>
      <c r="G296" s="503"/>
      <c r="H296" s="503"/>
      <c r="I296" s="503"/>
      <c r="J296" s="503"/>
      <c r="K296" s="503"/>
      <c r="L296" s="503"/>
      <c r="M296" s="503"/>
      <c r="N296" s="503"/>
      <c r="O296" s="503"/>
      <c r="P296" s="503"/>
      <c r="Q296" s="503"/>
    </row>
    <row r="297" spans="1:17" ht="15.75" customHeight="1">
      <c r="A297" s="503"/>
      <c r="B297" s="503"/>
      <c r="C297" s="503"/>
      <c r="D297" s="503"/>
      <c r="E297" s="503"/>
      <c r="F297" s="503"/>
      <c r="G297" s="503"/>
      <c r="H297" s="503"/>
      <c r="I297" s="503"/>
      <c r="J297" s="503"/>
      <c r="K297" s="503"/>
      <c r="L297" s="503"/>
      <c r="M297" s="503"/>
      <c r="N297" s="503"/>
      <c r="O297" s="503"/>
      <c r="P297" s="503"/>
      <c r="Q297" s="503"/>
    </row>
    <row r="298" spans="1:17" ht="15.75" customHeight="1">
      <c r="A298" s="503"/>
      <c r="B298" s="503"/>
      <c r="C298" s="503"/>
      <c r="D298" s="503"/>
      <c r="E298" s="503"/>
      <c r="F298" s="503"/>
      <c r="G298" s="503"/>
      <c r="H298" s="503"/>
      <c r="I298" s="503"/>
      <c r="J298" s="503"/>
      <c r="K298" s="503"/>
      <c r="L298" s="503"/>
      <c r="M298" s="503"/>
      <c r="N298" s="503"/>
      <c r="O298" s="503"/>
      <c r="P298" s="503"/>
      <c r="Q298" s="503"/>
    </row>
    <row r="299" spans="1:17" ht="15.75" customHeight="1">
      <c r="A299" s="503"/>
      <c r="B299" s="503"/>
      <c r="C299" s="503"/>
      <c r="D299" s="503"/>
      <c r="E299" s="503"/>
      <c r="F299" s="503"/>
      <c r="G299" s="503"/>
      <c r="H299" s="503"/>
      <c r="I299" s="503"/>
      <c r="J299" s="503"/>
      <c r="K299" s="503"/>
      <c r="L299" s="503"/>
      <c r="M299" s="503"/>
      <c r="N299" s="503"/>
      <c r="O299" s="503"/>
      <c r="P299" s="503"/>
      <c r="Q299" s="503"/>
    </row>
    <row r="300" spans="1:17" ht="15.75" customHeight="1">
      <c r="A300" s="503"/>
      <c r="B300" s="503"/>
      <c r="C300" s="503"/>
      <c r="D300" s="503"/>
      <c r="E300" s="503"/>
      <c r="F300" s="503"/>
      <c r="G300" s="503"/>
      <c r="H300" s="503"/>
      <c r="I300" s="503"/>
      <c r="J300" s="503"/>
      <c r="K300" s="503"/>
      <c r="L300" s="503"/>
      <c r="M300" s="503"/>
      <c r="N300" s="503"/>
      <c r="O300" s="503"/>
      <c r="P300" s="503"/>
      <c r="Q300" s="503"/>
    </row>
    <row r="301" spans="1:17" ht="15.75" customHeight="1">
      <c r="A301" s="503"/>
      <c r="B301" s="503"/>
      <c r="C301" s="503"/>
      <c r="D301" s="503"/>
      <c r="E301" s="503"/>
      <c r="F301" s="503"/>
      <c r="G301" s="503"/>
      <c r="H301" s="503"/>
      <c r="I301" s="503"/>
      <c r="J301" s="503"/>
      <c r="K301" s="503"/>
      <c r="L301" s="503"/>
      <c r="M301" s="503"/>
      <c r="N301" s="503"/>
      <c r="O301" s="503"/>
      <c r="P301" s="503"/>
      <c r="Q301" s="503"/>
    </row>
    <row r="302" spans="1:17" ht="15.75" customHeight="1">
      <c r="A302" s="503"/>
      <c r="B302" s="503"/>
      <c r="C302" s="503"/>
      <c r="D302" s="503"/>
      <c r="E302" s="503"/>
      <c r="F302" s="503"/>
      <c r="G302" s="503"/>
      <c r="H302" s="503"/>
      <c r="I302" s="503"/>
      <c r="J302" s="503"/>
      <c r="K302" s="503"/>
      <c r="L302" s="503"/>
      <c r="M302" s="503"/>
      <c r="N302" s="503"/>
      <c r="O302" s="503"/>
      <c r="P302" s="503"/>
      <c r="Q302" s="503"/>
    </row>
    <row r="303" spans="1:17" ht="15.75" customHeight="1">
      <c r="A303" s="503"/>
      <c r="B303" s="503"/>
      <c r="C303" s="503"/>
      <c r="D303" s="503"/>
      <c r="E303" s="503"/>
      <c r="F303" s="503"/>
      <c r="G303" s="503"/>
      <c r="H303" s="503"/>
      <c r="I303" s="503"/>
      <c r="J303" s="503"/>
      <c r="K303" s="503"/>
      <c r="L303" s="503"/>
      <c r="M303" s="503"/>
      <c r="N303" s="503"/>
      <c r="O303" s="503"/>
      <c r="P303" s="503"/>
      <c r="Q303" s="503"/>
    </row>
    <row r="304" spans="1:17" ht="15.75" customHeight="1">
      <c r="A304" s="503"/>
      <c r="B304" s="503"/>
      <c r="C304" s="503"/>
      <c r="D304" s="503"/>
      <c r="E304" s="503"/>
      <c r="F304" s="503"/>
      <c r="G304" s="503"/>
      <c r="H304" s="503"/>
      <c r="I304" s="503"/>
      <c r="J304" s="503"/>
      <c r="K304" s="503"/>
      <c r="L304" s="503"/>
      <c r="M304" s="503"/>
      <c r="N304" s="503"/>
      <c r="O304" s="503"/>
      <c r="P304" s="503"/>
      <c r="Q304" s="503"/>
    </row>
    <row r="305" spans="1:17" ht="15.75" customHeight="1">
      <c r="A305" s="503"/>
      <c r="B305" s="503"/>
      <c r="C305" s="503"/>
      <c r="D305" s="503"/>
      <c r="E305" s="503"/>
      <c r="F305" s="503"/>
      <c r="G305" s="503"/>
      <c r="H305" s="503"/>
      <c r="I305" s="503"/>
      <c r="J305" s="503"/>
      <c r="K305" s="503"/>
      <c r="L305" s="503"/>
      <c r="M305" s="503"/>
      <c r="N305" s="503"/>
      <c r="O305" s="503"/>
      <c r="P305" s="503"/>
      <c r="Q305" s="503"/>
    </row>
    <row r="306" spans="1:17" ht="15.75" customHeight="1">
      <c r="A306" s="503"/>
      <c r="B306" s="503"/>
      <c r="C306" s="503"/>
      <c r="D306" s="503"/>
      <c r="E306" s="503"/>
      <c r="F306" s="503"/>
      <c r="G306" s="503"/>
      <c r="H306" s="503"/>
      <c r="I306" s="503"/>
      <c r="J306" s="503"/>
      <c r="K306" s="503"/>
      <c r="L306" s="503"/>
      <c r="M306" s="503"/>
      <c r="N306" s="503"/>
      <c r="O306" s="503"/>
      <c r="P306" s="503"/>
      <c r="Q306" s="503"/>
    </row>
    <row r="307" spans="1:17" ht="15.75" customHeight="1">
      <c r="A307" s="503"/>
      <c r="B307" s="503"/>
      <c r="C307" s="503"/>
      <c r="D307" s="503"/>
      <c r="E307" s="503"/>
      <c r="F307" s="503"/>
      <c r="G307" s="503"/>
      <c r="H307" s="503"/>
      <c r="I307" s="503"/>
      <c r="J307" s="503"/>
      <c r="K307" s="503"/>
      <c r="L307" s="503"/>
      <c r="M307" s="503"/>
      <c r="N307" s="503"/>
      <c r="O307" s="503"/>
      <c r="P307" s="503"/>
      <c r="Q307" s="503"/>
    </row>
    <row r="308" spans="1:17" ht="15.75" customHeight="1">
      <c r="A308" s="503"/>
      <c r="B308" s="503"/>
      <c r="C308" s="503"/>
      <c r="D308" s="503"/>
      <c r="E308" s="503"/>
      <c r="F308" s="503"/>
      <c r="G308" s="503"/>
      <c r="H308" s="503"/>
      <c r="I308" s="503"/>
      <c r="J308" s="503"/>
      <c r="K308" s="503"/>
      <c r="L308" s="503"/>
      <c r="M308" s="503"/>
      <c r="N308" s="503"/>
      <c r="O308" s="503"/>
      <c r="P308" s="503"/>
      <c r="Q308" s="503"/>
    </row>
    <row r="309" spans="1:17" ht="15.75" customHeight="1">
      <c r="A309" s="503"/>
      <c r="B309" s="503"/>
      <c r="C309" s="503"/>
      <c r="D309" s="503"/>
      <c r="E309" s="503"/>
      <c r="F309" s="503"/>
      <c r="G309" s="503"/>
      <c r="H309" s="503"/>
      <c r="I309" s="503"/>
      <c r="J309" s="503"/>
      <c r="K309" s="503"/>
      <c r="L309" s="503"/>
      <c r="M309" s="503"/>
      <c r="N309" s="503"/>
      <c r="O309" s="503"/>
      <c r="P309" s="503"/>
      <c r="Q309" s="503"/>
    </row>
    <row r="310" spans="1:17" ht="15.75" customHeight="1">
      <c r="A310" s="503"/>
      <c r="B310" s="503"/>
      <c r="C310" s="503"/>
      <c r="D310" s="503"/>
      <c r="E310" s="503"/>
      <c r="F310" s="503"/>
      <c r="G310" s="503"/>
      <c r="H310" s="503"/>
      <c r="I310" s="503"/>
      <c r="J310" s="503"/>
      <c r="K310" s="503"/>
      <c r="L310" s="503"/>
      <c r="M310" s="503"/>
      <c r="N310" s="503"/>
      <c r="O310" s="503"/>
      <c r="P310" s="503"/>
      <c r="Q310" s="503"/>
    </row>
    <row r="311" spans="1:17" ht="15.75" customHeight="1">
      <c r="A311" s="503"/>
      <c r="B311" s="503"/>
      <c r="C311" s="503"/>
      <c r="D311" s="503"/>
      <c r="E311" s="503"/>
      <c r="F311" s="503"/>
      <c r="G311" s="503"/>
      <c r="H311" s="503"/>
      <c r="I311" s="503"/>
      <c r="J311" s="503"/>
      <c r="K311" s="503"/>
      <c r="L311" s="503"/>
      <c r="M311" s="503"/>
      <c r="N311" s="503"/>
      <c r="O311" s="503"/>
      <c r="P311" s="503"/>
      <c r="Q311" s="503"/>
    </row>
    <row r="312" spans="1:17" ht="15.75" customHeight="1">
      <c r="A312" s="503"/>
      <c r="B312" s="503"/>
      <c r="C312" s="503"/>
      <c r="D312" s="503"/>
      <c r="E312" s="503"/>
      <c r="F312" s="503"/>
      <c r="G312" s="503"/>
      <c r="H312" s="503"/>
      <c r="I312" s="503"/>
      <c r="J312" s="503"/>
      <c r="K312" s="503"/>
      <c r="L312" s="503"/>
      <c r="M312" s="503"/>
      <c r="N312" s="503"/>
      <c r="O312" s="503"/>
      <c r="P312" s="503"/>
      <c r="Q312" s="503"/>
    </row>
    <row r="313" spans="1:17" ht="15.75" customHeight="1">
      <c r="A313" s="503"/>
      <c r="B313" s="503"/>
      <c r="C313" s="503"/>
      <c r="D313" s="503"/>
      <c r="E313" s="503"/>
      <c r="F313" s="503"/>
      <c r="G313" s="503"/>
      <c r="H313" s="503"/>
      <c r="I313" s="503"/>
      <c r="J313" s="503"/>
      <c r="K313" s="503"/>
      <c r="L313" s="503"/>
      <c r="M313" s="503"/>
      <c r="N313" s="503"/>
      <c r="O313" s="503"/>
      <c r="P313" s="503"/>
      <c r="Q313" s="503"/>
    </row>
    <row r="314" spans="1:17" ht="15.75" customHeight="1">
      <c r="A314" s="503"/>
      <c r="B314" s="503"/>
      <c r="C314" s="503"/>
      <c r="D314" s="503"/>
      <c r="E314" s="503"/>
      <c r="F314" s="503"/>
      <c r="G314" s="503"/>
      <c r="H314" s="503"/>
      <c r="I314" s="503"/>
      <c r="J314" s="503"/>
      <c r="K314" s="503"/>
      <c r="L314" s="503"/>
      <c r="M314" s="503"/>
      <c r="N314" s="503"/>
      <c r="O314" s="503"/>
      <c r="P314" s="503"/>
      <c r="Q314" s="503"/>
    </row>
    <row r="315" spans="1:17" ht="15.75" customHeight="1">
      <c r="A315" s="503"/>
      <c r="B315" s="503"/>
      <c r="C315" s="503"/>
      <c r="D315" s="503"/>
      <c r="E315" s="503"/>
      <c r="F315" s="503"/>
      <c r="G315" s="503"/>
      <c r="H315" s="503"/>
      <c r="I315" s="503"/>
      <c r="J315" s="503"/>
      <c r="K315" s="503"/>
      <c r="L315" s="503"/>
      <c r="M315" s="503"/>
      <c r="N315" s="503"/>
      <c r="O315" s="503"/>
      <c r="P315" s="503"/>
      <c r="Q315" s="503"/>
    </row>
    <row r="316" spans="1:17" ht="15.75" customHeight="1">
      <c r="A316" s="503"/>
      <c r="B316" s="503"/>
      <c r="C316" s="503"/>
      <c r="D316" s="503"/>
      <c r="E316" s="503"/>
      <c r="F316" s="503"/>
      <c r="G316" s="503"/>
      <c r="H316" s="503"/>
      <c r="I316" s="503"/>
      <c r="J316" s="503"/>
      <c r="K316" s="503"/>
      <c r="L316" s="503"/>
      <c r="M316" s="503"/>
      <c r="N316" s="503"/>
      <c r="O316" s="503"/>
      <c r="P316" s="503"/>
      <c r="Q316" s="503"/>
    </row>
    <row r="317" spans="1:17" ht="15.75" customHeight="1">
      <c r="A317" s="503"/>
      <c r="B317" s="503"/>
      <c r="C317" s="503"/>
      <c r="D317" s="503"/>
      <c r="E317" s="503"/>
      <c r="F317" s="503"/>
      <c r="G317" s="503"/>
      <c r="H317" s="503"/>
      <c r="I317" s="503"/>
      <c r="J317" s="503"/>
      <c r="K317" s="503"/>
      <c r="L317" s="503"/>
      <c r="M317" s="503"/>
      <c r="N317" s="503"/>
      <c r="O317" s="503"/>
      <c r="P317" s="503"/>
      <c r="Q317" s="503"/>
    </row>
    <row r="318" spans="1:17" ht="15.75" customHeight="1">
      <c r="A318" s="503"/>
      <c r="B318" s="503"/>
      <c r="C318" s="503"/>
      <c r="D318" s="503"/>
      <c r="E318" s="503"/>
      <c r="F318" s="503"/>
      <c r="G318" s="503"/>
      <c r="H318" s="503"/>
      <c r="I318" s="503"/>
      <c r="J318" s="503"/>
      <c r="K318" s="503"/>
      <c r="L318" s="503"/>
      <c r="M318" s="503"/>
      <c r="N318" s="503"/>
      <c r="O318" s="503"/>
      <c r="P318" s="503"/>
      <c r="Q318" s="503"/>
    </row>
    <row r="319" spans="1:17" ht="15.75" customHeight="1">
      <c r="A319" s="503"/>
      <c r="B319" s="503"/>
      <c r="C319" s="503"/>
      <c r="D319" s="503"/>
      <c r="E319" s="503"/>
      <c r="F319" s="503"/>
      <c r="G319" s="503"/>
      <c r="H319" s="503"/>
      <c r="I319" s="503"/>
      <c r="J319" s="503"/>
      <c r="K319" s="503"/>
      <c r="L319" s="503"/>
      <c r="M319" s="503"/>
      <c r="N319" s="503"/>
      <c r="O319" s="503"/>
      <c r="P319" s="503"/>
      <c r="Q319" s="503"/>
    </row>
    <row r="320" spans="1:17" ht="15.75" customHeight="1">
      <c r="A320" s="503"/>
      <c r="B320" s="503"/>
      <c r="C320" s="503"/>
      <c r="D320" s="503"/>
      <c r="E320" s="503"/>
      <c r="F320" s="503"/>
      <c r="G320" s="503"/>
      <c r="H320" s="503"/>
      <c r="I320" s="503"/>
      <c r="J320" s="503"/>
      <c r="K320" s="503"/>
      <c r="L320" s="503"/>
      <c r="M320" s="503"/>
      <c r="N320" s="503"/>
      <c r="O320" s="503"/>
      <c r="P320" s="503"/>
      <c r="Q320" s="503"/>
    </row>
    <row r="321" spans="1:17" ht="15.75" customHeight="1">
      <c r="A321" s="503"/>
      <c r="B321" s="503"/>
      <c r="C321" s="503"/>
      <c r="D321" s="503"/>
      <c r="E321" s="503"/>
      <c r="F321" s="503"/>
      <c r="G321" s="503"/>
      <c r="H321" s="503"/>
      <c r="I321" s="503"/>
      <c r="J321" s="503"/>
      <c r="K321" s="503"/>
      <c r="L321" s="503"/>
      <c r="M321" s="503"/>
      <c r="N321" s="503"/>
      <c r="O321" s="503"/>
      <c r="P321" s="503"/>
      <c r="Q321" s="503"/>
    </row>
    <row r="322" spans="1:17" ht="15.75" customHeight="1">
      <c r="A322" s="503"/>
      <c r="B322" s="503"/>
      <c r="C322" s="503"/>
      <c r="D322" s="503"/>
      <c r="E322" s="503"/>
      <c r="F322" s="503"/>
      <c r="G322" s="503"/>
      <c r="H322" s="503"/>
      <c r="I322" s="503"/>
      <c r="J322" s="503"/>
      <c r="K322" s="503"/>
      <c r="L322" s="503"/>
      <c r="M322" s="503"/>
      <c r="N322" s="503"/>
      <c r="O322" s="503"/>
      <c r="P322" s="503"/>
      <c r="Q322" s="503"/>
    </row>
    <row r="323" spans="1:17" ht="15.75" customHeight="1">
      <c r="A323" s="503"/>
      <c r="B323" s="503"/>
      <c r="C323" s="503"/>
      <c r="D323" s="503"/>
      <c r="E323" s="503"/>
      <c r="F323" s="503"/>
      <c r="G323" s="503"/>
      <c r="H323" s="503"/>
      <c r="I323" s="503"/>
      <c r="J323" s="503"/>
      <c r="K323" s="503"/>
      <c r="L323" s="503"/>
      <c r="M323" s="503"/>
      <c r="N323" s="503"/>
      <c r="O323" s="503"/>
      <c r="P323" s="503"/>
      <c r="Q323" s="503"/>
    </row>
    <row r="324" spans="1:17" ht="15.75" customHeight="1">
      <c r="A324" s="503"/>
      <c r="B324" s="503"/>
      <c r="C324" s="503"/>
      <c r="D324" s="503"/>
      <c r="E324" s="503"/>
      <c r="F324" s="503"/>
      <c r="G324" s="503"/>
      <c r="H324" s="503"/>
      <c r="I324" s="503"/>
      <c r="J324" s="503"/>
      <c r="K324" s="503"/>
      <c r="L324" s="503"/>
      <c r="M324" s="503"/>
      <c r="N324" s="503"/>
      <c r="O324" s="503"/>
      <c r="P324" s="503"/>
      <c r="Q324" s="503"/>
    </row>
    <row r="325" spans="1:17" ht="15.75" customHeight="1">
      <c r="A325" s="503"/>
      <c r="B325" s="503"/>
      <c r="C325" s="503"/>
      <c r="D325" s="503"/>
      <c r="E325" s="503"/>
      <c r="F325" s="503"/>
      <c r="G325" s="503"/>
      <c r="H325" s="503"/>
      <c r="I325" s="503"/>
      <c r="J325" s="503"/>
      <c r="K325" s="503"/>
      <c r="L325" s="503"/>
      <c r="M325" s="503"/>
      <c r="N325" s="503"/>
      <c r="O325" s="503"/>
      <c r="P325" s="503"/>
      <c r="Q325" s="503"/>
    </row>
    <row r="326" spans="1:17" ht="15.75" customHeight="1">
      <c r="A326" s="503"/>
      <c r="B326" s="503"/>
      <c r="C326" s="503"/>
      <c r="D326" s="503"/>
      <c r="E326" s="503"/>
      <c r="F326" s="503"/>
      <c r="G326" s="503"/>
      <c r="H326" s="503"/>
      <c r="I326" s="503"/>
      <c r="J326" s="503"/>
      <c r="K326" s="503"/>
      <c r="L326" s="503"/>
      <c r="M326" s="503"/>
      <c r="N326" s="503"/>
      <c r="O326" s="503"/>
      <c r="P326" s="503"/>
      <c r="Q326" s="503"/>
    </row>
    <row r="327" spans="1:17" ht="15.75" customHeight="1">
      <c r="A327" s="503"/>
      <c r="B327" s="503"/>
      <c r="C327" s="503"/>
      <c r="D327" s="503"/>
      <c r="E327" s="503"/>
      <c r="F327" s="503"/>
      <c r="G327" s="503"/>
      <c r="H327" s="503"/>
      <c r="I327" s="503"/>
      <c r="J327" s="503"/>
      <c r="K327" s="503"/>
      <c r="L327" s="503"/>
      <c r="M327" s="503"/>
      <c r="N327" s="503"/>
      <c r="O327" s="503"/>
      <c r="P327" s="503"/>
      <c r="Q327" s="503"/>
    </row>
    <row r="328" spans="1:17" ht="15.75" customHeight="1">
      <c r="A328" s="503"/>
      <c r="B328" s="503"/>
      <c r="C328" s="503"/>
      <c r="D328" s="503"/>
      <c r="E328" s="503"/>
      <c r="F328" s="503"/>
      <c r="G328" s="503"/>
      <c r="H328" s="503"/>
      <c r="I328" s="503"/>
      <c r="J328" s="503"/>
      <c r="K328" s="503"/>
      <c r="L328" s="503"/>
      <c r="M328" s="503"/>
      <c r="N328" s="503"/>
      <c r="O328" s="503"/>
      <c r="P328" s="503"/>
      <c r="Q328" s="503"/>
    </row>
    <row r="329" spans="1:17" ht="15.75" customHeight="1">
      <c r="A329" s="503"/>
      <c r="B329" s="503"/>
      <c r="C329" s="503"/>
      <c r="D329" s="503"/>
      <c r="E329" s="503"/>
      <c r="F329" s="503"/>
      <c r="G329" s="503"/>
      <c r="H329" s="503"/>
      <c r="I329" s="503"/>
      <c r="J329" s="503"/>
      <c r="K329" s="503"/>
      <c r="L329" s="503"/>
      <c r="M329" s="503"/>
      <c r="N329" s="503"/>
      <c r="O329" s="503"/>
      <c r="P329" s="503"/>
      <c r="Q329" s="503"/>
    </row>
    <row r="330" spans="1:17" ht="15.75" customHeight="1">
      <c r="A330" s="503"/>
      <c r="B330" s="503"/>
      <c r="C330" s="503"/>
      <c r="D330" s="503"/>
      <c r="E330" s="503"/>
      <c r="F330" s="503"/>
      <c r="G330" s="503"/>
      <c r="H330" s="503"/>
      <c r="I330" s="503"/>
      <c r="J330" s="503"/>
      <c r="K330" s="503"/>
      <c r="L330" s="503"/>
      <c r="M330" s="503"/>
      <c r="N330" s="503"/>
      <c r="O330" s="503"/>
      <c r="P330" s="503"/>
      <c r="Q330" s="503"/>
    </row>
    <row r="331" spans="1:17" ht="15.75" customHeight="1">
      <c r="A331" s="503"/>
      <c r="B331" s="503"/>
      <c r="C331" s="503"/>
      <c r="D331" s="503"/>
      <c r="E331" s="503"/>
      <c r="F331" s="503"/>
      <c r="G331" s="503"/>
      <c r="H331" s="503"/>
      <c r="I331" s="503"/>
      <c r="J331" s="503"/>
      <c r="K331" s="503"/>
      <c r="L331" s="503"/>
      <c r="M331" s="503"/>
      <c r="N331" s="503"/>
      <c r="O331" s="503"/>
      <c r="P331" s="503"/>
      <c r="Q331" s="503"/>
    </row>
    <row r="332" spans="1:17" ht="15.75" customHeight="1">
      <c r="A332" s="503"/>
      <c r="B332" s="503"/>
      <c r="C332" s="503"/>
      <c r="D332" s="503"/>
      <c r="E332" s="503"/>
      <c r="F332" s="503"/>
      <c r="G332" s="503"/>
      <c r="H332" s="503"/>
      <c r="I332" s="503"/>
      <c r="J332" s="503"/>
      <c r="K332" s="503"/>
      <c r="L332" s="503"/>
      <c r="M332" s="503"/>
      <c r="N332" s="503"/>
      <c r="O332" s="503"/>
      <c r="P332" s="503"/>
      <c r="Q332" s="503"/>
    </row>
    <row r="333" spans="1:17" ht="15.75" customHeight="1">
      <c r="A333" s="503"/>
      <c r="B333" s="503"/>
      <c r="C333" s="503"/>
      <c r="D333" s="503"/>
      <c r="E333" s="503"/>
      <c r="F333" s="503"/>
      <c r="G333" s="503"/>
      <c r="H333" s="503"/>
      <c r="I333" s="503"/>
      <c r="J333" s="503"/>
      <c r="K333" s="503"/>
      <c r="L333" s="503"/>
      <c r="M333" s="503"/>
      <c r="N333" s="503"/>
      <c r="O333" s="503"/>
      <c r="P333" s="503"/>
      <c r="Q333" s="503"/>
    </row>
    <row r="334" spans="1:17" ht="15.75" customHeight="1">
      <c r="A334" s="503"/>
      <c r="B334" s="503"/>
      <c r="C334" s="503"/>
      <c r="D334" s="503"/>
      <c r="E334" s="503"/>
      <c r="F334" s="503"/>
      <c r="G334" s="503"/>
      <c r="H334" s="503"/>
      <c r="I334" s="503"/>
      <c r="J334" s="503"/>
      <c r="K334" s="503"/>
      <c r="L334" s="503"/>
      <c r="M334" s="503"/>
      <c r="N334" s="503"/>
      <c r="O334" s="503"/>
      <c r="P334" s="503"/>
      <c r="Q334" s="503"/>
    </row>
    <row r="335" spans="1:17" ht="15.75" customHeight="1">
      <c r="A335" s="503"/>
      <c r="B335" s="503"/>
      <c r="C335" s="503"/>
      <c r="D335" s="503"/>
      <c r="E335" s="503"/>
      <c r="F335" s="503"/>
      <c r="G335" s="503"/>
      <c r="H335" s="503"/>
      <c r="I335" s="503"/>
      <c r="J335" s="503"/>
      <c r="K335" s="503"/>
      <c r="L335" s="503"/>
      <c r="M335" s="503"/>
      <c r="N335" s="503"/>
      <c r="O335" s="503"/>
      <c r="P335" s="503"/>
      <c r="Q335" s="503"/>
    </row>
    <row r="336" spans="1:17" ht="15.75" customHeight="1">
      <c r="A336" s="503"/>
      <c r="B336" s="503"/>
      <c r="C336" s="503"/>
      <c r="D336" s="503"/>
      <c r="E336" s="503"/>
      <c r="F336" s="503"/>
      <c r="G336" s="503"/>
      <c r="H336" s="503"/>
      <c r="I336" s="503"/>
      <c r="J336" s="503"/>
      <c r="K336" s="503"/>
      <c r="L336" s="503"/>
      <c r="M336" s="503"/>
      <c r="N336" s="503"/>
      <c r="O336" s="503"/>
      <c r="P336" s="503"/>
      <c r="Q336" s="503"/>
    </row>
    <row r="337" spans="1:17" ht="15.75" customHeight="1">
      <c r="A337" s="503"/>
      <c r="B337" s="503"/>
      <c r="C337" s="503"/>
      <c r="D337" s="503"/>
      <c r="E337" s="503"/>
      <c r="F337" s="503"/>
      <c r="G337" s="503"/>
      <c r="H337" s="503"/>
      <c r="I337" s="503"/>
      <c r="J337" s="503"/>
      <c r="K337" s="503"/>
      <c r="L337" s="503"/>
      <c r="M337" s="503"/>
      <c r="N337" s="503"/>
      <c r="O337" s="503"/>
      <c r="P337" s="503"/>
      <c r="Q337" s="503"/>
    </row>
    <row r="338" spans="1:17" ht="15.75" customHeight="1">
      <c r="A338" s="503"/>
      <c r="B338" s="503"/>
      <c r="C338" s="503"/>
      <c r="D338" s="503"/>
      <c r="E338" s="503"/>
      <c r="F338" s="503"/>
      <c r="G338" s="503"/>
      <c r="H338" s="503"/>
      <c r="I338" s="503"/>
      <c r="J338" s="503"/>
      <c r="K338" s="503"/>
      <c r="L338" s="503"/>
      <c r="M338" s="503"/>
      <c r="N338" s="503"/>
      <c r="O338" s="503"/>
      <c r="P338" s="503"/>
      <c r="Q338" s="503"/>
    </row>
    <row r="339" spans="1:17" ht="15.75" customHeight="1">
      <c r="A339" s="503"/>
      <c r="B339" s="503"/>
      <c r="C339" s="503"/>
      <c r="D339" s="503"/>
      <c r="E339" s="503"/>
      <c r="F339" s="503"/>
      <c r="G339" s="503"/>
      <c r="H339" s="503"/>
      <c r="I339" s="503"/>
      <c r="J339" s="503"/>
      <c r="K339" s="503"/>
      <c r="L339" s="503"/>
      <c r="M339" s="503"/>
      <c r="N339" s="503"/>
      <c r="O339" s="503"/>
      <c r="P339" s="503"/>
      <c r="Q339" s="503"/>
    </row>
    <row r="340" spans="1:17" ht="15.75" customHeight="1">
      <c r="A340" s="503"/>
      <c r="B340" s="503"/>
      <c r="C340" s="503"/>
      <c r="D340" s="503"/>
      <c r="E340" s="503"/>
      <c r="F340" s="503"/>
      <c r="G340" s="503"/>
      <c r="H340" s="503"/>
      <c r="I340" s="503"/>
      <c r="J340" s="503"/>
      <c r="K340" s="503"/>
      <c r="L340" s="503"/>
      <c r="M340" s="503"/>
      <c r="N340" s="503"/>
      <c r="O340" s="503"/>
      <c r="P340" s="503"/>
      <c r="Q340" s="503"/>
    </row>
    <row r="341" spans="1:17" ht="15.75" customHeight="1">
      <c r="A341" s="503"/>
      <c r="B341" s="503"/>
      <c r="C341" s="503"/>
      <c r="D341" s="503"/>
      <c r="E341" s="503"/>
      <c r="F341" s="503"/>
      <c r="G341" s="503"/>
      <c r="H341" s="503"/>
      <c r="I341" s="503"/>
      <c r="J341" s="503"/>
      <c r="K341" s="503"/>
      <c r="L341" s="503"/>
      <c r="M341" s="503"/>
      <c r="N341" s="503"/>
      <c r="O341" s="503"/>
      <c r="P341" s="503"/>
      <c r="Q341" s="503"/>
    </row>
    <row r="342" spans="1:17" ht="15.75" customHeight="1">
      <c r="A342" s="503"/>
      <c r="B342" s="503"/>
      <c r="C342" s="503"/>
      <c r="D342" s="503"/>
      <c r="E342" s="503"/>
      <c r="F342" s="503"/>
      <c r="G342" s="503"/>
      <c r="H342" s="503"/>
      <c r="I342" s="503"/>
      <c r="J342" s="503"/>
      <c r="K342" s="503"/>
      <c r="L342" s="503"/>
      <c r="M342" s="503"/>
      <c r="N342" s="503"/>
      <c r="O342" s="503"/>
      <c r="P342" s="503"/>
      <c r="Q342" s="503"/>
    </row>
    <row r="343" spans="1:17" ht="15.75" customHeight="1">
      <c r="A343" s="503"/>
      <c r="B343" s="503"/>
      <c r="C343" s="503"/>
      <c r="D343" s="503"/>
      <c r="E343" s="503"/>
      <c r="F343" s="503"/>
      <c r="G343" s="503"/>
      <c r="H343" s="503"/>
      <c r="I343" s="503"/>
      <c r="J343" s="503"/>
      <c r="K343" s="503"/>
      <c r="L343" s="503"/>
      <c r="M343" s="503"/>
      <c r="N343" s="503"/>
      <c r="O343" s="503"/>
      <c r="P343" s="503"/>
      <c r="Q343" s="503"/>
    </row>
    <row r="344" spans="1:17" ht="15.75" customHeight="1">
      <c r="A344" s="503"/>
      <c r="B344" s="503"/>
      <c r="C344" s="503"/>
      <c r="D344" s="503"/>
      <c r="E344" s="503"/>
      <c r="F344" s="503"/>
      <c r="G344" s="503"/>
      <c r="H344" s="503"/>
      <c r="I344" s="503"/>
      <c r="J344" s="503"/>
      <c r="K344" s="503"/>
      <c r="L344" s="503"/>
      <c r="M344" s="503"/>
      <c r="N344" s="503"/>
      <c r="O344" s="503"/>
      <c r="P344" s="503"/>
      <c r="Q344" s="503"/>
    </row>
    <row r="345" spans="1:17" ht="15.75" customHeight="1">
      <c r="A345" s="503"/>
      <c r="B345" s="503"/>
      <c r="C345" s="503"/>
      <c r="D345" s="503"/>
      <c r="E345" s="503"/>
      <c r="F345" s="503"/>
      <c r="G345" s="503"/>
      <c r="H345" s="503"/>
      <c r="I345" s="503"/>
      <c r="J345" s="503"/>
      <c r="K345" s="503"/>
      <c r="L345" s="503"/>
      <c r="M345" s="503"/>
      <c r="N345" s="503"/>
      <c r="O345" s="503"/>
      <c r="P345" s="503"/>
      <c r="Q345" s="503"/>
    </row>
    <row r="346" spans="1:17" ht="15.75" customHeight="1">
      <c r="A346" s="503"/>
      <c r="B346" s="503"/>
      <c r="C346" s="503"/>
      <c r="D346" s="503"/>
      <c r="E346" s="503"/>
      <c r="F346" s="503"/>
      <c r="G346" s="503"/>
      <c r="H346" s="503"/>
      <c r="I346" s="503"/>
      <c r="J346" s="503"/>
      <c r="K346" s="503"/>
      <c r="L346" s="503"/>
      <c r="M346" s="503"/>
      <c r="N346" s="503"/>
      <c r="O346" s="503"/>
      <c r="P346" s="503"/>
      <c r="Q346" s="503"/>
    </row>
    <row r="347" spans="1:17" ht="15.75" customHeight="1">
      <c r="A347" s="503"/>
      <c r="B347" s="503"/>
      <c r="C347" s="503"/>
      <c r="D347" s="503"/>
      <c r="E347" s="503"/>
      <c r="F347" s="503"/>
      <c r="G347" s="503"/>
      <c r="H347" s="503"/>
      <c r="I347" s="503"/>
      <c r="J347" s="503"/>
      <c r="K347" s="503"/>
      <c r="L347" s="503"/>
      <c r="M347" s="503"/>
      <c r="N347" s="503"/>
      <c r="O347" s="503"/>
      <c r="P347" s="503"/>
      <c r="Q347" s="503"/>
    </row>
    <row r="348" spans="1:17" ht="15.75" customHeight="1">
      <c r="A348" s="503"/>
      <c r="B348" s="503"/>
      <c r="C348" s="503"/>
      <c r="D348" s="503"/>
      <c r="E348" s="503"/>
      <c r="F348" s="503"/>
      <c r="G348" s="503"/>
      <c r="H348" s="503"/>
      <c r="I348" s="503"/>
      <c r="J348" s="503"/>
      <c r="K348" s="503"/>
      <c r="L348" s="503"/>
      <c r="M348" s="503"/>
      <c r="N348" s="503"/>
      <c r="O348" s="503"/>
      <c r="P348" s="503"/>
      <c r="Q348" s="503"/>
    </row>
    <row r="349" spans="1:17" ht="15.75" customHeight="1">
      <c r="A349" s="503"/>
      <c r="B349" s="503"/>
      <c r="C349" s="503"/>
      <c r="D349" s="503"/>
      <c r="E349" s="503"/>
      <c r="F349" s="503"/>
      <c r="G349" s="503"/>
      <c r="H349" s="503"/>
      <c r="I349" s="503"/>
      <c r="J349" s="503"/>
      <c r="K349" s="503"/>
      <c r="L349" s="503"/>
      <c r="M349" s="503"/>
      <c r="N349" s="503"/>
      <c r="O349" s="503"/>
      <c r="P349" s="503"/>
      <c r="Q349" s="503"/>
    </row>
    <row r="350" spans="1:17" ht="15.75" customHeight="1">
      <c r="A350" s="503"/>
      <c r="B350" s="503"/>
      <c r="C350" s="503"/>
      <c r="D350" s="503"/>
      <c r="E350" s="503"/>
      <c r="F350" s="503"/>
      <c r="G350" s="503"/>
      <c r="H350" s="503"/>
      <c r="I350" s="503"/>
      <c r="J350" s="503"/>
      <c r="K350" s="503"/>
      <c r="L350" s="503"/>
      <c r="M350" s="503"/>
      <c r="N350" s="503"/>
      <c r="O350" s="503"/>
      <c r="P350" s="503"/>
      <c r="Q350" s="503"/>
    </row>
    <row r="351" spans="1:17" ht="15.75" customHeight="1">
      <c r="A351" s="503"/>
      <c r="B351" s="503"/>
      <c r="C351" s="503"/>
      <c r="D351" s="503"/>
      <c r="E351" s="503"/>
      <c r="F351" s="503"/>
      <c r="G351" s="503"/>
      <c r="H351" s="503"/>
      <c r="I351" s="503"/>
      <c r="J351" s="503"/>
      <c r="K351" s="503"/>
      <c r="L351" s="503"/>
      <c r="M351" s="503"/>
      <c r="N351" s="503"/>
      <c r="O351" s="503"/>
      <c r="P351" s="503"/>
      <c r="Q351" s="503"/>
    </row>
    <row r="352" spans="1:17" ht="15.75" customHeight="1">
      <c r="A352" s="503"/>
      <c r="B352" s="503"/>
      <c r="C352" s="503"/>
      <c r="D352" s="503"/>
      <c r="E352" s="503"/>
      <c r="F352" s="503"/>
      <c r="G352" s="503"/>
      <c r="H352" s="503"/>
      <c r="I352" s="503"/>
      <c r="J352" s="503"/>
      <c r="K352" s="503"/>
      <c r="L352" s="503"/>
      <c r="M352" s="503"/>
      <c r="N352" s="503"/>
      <c r="O352" s="503"/>
      <c r="P352" s="503"/>
      <c r="Q352" s="503"/>
    </row>
    <row r="353" spans="1:17" ht="15.75" customHeight="1">
      <c r="A353" s="503"/>
      <c r="B353" s="503"/>
      <c r="C353" s="503"/>
      <c r="D353" s="503"/>
      <c r="E353" s="503"/>
      <c r="F353" s="503"/>
      <c r="G353" s="503"/>
      <c r="H353" s="503"/>
      <c r="I353" s="503"/>
      <c r="J353" s="503"/>
      <c r="K353" s="503"/>
      <c r="L353" s="503"/>
      <c r="M353" s="503"/>
      <c r="N353" s="503"/>
      <c r="O353" s="503"/>
      <c r="P353" s="503"/>
      <c r="Q353" s="503"/>
    </row>
    <row r="354" spans="1:17" ht="15.75" customHeight="1">
      <c r="A354" s="503"/>
      <c r="B354" s="503"/>
      <c r="C354" s="503"/>
      <c r="D354" s="503"/>
      <c r="E354" s="503"/>
      <c r="F354" s="503"/>
      <c r="G354" s="503"/>
      <c r="H354" s="503"/>
      <c r="I354" s="503"/>
      <c r="J354" s="503"/>
      <c r="K354" s="503"/>
      <c r="L354" s="503"/>
      <c r="M354" s="503"/>
      <c r="N354" s="503"/>
      <c r="O354" s="503"/>
      <c r="P354" s="503"/>
      <c r="Q354" s="503"/>
    </row>
    <row r="355" spans="1:17" ht="15.75" customHeight="1">
      <c r="A355" s="503"/>
      <c r="B355" s="503"/>
      <c r="C355" s="503"/>
      <c r="D355" s="503"/>
      <c r="E355" s="503"/>
      <c r="F355" s="503"/>
      <c r="G355" s="503"/>
      <c r="H355" s="503"/>
      <c r="I355" s="503"/>
      <c r="J355" s="503"/>
      <c r="K355" s="503"/>
      <c r="L355" s="503"/>
      <c r="M355" s="503"/>
      <c r="N355" s="503"/>
      <c r="O355" s="503"/>
      <c r="P355" s="503"/>
      <c r="Q355" s="503"/>
    </row>
    <row r="356" spans="1:17" ht="15.75" customHeight="1">
      <c r="A356" s="503"/>
      <c r="B356" s="503"/>
      <c r="C356" s="503"/>
      <c r="D356" s="503"/>
      <c r="E356" s="503"/>
      <c r="F356" s="503"/>
      <c r="G356" s="503"/>
      <c r="H356" s="503"/>
      <c r="I356" s="503"/>
      <c r="J356" s="503"/>
      <c r="K356" s="503"/>
      <c r="L356" s="503"/>
      <c r="M356" s="503"/>
      <c r="N356" s="503"/>
      <c r="O356" s="503"/>
      <c r="P356" s="503"/>
      <c r="Q356" s="503"/>
    </row>
    <row r="357" spans="1:17" ht="15.75" customHeight="1">
      <c r="A357" s="503"/>
      <c r="B357" s="503"/>
      <c r="C357" s="503"/>
      <c r="D357" s="503"/>
      <c r="E357" s="503"/>
      <c r="F357" s="503"/>
      <c r="G357" s="503"/>
      <c r="H357" s="503"/>
      <c r="I357" s="503"/>
      <c r="J357" s="503"/>
      <c r="K357" s="503"/>
      <c r="L357" s="503"/>
      <c r="M357" s="503"/>
      <c r="N357" s="503"/>
      <c r="O357" s="503"/>
      <c r="P357" s="503"/>
      <c r="Q357" s="503"/>
    </row>
    <row r="358" spans="1:17" ht="15.75" customHeight="1">
      <c r="A358" s="503"/>
      <c r="B358" s="503"/>
      <c r="C358" s="503"/>
      <c r="D358" s="503"/>
      <c r="E358" s="503"/>
      <c r="F358" s="503"/>
      <c r="G358" s="503"/>
      <c r="H358" s="503"/>
      <c r="I358" s="503"/>
      <c r="J358" s="503"/>
      <c r="K358" s="503"/>
      <c r="L358" s="503"/>
      <c r="M358" s="503"/>
      <c r="N358" s="503"/>
      <c r="O358" s="503"/>
      <c r="P358" s="503"/>
      <c r="Q358" s="503"/>
    </row>
    <row r="359" spans="1:17" ht="15.75" customHeight="1">
      <c r="A359" s="503"/>
      <c r="B359" s="503"/>
      <c r="C359" s="503"/>
      <c r="D359" s="503"/>
      <c r="E359" s="503"/>
      <c r="F359" s="503"/>
      <c r="G359" s="503"/>
      <c r="H359" s="503"/>
      <c r="I359" s="503"/>
      <c r="J359" s="503"/>
      <c r="K359" s="503"/>
      <c r="L359" s="503"/>
      <c r="M359" s="503"/>
      <c r="N359" s="503"/>
      <c r="O359" s="503"/>
      <c r="P359" s="503"/>
      <c r="Q359" s="503"/>
    </row>
    <row r="360" spans="1:17" ht="15.75" customHeight="1">
      <c r="A360" s="503"/>
      <c r="B360" s="503"/>
      <c r="C360" s="503"/>
      <c r="D360" s="503"/>
      <c r="E360" s="503"/>
      <c r="F360" s="503"/>
      <c r="G360" s="503"/>
      <c r="H360" s="503"/>
      <c r="I360" s="503"/>
      <c r="J360" s="503"/>
      <c r="K360" s="503"/>
      <c r="L360" s="503"/>
      <c r="M360" s="503"/>
      <c r="N360" s="503"/>
      <c r="O360" s="503"/>
      <c r="P360" s="503"/>
      <c r="Q360" s="503"/>
    </row>
    <row r="361" spans="1:17" ht="15.75" customHeight="1">
      <c r="A361" s="503"/>
      <c r="B361" s="503"/>
      <c r="C361" s="503"/>
      <c r="D361" s="503"/>
      <c r="E361" s="503"/>
      <c r="F361" s="503"/>
      <c r="G361" s="503"/>
      <c r="H361" s="503"/>
      <c r="I361" s="503"/>
      <c r="J361" s="503"/>
      <c r="K361" s="503"/>
      <c r="L361" s="503"/>
      <c r="M361" s="503"/>
      <c r="N361" s="503"/>
      <c r="O361" s="503"/>
      <c r="P361" s="503"/>
      <c r="Q361" s="503"/>
    </row>
    <row r="362" spans="1:17" ht="15.75" customHeight="1">
      <c r="A362" s="503"/>
      <c r="B362" s="503"/>
      <c r="C362" s="503"/>
      <c r="D362" s="503"/>
      <c r="E362" s="503"/>
      <c r="F362" s="503"/>
      <c r="G362" s="503"/>
      <c r="H362" s="503"/>
      <c r="I362" s="503"/>
      <c r="J362" s="503"/>
      <c r="K362" s="503"/>
      <c r="L362" s="503"/>
      <c r="M362" s="503"/>
      <c r="N362" s="503"/>
      <c r="O362" s="503"/>
      <c r="P362" s="503"/>
      <c r="Q362" s="503"/>
    </row>
    <row r="363" spans="1:17" ht="15.75" customHeight="1">
      <c r="A363" s="503"/>
      <c r="B363" s="503"/>
      <c r="C363" s="503"/>
      <c r="D363" s="503"/>
      <c r="E363" s="503"/>
      <c r="F363" s="503"/>
      <c r="G363" s="503"/>
      <c r="H363" s="503"/>
      <c r="I363" s="503"/>
      <c r="J363" s="503"/>
      <c r="K363" s="503"/>
      <c r="L363" s="503"/>
      <c r="M363" s="503"/>
      <c r="N363" s="503"/>
      <c r="O363" s="503"/>
      <c r="P363" s="503"/>
      <c r="Q363" s="503"/>
    </row>
    <row r="364" spans="1:17" ht="15.75" customHeight="1">
      <c r="A364" s="503"/>
      <c r="B364" s="503"/>
      <c r="C364" s="503"/>
      <c r="D364" s="503"/>
      <c r="E364" s="503"/>
      <c r="F364" s="503"/>
      <c r="G364" s="503"/>
      <c r="H364" s="503"/>
      <c r="I364" s="503"/>
      <c r="J364" s="503"/>
      <c r="K364" s="503"/>
      <c r="L364" s="503"/>
      <c r="M364" s="503"/>
      <c r="N364" s="503"/>
      <c r="O364" s="503"/>
      <c r="P364" s="503"/>
      <c r="Q364" s="503"/>
    </row>
    <row r="365" spans="1:17" ht="15.75" customHeight="1">
      <c r="A365" s="503"/>
      <c r="B365" s="503"/>
      <c r="C365" s="503"/>
      <c r="D365" s="503"/>
      <c r="E365" s="503"/>
      <c r="F365" s="503"/>
      <c r="G365" s="503"/>
      <c r="H365" s="503"/>
      <c r="I365" s="503"/>
      <c r="J365" s="503"/>
      <c r="K365" s="503"/>
      <c r="L365" s="503"/>
      <c r="M365" s="503"/>
      <c r="N365" s="503"/>
      <c r="O365" s="503"/>
      <c r="P365" s="503"/>
      <c r="Q365" s="503"/>
    </row>
    <row r="366" spans="1:17" ht="15.75" customHeight="1">
      <c r="A366" s="503"/>
      <c r="B366" s="503"/>
      <c r="C366" s="503"/>
      <c r="D366" s="503"/>
      <c r="E366" s="503"/>
      <c r="F366" s="503"/>
      <c r="G366" s="503"/>
      <c r="H366" s="503"/>
      <c r="I366" s="503"/>
      <c r="J366" s="503"/>
      <c r="K366" s="503"/>
      <c r="L366" s="503"/>
      <c r="M366" s="503"/>
      <c r="N366" s="503"/>
      <c r="O366" s="503"/>
      <c r="P366" s="503"/>
      <c r="Q366" s="503"/>
    </row>
    <row r="367" spans="1:17" ht="15.75" customHeight="1">
      <c r="A367" s="503"/>
      <c r="B367" s="503"/>
      <c r="C367" s="503"/>
      <c r="D367" s="503"/>
      <c r="E367" s="503"/>
      <c r="F367" s="503"/>
      <c r="G367" s="503"/>
      <c r="H367" s="503"/>
      <c r="I367" s="503"/>
      <c r="J367" s="503"/>
      <c r="K367" s="503"/>
      <c r="L367" s="503"/>
      <c r="M367" s="503"/>
      <c r="N367" s="503"/>
      <c r="O367" s="503"/>
      <c r="P367" s="503"/>
      <c r="Q367" s="503"/>
    </row>
    <row r="368" spans="1:17" ht="15.75" customHeight="1">
      <c r="A368" s="503"/>
      <c r="B368" s="503"/>
      <c r="C368" s="503"/>
      <c r="D368" s="503"/>
      <c r="E368" s="503"/>
      <c r="F368" s="503"/>
      <c r="G368" s="503"/>
      <c r="H368" s="503"/>
      <c r="I368" s="503"/>
      <c r="J368" s="503"/>
      <c r="K368" s="503"/>
      <c r="L368" s="503"/>
      <c r="M368" s="503"/>
      <c r="N368" s="503"/>
      <c r="O368" s="503"/>
      <c r="P368" s="503"/>
      <c r="Q368" s="503"/>
    </row>
    <row r="369" spans="1:17" ht="15.75" customHeight="1">
      <c r="A369" s="503"/>
      <c r="B369" s="503"/>
      <c r="C369" s="503"/>
      <c r="D369" s="503"/>
      <c r="E369" s="503"/>
      <c r="F369" s="503"/>
      <c r="G369" s="503"/>
      <c r="H369" s="503"/>
      <c r="I369" s="503"/>
      <c r="J369" s="503"/>
      <c r="K369" s="503"/>
      <c r="L369" s="503"/>
      <c r="M369" s="503"/>
      <c r="N369" s="503"/>
      <c r="O369" s="503"/>
      <c r="P369" s="503"/>
      <c r="Q369" s="503"/>
    </row>
    <row r="370" spans="1:17" ht="15.75" customHeight="1">
      <c r="A370" s="503"/>
      <c r="B370" s="503"/>
      <c r="C370" s="503"/>
      <c r="D370" s="503"/>
      <c r="E370" s="503"/>
      <c r="F370" s="503"/>
      <c r="G370" s="503"/>
      <c r="H370" s="503"/>
      <c r="I370" s="503"/>
      <c r="J370" s="503"/>
      <c r="K370" s="503"/>
      <c r="L370" s="503"/>
      <c r="M370" s="503"/>
      <c r="N370" s="503"/>
      <c r="O370" s="503"/>
      <c r="P370" s="503"/>
      <c r="Q370" s="503"/>
    </row>
    <row r="371" spans="1:17" ht="15.75" customHeight="1">
      <c r="A371" s="503"/>
      <c r="B371" s="503"/>
      <c r="C371" s="503"/>
      <c r="D371" s="503"/>
      <c r="E371" s="503"/>
      <c r="F371" s="503"/>
      <c r="G371" s="503"/>
      <c r="H371" s="503"/>
      <c r="I371" s="503"/>
      <c r="J371" s="503"/>
      <c r="K371" s="503"/>
      <c r="L371" s="503"/>
      <c r="M371" s="503"/>
      <c r="N371" s="503"/>
      <c r="O371" s="503"/>
      <c r="P371" s="503"/>
      <c r="Q371" s="503"/>
    </row>
    <row r="372" spans="1:17" ht="15.75" customHeight="1">
      <c r="A372" s="503"/>
      <c r="B372" s="503"/>
      <c r="C372" s="503"/>
      <c r="D372" s="503"/>
      <c r="E372" s="503"/>
      <c r="F372" s="503"/>
      <c r="G372" s="503"/>
      <c r="H372" s="503"/>
      <c r="I372" s="503"/>
      <c r="J372" s="503"/>
      <c r="K372" s="503"/>
      <c r="L372" s="503"/>
      <c r="M372" s="503"/>
      <c r="N372" s="503"/>
      <c r="O372" s="503"/>
      <c r="P372" s="503"/>
      <c r="Q372" s="503"/>
    </row>
    <row r="373" spans="1:17" ht="15.75" customHeight="1">
      <c r="A373" s="503"/>
      <c r="B373" s="503"/>
      <c r="C373" s="503"/>
      <c r="D373" s="503"/>
      <c r="E373" s="503"/>
      <c r="F373" s="503"/>
      <c r="G373" s="503"/>
      <c r="H373" s="503"/>
      <c r="I373" s="503"/>
      <c r="J373" s="503"/>
      <c r="K373" s="503"/>
      <c r="L373" s="503"/>
      <c r="M373" s="503"/>
      <c r="N373" s="503"/>
      <c r="O373" s="503"/>
      <c r="P373" s="503"/>
      <c r="Q373" s="503"/>
    </row>
    <row r="374" spans="1:17" ht="15.75" customHeight="1">
      <c r="A374" s="503"/>
      <c r="B374" s="503"/>
      <c r="C374" s="503"/>
      <c r="D374" s="503"/>
      <c r="E374" s="503"/>
      <c r="F374" s="503"/>
      <c r="G374" s="503"/>
      <c r="H374" s="503"/>
      <c r="I374" s="503"/>
      <c r="J374" s="503"/>
      <c r="K374" s="503"/>
      <c r="L374" s="503"/>
      <c r="M374" s="503"/>
      <c r="N374" s="503"/>
      <c r="O374" s="503"/>
      <c r="P374" s="503"/>
      <c r="Q374" s="503"/>
    </row>
    <row r="375" spans="1:17" ht="15.75" customHeight="1">
      <c r="A375" s="503"/>
      <c r="B375" s="503"/>
      <c r="C375" s="503"/>
      <c r="D375" s="503"/>
      <c r="E375" s="503"/>
      <c r="F375" s="503"/>
      <c r="G375" s="503"/>
      <c r="H375" s="503"/>
      <c r="I375" s="503"/>
      <c r="J375" s="503"/>
      <c r="K375" s="503"/>
      <c r="L375" s="503"/>
      <c r="M375" s="503"/>
      <c r="N375" s="503"/>
      <c r="O375" s="503"/>
      <c r="P375" s="503"/>
      <c r="Q375" s="503"/>
    </row>
    <row r="376" spans="1:17" ht="15.75" customHeight="1">
      <c r="A376" s="503"/>
      <c r="B376" s="503"/>
      <c r="C376" s="503"/>
      <c r="D376" s="503"/>
      <c r="E376" s="503"/>
      <c r="F376" s="503"/>
      <c r="G376" s="503"/>
      <c r="H376" s="503"/>
      <c r="I376" s="503"/>
      <c r="J376" s="503"/>
      <c r="K376" s="503"/>
      <c r="L376" s="503"/>
      <c r="M376" s="503"/>
      <c r="N376" s="503"/>
      <c r="O376" s="503"/>
      <c r="P376" s="503"/>
      <c r="Q376" s="503"/>
    </row>
    <row r="377" spans="1:17" ht="15.75" customHeight="1">
      <c r="A377" s="503"/>
      <c r="B377" s="503"/>
      <c r="C377" s="503"/>
      <c r="D377" s="503"/>
      <c r="E377" s="503"/>
      <c r="F377" s="503"/>
      <c r="G377" s="503"/>
      <c r="H377" s="503"/>
      <c r="I377" s="503"/>
      <c r="J377" s="503"/>
      <c r="K377" s="503"/>
      <c r="L377" s="503"/>
      <c r="M377" s="503"/>
      <c r="N377" s="503"/>
      <c r="O377" s="503"/>
      <c r="P377" s="503"/>
      <c r="Q377" s="503"/>
    </row>
    <row r="378" spans="1:17" ht="15.75" customHeight="1">
      <c r="A378" s="503"/>
      <c r="B378" s="503"/>
      <c r="C378" s="503"/>
      <c r="D378" s="503"/>
      <c r="E378" s="503"/>
      <c r="F378" s="503"/>
      <c r="G378" s="503"/>
      <c r="H378" s="503"/>
      <c r="I378" s="503"/>
      <c r="J378" s="503"/>
      <c r="K378" s="503"/>
      <c r="L378" s="503"/>
      <c r="M378" s="503"/>
      <c r="N378" s="503"/>
      <c r="O378" s="503"/>
      <c r="P378" s="503"/>
      <c r="Q378" s="503"/>
    </row>
    <row r="379" spans="1:17" ht="15.75" customHeight="1">
      <c r="A379" s="503"/>
      <c r="B379" s="503"/>
      <c r="C379" s="503"/>
      <c r="D379" s="503"/>
      <c r="E379" s="503"/>
      <c r="F379" s="503"/>
      <c r="G379" s="503"/>
      <c r="H379" s="503"/>
      <c r="I379" s="503"/>
      <c r="J379" s="503"/>
      <c r="K379" s="503"/>
      <c r="L379" s="503"/>
      <c r="M379" s="503"/>
      <c r="N379" s="503"/>
      <c r="O379" s="503"/>
      <c r="P379" s="503"/>
      <c r="Q379" s="503"/>
    </row>
    <row r="380" spans="1:17" ht="15.75" customHeight="1">
      <c r="A380" s="503"/>
      <c r="B380" s="503"/>
      <c r="C380" s="503"/>
      <c r="D380" s="503"/>
      <c r="E380" s="503"/>
      <c r="F380" s="503"/>
      <c r="G380" s="503"/>
      <c r="H380" s="503"/>
      <c r="I380" s="503"/>
      <c r="J380" s="503"/>
      <c r="K380" s="503"/>
      <c r="L380" s="503"/>
      <c r="M380" s="503"/>
      <c r="N380" s="503"/>
      <c r="O380" s="503"/>
      <c r="P380" s="503"/>
      <c r="Q380" s="503"/>
    </row>
    <row r="381" spans="1:17" ht="15.75" customHeight="1">
      <c r="A381" s="503"/>
      <c r="B381" s="503"/>
      <c r="C381" s="503"/>
      <c r="D381" s="503"/>
      <c r="E381" s="503"/>
      <c r="F381" s="503"/>
      <c r="G381" s="503"/>
      <c r="H381" s="503"/>
      <c r="I381" s="503"/>
      <c r="J381" s="503"/>
      <c r="K381" s="503"/>
      <c r="L381" s="503"/>
      <c r="M381" s="503"/>
      <c r="N381" s="503"/>
      <c r="O381" s="503"/>
      <c r="P381" s="503"/>
      <c r="Q381" s="503"/>
    </row>
    <row r="382" spans="1:17" ht="15.75" customHeight="1">
      <c r="A382" s="503"/>
      <c r="B382" s="503"/>
      <c r="C382" s="503"/>
      <c r="D382" s="503"/>
      <c r="E382" s="503"/>
      <c r="F382" s="503"/>
      <c r="G382" s="503"/>
      <c r="H382" s="503"/>
      <c r="I382" s="503"/>
      <c r="J382" s="503"/>
      <c r="K382" s="503"/>
      <c r="L382" s="503"/>
      <c r="M382" s="503"/>
      <c r="N382" s="503"/>
      <c r="O382" s="503"/>
      <c r="P382" s="503"/>
      <c r="Q382" s="503"/>
    </row>
    <row r="383" spans="1:17" ht="15.75" customHeight="1">
      <c r="A383" s="503"/>
      <c r="B383" s="503"/>
      <c r="C383" s="503"/>
      <c r="D383" s="503"/>
      <c r="E383" s="503"/>
      <c r="F383" s="503"/>
      <c r="G383" s="503"/>
      <c r="H383" s="503"/>
      <c r="I383" s="503"/>
      <c r="J383" s="503"/>
      <c r="K383" s="503"/>
      <c r="L383" s="503"/>
      <c r="M383" s="503"/>
      <c r="N383" s="503"/>
      <c r="O383" s="503"/>
      <c r="P383" s="503"/>
      <c r="Q383" s="503"/>
    </row>
    <row r="384" spans="1:17" ht="15.75" customHeight="1">
      <c r="A384" s="503"/>
      <c r="B384" s="503"/>
      <c r="C384" s="503"/>
      <c r="D384" s="503"/>
      <c r="E384" s="503"/>
      <c r="F384" s="503"/>
      <c r="G384" s="503"/>
      <c r="H384" s="503"/>
      <c r="I384" s="503"/>
      <c r="J384" s="503"/>
      <c r="K384" s="503"/>
      <c r="L384" s="503"/>
      <c r="M384" s="503"/>
      <c r="N384" s="503"/>
      <c r="O384" s="503"/>
      <c r="P384" s="503"/>
      <c r="Q384" s="503"/>
    </row>
    <row r="385" spans="1:17" ht="15.75" customHeight="1">
      <c r="A385" s="503"/>
      <c r="B385" s="503"/>
      <c r="C385" s="503"/>
      <c r="D385" s="503"/>
      <c r="E385" s="503"/>
      <c r="F385" s="503"/>
      <c r="G385" s="503"/>
      <c r="H385" s="503"/>
      <c r="I385" s="503"/>
      <c r="J385" s="503"/>
      <c r="K385" s="503"/>
      <c r="L385" s="503"/>
      <c r="M385" s="503"/>
      <c r="N385" s="503"/>
      <c r="O385" s="503"/>
      <c r="P385" s="503"/>
      <c r="Q385" s="503"/>
    </row>
    <row r="386" spans="1:17" ht="15.75" customHeight="1">
      <c r="A386" s="503"/>
      <c r="B386" s="503"/>
      <c r="C386" s="503"/>
      <c r="D386" s="503"/>
      <c r="E386" s="503"/>
      <c r="F386" s="503"/>
      <c r="G386" s="503"/>
      <c r="H386" s="503"/>
      <c r="I386" s="503"/>
      <c r="J386" s="503"/>
      <c r="K386" s="503"/>
      <c r="L386" s="503"/>
      <c r="M386" s="503"/>
      <c r="N386" s="503"/>
      <c r="O386" s="503"/>
      <c r="P386" s="503"/>
      <c r="Q386" s="503"/>
    </row>
    <row r="387" spans="1:17" ht="15.75" customHeight="1">
      <c r="A387" s="503"/>
      <c r="B387" s="503"/>
      <c r="C387" s="503"/>
      <c r="D387" s="503"/>
      <c r="E387" s="503"/>
      <c r="F387" s="503"/>
      <c r="G387" s="503"/>
      <c r="H387" s="503"/>
      <c r="I387" s="503"/>
      <c r="J387" s="503"/>
      <c r="K387" s="503"/>
      <c r="L387" s="503"/>
      <c r="M387" s="503"/>
      <c r="N387" s="503"/>
      <c r="O387" s="503"/>
      <c r="P387" s="503"/>
      <c r="Q387" s="503"/>
    </row>
    <row r="388" spans="1:17" ht="15.75" customHeight="1">
      <c r="A388" s="503"/>
      <c r="B388" s="503"/>
      <c r="C388" s="503"/>
      <c r="D388" s="503"/>
      <c r="E388" s="503"/>
      <c r="F388" s="503"/>
      <c r="G388" s="503"/>
      <c r="H388" s="503"/>
      <c r="I388" s="503"/>
      <c r="J388" s="503"/>
      <c r="K388" s="503"/>
      <c r="L388" s="503"/>
      <c r="M388" s="503"/>
      <c r="N388" s="503"/>
      <c r="O388" s="503"/>
      <c r="P388" s="503"/>
      <c r="Q388" s="503"/>
    </row>
    <row r="389" spans="1:17" ht="15.75" customHeight="1">
      <c r="A389" s="503"/>
      <c r="B389" s="503"/>
      <c r="C389" s="503"/>
      <c r="D389" s="503"/>
      <c r="E389" s="503"/>
      <c r="F389" s="503"/>
      <c r="G389" s="503"/>
      <c r="H389" s="503"/>
      <c r="I389" s="503"/>
      <c r="J389" s="503"/>
      <c r="K389" s="503"/>
      <c r="L389" s="503"/>
      <c r="M389" s="503"/>
      <c r="N389" s="503"/>
      <c r="O389" s="503"/>
      <c r="P389" s="503"/>
      <c r="Q389" s="503"/>
    </row>
    <row r="390" spans="1:17" ht="15.75" customHeight="1">
      <c r="A390" s="503"/>
      <c r="B390" s="503"/>
      <c r="C390" s="503"/>
      <c r="D390" s="503"/>
      <c r="E390" s="503"/>
      <c r="F390" s="503"/>
      <c r="G390" s="503"/>
      <c r="H390" s="503"/>
      <c r="I390" s="503"/>
      <c r="J390" s="503"/>
      <c r="K390" s="503"/>
      <c r="L390" s="503"/>
      <c r="M390" s="503"/>
      <c r="N390" s="503"/>
      <c r="O390" s="503"/>
      <c r="P390" s="503"/>
      <c r="Q390" s="503"/>
    </row>
    <row r="391" spans="1:17" ht="15.75" customHeight="1">
      <c r="A391" s="503"/>
      <c r="B391" s="503"/>
      <c r="C391" s="503"/>
      <c r="D391" s="503"/>
      <c r="E391" s="503"/>
      <c r="F391" s="503"/>
      <c r="G391" s="503"/>
      <c r="H391" s="503"/>
      <c r="I391" s="503"/>
      <c r="J391" s="503"/>
      <c r="K391" s="503"/>
      <c r="L391" s="503"/>
      <c r="M391" s="503"/>
      <c r="N391" s="503"/>
      <c r="O391" s="503"/>
      <c r="P391" s="503"/>
      <c r="Q391" s="503"/>
    </row>
    <row r="392" spans="1:17" ht="15.75" customHeight="1">
      <c r="A392" s="503"/>
      <c r="B392" s="503"/>
      <c r="C392" s="503"/>
      <c r="D392" s="503"/>
      <c r="E392" s="503"/>
      <c r="F392" s="503"/>
      <c r="G392" s="503"/>
      <c r="H392" s="503"/>
      <c r="I392" s="503"/>
      <c r="J392" s="503"/>
      <c r="K392" s="503"/>
      <c r="L392" s="503"/>
      <c r="M392" s="503"/>
      <c r="N392" s="503"/>
      <c r="O392" s="503"/>
      <c r="P392" s="503"/>
      <c r="Q392" s="503"/>
    </row>
    <row r="393" spans="1:17" ht="15.75" customHeight="1">
      <c r="A393" s="503"/>
      <c r="B393" s="503"/>
      <c r="C393" s="503"/>
      <c r="D393" s="503"/>
      <c r="E393" s="503"/>
      <c r="F393" s="503"/>
      <c r="G393" s="503"/>
      <c r="H393" s="503"/>
      <c r="I393" s="503"/>
      <c r="J393" s="503"/>
      <c r="K393" s="503"/>
      <c r="L393" s="503"/>
      <c r="M393" s="503"/>
      <c r="N393" s="503"/>
      <c r="O393" s="503"/>
      <c r="P393" s="503"/>
      <c r="Q393" s="503"/>
    </row>
    <row r="394" spans="1:17" ht="15.75" customHeight="1">
      <c r="A394" s="503"/>
      <c r="B394" s="503"/>
      <c r="C394" s="503"/>
      <c r="D394" s="503"/>
      <c r="E394" s="503"/>
      <c r="F394" s="503"/>
      <c r="G394" s="503"/>
      <c r="H394" s="503"/>
      <c r="I394" s="503"/>
      <c r="J394" s="503"/>
      <c r="K394" s="503"/>
      <c r="L394" s="503"/>
      <c r="M394" s="503"/>
      <c r="N394" s="503"/>
      <c r="O394" s="503"/>
      <c r="P394" s="503"/>
      <c r="Q394" s="503"/>
    </row>
    <row r="395" spans="1:17" ht="15.75" customHeight="1">
      <c r="A395" s="503"/>
      <c r="B395" s="503"/>
      <c r="C395" s="503"/>
      <c r="D395" s="503"/>
      <c r="E395" s="503"/>
      <c r="F395" s="503"/>
      <c r="G395" s="503"/>
      <c r="H395" s="503"/>
      <c r="I395" s="503"/>
      <c r="J395" s="503"/>
      <c r="K395" s="503"/>
      <c r="L395" s="503"/>
      <c r="M395" s="503"/>
      <c r="N395" s="503"/>
      <c r="O395" s="503"/>
      <c r="P395" s="503"/>
      <c r="Q395" s="503"/>
    </row>
    <row r="396" spans="1:17" ht="15.75" customHeight="1">
      <c r="A396" s="503"/>
      <c r="B396" s="503"/>
      <c r="C396" s="503"/>
      <c r="D396" s="503"/>
      <c r="E396" s="503"/>
      <c r="F396" s="503"/>
      <c r="G396" s="503"/>
      <c r="H396" s="503"/>
      <c r="I396" s="503"/>
      <c r="J396" s="503"/>
      <c r="K396" s="503"/>
      <c r="L396" s="503"/>
      <c r="M396" s="503"/>
      <c r="N396" s="503"/>
      <c r="O396" s="503"/>
      <c r="P396" s="503"/>
      <c r="Q396" s="503"/>
    </row>
    <row r="397" spans="1:17" ht="15.75" customHeight="1">
      <c r="A397" s="503"/>
      <c r="B397" s="503"/>
      <c r="C397" s="503"/>
      <c r="D397" s="503"/>
      <c r="E397" s="503"/>
      <c r="F397" s="503"/>
      <c r="G397" s="503"/>
      <c r="H397" s="503"/>
      <c r="I397" s="503"/>
      <c r="J397" s="503"/>
      <c r="K397" s="503"/>
      <c r="L397" s="503"/>
      <c r="M397" s="503"/>
      <c r="N397" s="503"/>
      <c r="O397" s="503"/>
      <c r="P397" s="503"/>
      <c r="Q397" s="503"/>
    </row>
    <row r="398" spans="1:17" ht="15.75" customHeight="1">
      <c r="A398" s="503"/>
      <c r="B398" s="503"/>
      <c r="C398" s="503"/>
      <c r="D398" s="503"/>
      <c r="E398" s="503"/>
      <c r="F398" s="503"/>
      <c r="G398" s="503"/>
      <c r="H398" s="503"/>
      <c r="I398" s="503"/>
      <c r="J398" s="503"/>
      <c r="K398" s="503"/>
      <c r="L398" s="503"/>
      <c r="M398" s="503"/>
      <c r="N398" s="503"/>
      <c r="O398" s="503"/>
      <c r="P398" s="503"/>
      <c r="Q398" s="503"/>
    </row>
    <row r="399" spans="1:17" ht="15.75" customHeight="1">
      <c r="A399" s="503"/>
      <c r="B399" s="503"/>
      <c r="C399" s="503"/>
      <c r="D399" s="503"/>
      <c r="E399" s="503"/>
      <c r="F399" s="503"/>
      <c r="G399" s="503"/>
      <c r="H399" s="503"/>
      <c r="I399" s="503"/>
      <c r="J399" s="503"/>
      <c r="K399" s="503"/>
      <c r="L399" s="503"/>
      <c r="M399" s="503"/>
      <c r="N399" s="503"/>
      <c r="O399" s="503"/>
      <c r="P399" s="503"/>
      <c r="Q399" s="503"/>
    </row>
    <row r="400" spans="1:17" ht="15.75" customHeight="1">
      <c r="A400" s="503"/>
      <c r="B400" s="503"/>
      <c r="C400" s="503"/>
      <c r="D400" s="503"/>
      <c r="E400" s="503"/>
      <c r="F400" s="503"/>
      <c r="G400" s="503"/>
      <c r="H400" s="503"/>
      <c r="I400" s="503"/>
      <c r="J400" s="503"/>
      <c r="K400" s="503"/>
      <c r="L400" s="503"/>
      <c r="M400" s="503"/>
      <c r="N400" s="503"/>
      <c r="O400" s="503"/>
      <c r="P400" s="503"/>
      <c r="Q400" s="503"/>
    </row>
    <row r="401" spans="1:17" ht="15.75" customHeight="1">
      <c r="A401" s="503"/>
      <c r="B401" s="503"/>
      <c r="C401" s="503"/>
      <c r="D401" s="503"/>
      <c r="E401" s="503"/>
      <c r="F401" s="503"/>
      <c r="G401" s="503"/>
      <c r="H401" s="503"/>
      <c r="I401" s="503"/>
      <c r="J401" s="503"/>
      <c r="K401" s="503"/>
      <c r="L401" s="503"/>
      <c r="M401" s="503"/>
      <c r="N401" s="503"/>
      <c r="O401" s="503"/>
      <c r="P401" s="503"/>
      <c r="Q401" s="503"/>
    </row>
    <row r="402" spans="1:17" ht="15.75" customHeight="1">
      <c r="A402" s="503"/>
      <c r="B402" s="503"/>
      <c r="C402" s="503"/>
      <c r="D402" s="503"/>
      <c r="E402" s="503"/>
      <c r="F402" s="503"/>
      <c r="G402" s="503"/>
      <c r="H402" s="503"/>
      <c r="I402" s="503"/>
      <c r="J402" s="503"/>
      <c r="K402" s="503"/>
      <c r="L402" s="503"/>
      <c r="M402" s="503"/>
      <c r="N402" s="503"/>
      <c r="O402" s="503"/>
      <c r="P402" s="503"/>
      <c r="Q402" s="503"/>
    </row>
    <row r="403" spans="1:17" ht="15.75" customHeight="1">
      <c r="A403" s="503"/>
      <c r="B403" s="503"/>
      <c r="C403" s="503"/>
      <c r="D403" s="503"/>
      <c r="E403" s="503"/>
      <c r="F403" s="503"/>
      <c r="G403" s="503"/>
      <c r="H403" s="503"/>
      <c r="I403" s="503"/>
      <c r="J403" s="503"/>
      <c r="K403" s="503"/>
      <c r="L403" s="503"/>
      <c r="M403" s="503"/>
      <c r="N403" s="503"/>
      <c r="O403" s="503"/>
      <c r="P403" s="503"/>
      <c r="Q403" s="503"/>
    </row>
    <row r="404" spans="1:17" ht="15.75" customHeight="1">
      <c r="A404" s="503"/>
      <c r="B404" s="503"/>
      <c r="C404" s="503"/>
      <c r="D404" s="503"/>
      <c r="E404" s="503"/>
      <c r="F404" s="503"/>
      <c r="G404" s="503"/>
      <c r="H404" s="503"/>
      <c r="I404" s="503"/>
      <c r="J404" s="503"/>
      <c r="K404" s="503"/>
      <c r="L404" s="503"/>
      <c r="M404" s="503"/>
      <c r="N404" s="503"/>
      <c r="O404" s="503"/>
      <c r="P404" s="503"/>
      <c r="Q404" s="503"/>
    </row>
    <row r="405" spans="1:17" ht="15.75" customHeight="1">
      <c r="A405" s="503"/>
      <c r="B405" s="503"/>
      <c r="C405" s="503"/>
      <c r="D405" s="503"/>
      <c r="E405" s="503"/>
      <c r="F405" s="503"/>
      <c r="G405" s="503"/>
      <c r="H405" s="503"/>
      <c r="I405" s="503"/>
      <c r="J405" s="503"/>
      <c r="K405" s="503"/>
      <c r="L405" s="503"/>
      <c r="M405" s="503"/>
      <c r="N405" s="503"/>
      <c r="O405" s="503"/>
      <c r="P405" s="503"/>
      <c r="Q405" s="503"/>
    </row>
    <row r="406" spans="1:17" ht="15.75" customHeight="1">
      <c r="A406" s="503"/>
      <c r="B406" s="503"/>
      <c r="C406" s="503"/>
      <c r="D406" s="503"/>
      <c r="E406" s="503"/>
      <c r="F406" s="503"/>
      <c r="G406" s="503"/>
      <c r="H406" s="503"/>
      <c r="I406" s="503"/>
      <c r="J406" s="503"/>
      <c r="K406" s="503"/>
      <c r="L406" s="503"/>
      <c r="M406" s="503"/>
      <c r="N406" s="503"/>
      <c r="O406" s="503"/>
      <c r="P406" s="503"/>
      <c r="Q406" s="503"/>
    </row>
    <row r="407" spans="1:17" ht="15.75" customHeight="1">
      <c r="A407" s="503"/>
      <c r="B407" s="503"/>
      <c r="C407" s="503"/>
      <c r="D407" s="503"/>
      <c r="E407" s="503"/>
      <c r="F407" s="503"/>
      <c r="G407" s="503"/>
      <c r="H407" s="503"/>
      <c r="I407" s="503"/>
      <c r="J407" s="503"/>
      <c r="K407" s="503"/>
      <c r="L407" s="503"/>
      <c r="M407" s="503"/>
      <c r="N407" s="503"/>
      <c r="O407" s="503"/>
      <c r="P407" s="503"/>
      <c r="Q407" s="503"/>
    </row>
    <row r="408" spans="1:17" ht="15.75" customHeight="1">
      <c r="A408" s="503"/>
      <c r="B408" s="503"/>
      <c r="C408" s="503"/>
      <c r="D408" s="503"/>
      <c r="E408" s="503"/>
      <c r="F408" s="503"/>
      <c r="G408" s="503"/>
      <c r="H408" s="503"/>
      <c r="I408" s="503"/>
      <c r="J408" s="503"/>
      <c r="K408" s="503"/>
      <c r="L408" s="503"/>
      <c r="M408" s="503"/>
      <c r="N408" s="503"/>
      <c r="O408" s="503"/>
      <c r="P408" s="503"/>
      <c r="Q408" s="503"/>
    </row>
    <row r="409" spans="1:17" ht="15.75" customHeight="1">
      <c r="A409" s="503"/>
      <c r="B409" s="503"/>
      <c r="C409" s="503"/>
      <c r="D409" s="503"/>
      <c r="E409" s="503"/>
      <c r="F409" s="503"/>
      <c r="G409" s="503"/>
      <c r="H409" s="503"/>
      <c r="I409" s="503"/>
      <c r="J409" s="503"/>
      <c r="K409" s="503"/>
      <c r="L409" s="503"/>
      <c r="M409" s="503"/>
      <c r="N409" s="503"/>
      <c r="O409" s="503"/>
      <c r="P409" s="503"/>
      <c r="Q409" s="503"/>
    </row>
    <row r="410" spans="1:17" ht="15.75" customHeight="1">
      <c r="A410" s="503"/>
      <c r="B410" s="503"/>
      <c r="C410" s="503"/>
      <c r="D410" s="503"/>
      <c r="E410" s="503"/>
      <c r="F410" s="503"/>
      <c r="G410" s="503"/>
      <c r="H410" s="503"/>
      <c r="I410" s="503"/>
      <c r="J410" s="503"/>
      <c r="K410" s="503"/>
      <c r="L410" s="503"/>
      <c r="M410" s="503"/>
      <c r="N410" s="503"/>
      <c r="O410" s="503"/>
      <c r="P410" s="503"/>
      <c r="Q410" s="503"/>
    </row>
    <row r="411" spans="1:17" ht="15.75" customHeight="1">
      <c r="A411" s="503"/>
      <c r="B411" s="503"/>
      <c r="C411" s="503"/>
      <c r="D411" s="503"/>
      <c r="E411" s="503"/>
      <c r="F411" s="503"/>
      <c r="G411" s="503"/>
      <c r="H411" s="503"/>
      <c r="I411" s="503"/>
      <c r="J411" s="503"/>
      <c r="K411" s="503"/>
      <c r="L411" s="503"/>
      <c r="M411" s="503"/>
      <c r="N411" s="503"/>
      <c r="O411" s="503"/>
      <c r="P411" s="503"/>
      <c r="Q411" s="503"/>
    </row>
    <row r="412" spans="1:17" ht="15.75" customHeight="1">
      <c r="A412" s="503"/>
      <c r="B412" s="503"/>
      <c r="C412" s="503"/>
      <c r="D412" s="503"/>
      <c r="E412" s="503"/>
      <c r="F412" s="503"/>
      <c r="G412" s="503"/>
      <c r="H412" s="503"/>
      <c r="I412" s="503"/>
      <c r="J412" s="503"/>
      <c r="K412" s="503"/>
      <c r="L412" s="503"/>
      <c r="M412" s="503"/>
      <c r="N412" s="503"/>
      <c r="O412" s="503"/>
      <c r="P412" s="503"/>
      <c r="Q412" s="503"/>
    </row>
    <row r="413" spans="1:17" ht="15.75" customHeight="1">
      <c r="A413" s="503"/>
      <c r="B413" s="503"/>
      <c r="C413" s="503"/>
      <c r="D413" s="503"/>
      <c r="E413" s="503"/>
      <c r="F413" s="503"/>
      <c r="G413" s="503"/>
      <c r="H413" s="503"/>
      <c r="I413" s="503"/>
      <c r="J413" s="503"/>
      <c r="K413" s="503"/>
      <c r="L413" s="503"/>
      <c r="M413" s="503"/>
      <c r="N413" s="503"/>
      <c r="O413" s="503"/>
      <c r="P413" s="503"/>
      <c r="Q413" s="503"/>
    </row>
    <row r="414" spans="1:17" ht="15.75" customHeight="1">
      <c r="A414" s="503"/>
      <c r="B414" s="503"/>
      <c r="C414" s="503"/>
      <c r="D414" s="503"/>
      <c r="E414" s="503"/>
      <c r="F414" s="503"/>
      <c r="G414" s="503"/>
      <c r="H414" s="503"/>
      <c r="I414" s="503"/>
      <c r="J414" s="503"/>
      <c r="K414" s="503"/>
      <c r="L414" s="503"/>
      <c r="M414" s="503"/>
      <c r="N414" s="503"/>
      <c r="O414" s="503"/>
      <c r="P414" s="503"/>
      <c r="Q414" s="503"/>
    </row>
    <row r="415" spans="1:17" ht="15.75" customHeight="1">
      <c r="A415" s="503"/>
      <c r="B415" s="503"/>
      <c r="C415" s="503"/>
      <c r="D415" s="503"/>
      <c r="E415" s="503"/>
      <c r="F415" s="503"/>
      <c r="G415" s="503"/>
      <c r="H415" s="503"/>
      <c r="I415" s="503"/>
      <c r="J415" s="503"/>
      <c r="K415" s="503"/>
      <c r="L415" s="503"/>
      <c r="M415" s="503"/>
      <c r="N415" s="503"/>
      <c r="O415" s="503"/>
      <c r="P415" s="503"/>
      <c r="Q415" s="503"/>
    </row>
    <row r="416" spans="1:17" ht="15.75" customHeight="1">
      <c r="A416" s="503"/>
      <c r="B416" s="503"/>
      <c r="C416" s="503"/>
      <c r="D416" s="503"/>
      <c r="E416" s="503"/>
      <c r="F416" s="503"/>
      <c r="G416" s="503"/>
      <c r="H416" s="503"/>
      <c r="I416" s="503"/>
      <c r="J416" s="503"/>
      <c r="K416" s="503"/>
      <c r="L416" s="503"/>
      <c r="M416" s="503"/>
      <c r="N416" s="503"/>
      <c r="O416" s="503"/>
      <c r="P416" s="503"/>
      <c r="Q416" s="503"/>
    </row>
    <row r="417" spans="1:17" ht="15.75" customHeight="1">
      <c r="A417" s="503"/>
      <c r="B417" s="503"/>
      <c r="C417" s="503"/>
      <c r="D417" s="503"/>
      <c r="E417" s="503"/>
      <c r="F417" s="503"/>
      <c r="G417" s="503"/>
      <c r="H417" s="503"/>
      <c r="I417" s="503"/>
      <c r="J417" s="503"/>
      <c r="K417" s="503"/>
      <c r="L417" s="503"/>
      <c r="M417" s="503"/>
      <c r="N417" s="503"/>
      <c r="O417" s="503"/>
      <c r="P417" s="503"/>
      <c r="Q417" s="503"/>
    </row>
    <row r="418" spans="1:17" ht="15.75" customHeight="1">
      <c r="A418" s="503"/>
      <c r="B418" s="503"/>
      <c r="C418" s="503"/>
      <c r="D418" s="503"/>
      <c r="E418" s="503"/>
      <c r="F418" s="503"/>
      <c r="G418" s="503"/>
      <c r="H418" s="503"/>
      <c r="I418" s="503"/>
      <c r="J418" s="503"/>
      <c r="K418" s="503"/>
      <c r="L418" s="503"/>
      <c r="M418" s="503"/>
      <c r="N418" s="503"/>
      <c r="O418" s="503"/>
      <c r="P418" s="503"/>
      <c r="Q418" s="503"/>
    </row>
    <row r="419" spans="1:17" ht="15.75" customHeight="1">
      <c r="A419" s="503"/>
      <c r="B419" s="503"/>
      <c r="C419" s="503"/>
      <c r="D419" s="503"/>
      <c r="E419" s="503"/>
      <c r="F419" s="503"/>
      <c r="G419" s="503"/>
      <c r="H419" s="503"/>
      <c r="I419" s="503"/>
      <c r="J419" s="503"/>
      <c r="K419" s="503"/>
      <c r="L419" s="503"/>
      <c r="M419" s="503"/>
      <c r="N419" s="503"/>
      <c r="O419" s="503"/>
      <c r="P419" s="503"/>
      <c r="Q419" s="503"/>
    </row>
    <row r="420" spans="1:17" ht="15.75" customHeight="1">
      <c r="A420" s="503"/>
      <c r="B420" s="503"/>
      <c r="C420" s="503"/>
      <c r="D420" s="503"/>
      <c r="E420" s="503"/>
      <c r="F420" s="503"/>
      <c r="G420" s="503"/>
      <c r="H420" s="503"/>
      <c r="I420" s="503"/>
      <c r="J420" s="503"/>
      <c r="K420" s="503"/>
      <c r="L420" s="503"/>
      <c r="M420" s="503"/>
      <c r="N420" s="503"/>
      <c r="O420" s="503"/>
      <c r="P420" s="503"/>
      <c r="Q420" s="503"/>
    </row>
    <row r="421" spans="1:17" ht="15.75" customHeight="1">
      <c r="A421" s="503"/>
      <c r="B421" s="503"/>
      <c r="C421" s="503"/>
      <c r="D421" s="503"/>
      <c r="E421" s="503"/>
      <c r="F421" s="503"/>
      <c r="G421" s="503"/>
      <c r="H421" s="503"/>
      <c r="I421" s="503"/>
      <c r="J421" s="503"/>
      <c r="K421" s="503"/>
      <c r="L421" s="503"/>
      <c r="M421" s="503"/>
      <c r="N421" s="503"/>
      <c r="O421" s="503"/>
      <c r="P421" s="503"/>
      <c r="Q421" s="503"/>
    </row>
    <row r="422" spans="1:17" ht="15.75" customHeight="1">
      <c r="A422" s="503"/>
      <c r="B422" s="503"/>
      <c r="C422" s="503"/>
      <c r="D422" s="503"/>
      <c r="E422" s="503"/>
      <c r="F422" s="503"/>
      <c r="G422" s="503"/>
      <c r="H422" s="503"/>
      <c r="I422" s="503"/>
      <c r="J422" s="503"/>
      <c r="K422" s="503"/>
      <c r="L422" s="503"/>
      <c r="M422" s="503"/>
      <c r="N422" s="503"/>
      <c r="O422" s="503"/>
      <c r="P422" s="503"/>
      <c r="Q422" s="503"/>
    </row>
    <row r="423" spans="1:17" ht="15.75" customHeight="1">
      <c r="A423" s="503"/>
      <c r="B423" s="503"/>
      <c r="C423" s="503"/>
      <c r="D423" s="503"/>
      <c r="E423" s="503"/>
      <c r="F423" s="503"/>
      <c r="G423" s="503"/>
      <c r="H423" s="503"/>
      <c r="I423" s="503"/>
      <c r="J423" s="503"/>
      <c r="K423" s="503"/>
      <c r="L423" s="503"/>
      <c r="M423" s="503"/>
      <c r="N423" s="503"/>
      <c r="O423" s="503"/>
      <c r="P423" s="503"/>
      <c r="Q423" s="503"/>
    </row>
    <row r="424" spans="1:17" ht="15.75" customHeight="1">
      <c r="A424" s="503"/>
      <c r="B424" s="503"/>
      <c r="C424" s="503"/>
      <c r="D424" s="503"/>
      <c r="E424" s="503"/>
      <c r="F424" s="503"/>
      <c r="G424" s="503"/>
      <c r="H424" s="503"/>
      <c r="I424" s="503"/>
      <c r="J424" s="503"/>
      <c r="K424" s="503"/>
      <c r="L424" s="503"/>
      <c r="M424" s="503"/>
      <c r="N424" s="503"/>
      <c r="O424" s="503"/>
      <c r="P424" s="503"/>
      <c r="Q424" s="503"/>
    </row>
    <row r="425" spans="1:17" ht="15.75" customHeight="1">
      <c r="A425" s="503"/>
      <c r="B425" s="503"/>
      <c r="C425" s="503"/>
      <c r="D425" s="503"/>
      <c r="E425" s="503"/>
      <c r="F425" s="503"/>
      <c r="G425" s="503"/>
      <c r="H425" s="503"/>
      <c r="I425" s="503"/>
      <c r="J425" s="503"/>
      <c r="K425" s="503"/>
      <c r="L425" s="503"/>
      <c r="M425" s="503"/>
      <c r="N425" s="503"/>
      <c r="O425" s="503"/>
      <c r="P425" s="503"/>
      <c r="Q425" s="503"/>
    </row>
    <row r="426" spans="1:17" ht="15.75" customHeight="1">
      <c r="A426" s="503"/>
      <c r="B426" s="503"/>
      <c r="C426" s="503"/>
      <c r="D426" s="503"/>
      <c r="E426" s="503"/>
      <c r="F426" s="503"/>
      <c r="G426" s="503"/>
      <c r="H426" s="503"/>
      <c r="I426" s="503"/>
      <c r="J426" s="503"/>
      <c r="K426" s="503"/>
      <c r="L426" s="503"/>
      <c r="M426" s="503"/>
      <c r="N426" s="503"/>
      <c r="O426" s="503"/>
      <c r="P426" s="503"/>
      <c r="Q426" s="503"/>
    </row>
    <row r="427" spans="1:17" ht="15.75" customHeight="1">
      <c r="A427" s="503"/>
      <c r="B427" s="503"/>
      <c r="C427" s="503"/>
      <c r="D427" s="503"/>
      <c r="E427" s="503"/>
      <c r="F427" s="503"/>
      <c r="G427" s="503"/>
      <c r="H427" s="503"/>
      <c r="I427" s="503"/>
      <c r="J427" s="503"/>
      <c r="K427" s="503"/>
      <c r="L427" s="503"/>
      <c r="M427" s="503"/>
      <c r="N427" s="503"/>
      <c r="O427" s="503"/>
      <c r="P427" s="503"/>
      <c r="Q427" s="503"/>
    </row>
    <row r="428" spans="1:17" ht="15.75" customHeight="1">
      <c r="A428" s="503"/>
      <c r="B428" s="503"/>
      <c r="C428" s="503"/>
      <c r="D428" s="503"/>
      <c r="E428" s="503"/>
      <c r="F428" s="503"/>
      <c r="G428" s="503"/>
      <c r="H428" s="503"/>
      <c r="I428" s="503"/>
      <c r="J428" s="503"/>
      <c r="K428" s="503"/>
      <c r="L428" s="503"/>
      <c r="M428" s="503"/>
      <c r="N428" s="503"/>
      <c r="O428" s="503"/>
      <c r="P428" s="503"/>
      <c r="Q428" s="503"/>
    </row>
    <row r="429" spans="1:17" ht="15.75" customHeight="1">
      <c r="A429" s="503"/>
      <c r="B429" s="503"/>
      <c r="C429" s="503"/>
      <c r="D429" s="503"/>
      <c r="E429" s="503"/>
      <c r="F429" s="503"/>
      <c r="G429" s="503"/>
      <c r="H429" s="503"/>
      <c r="I429" s="503"/>
      <c r="J429" s="503"/>
      <c r="K429" s="503"/>
      <c r="L429" s="503"/>
      <c r="M429" s="503"/>
      <c r="N429" s="503"/>
      <c r="O429" s="503"/>
      <c r="P429" s="503"/>
      <c r="Q429" s="503"/>
    </row>
    <row r="430" spans="1:17" ht="15.75" customHeight="1">
      <c r="A430" s="503"/>
      <c r="B430" s="503"/>
      <c r="C430" s="503"/>
      <c r="D430" s="503"/>
      <c r="E430" s="503"/>
      <c r="F430" s="503"/>
      <c r="G430" s="503"/>
      <c r="H430" s="503"/>
      <c r="I430" s="503"/>
      <c r="J430" s="503"/>
      <c r="K430" s="503"/>
      <c r="L430" s="503"/>
      <c r="M430" s="503"/>
      <c r="N430" s="503"/>
      <c r="O430" s="503"/>
      <c r="P430" s="503"/>
      <c r="Q430" s="503"/>
    </row>
    <row r="431" spans="1:17" ht="15.75" customHeight="1">
      <c r="A431" s="503"/>
      <c r="B431" s="503"/>
      <c r="C431" s="503"/>
      <c r="D431" s="503"/>
      <c r="E431" s="503"/>
      <c r="F431" s="503"/>
      <c r="G431" s="503"/>
      <c r="H431" s="503"/>
      <c r="I431" s="503"/>
      <c r="J431" s="503"/>
      <c r="K431" s="503"/>
      <c r="L431" s="503"/>
      <c r="M431" s="503"/>
      <c r="N431" s="503"/>
      <c r="O431" s="503"/>
      <c r="P431" s="503"/>
      <c r="Q431" s="503"/>
    </row>
    <row r="432" spans="1:17" ht="15.75" customHeight="1">
      <c r="A432" s="503"/>
      <c r="B432" s="503"/>
      <c r="C432" s="503"/>
      <c r="D432" s="503"/>
      <c r="E432" s="503"/>
      <c r="F432" s="503"/>
      <c r="G432" s="503"/>
      <c r="H432" s="503"/>
      <c r="I432" s="503"/>
      <c r="J432" s="503"/>
      <c r="K432" s="503"/>
      <c r="L432" s="503"/>
      <c r="M432" s="503"/>
      <c r="N432" s="503"/>
      <c r="O432" s="503"/>
      <c r="P432" s="503"/>
      <c r="Q432" s="503"/>
    </row>
    <row r="433" spans="1:17" ht="15.75" customHeight="1">
      <c r="A433" s="503"/>
      <c r="B433" s="503"/>
      <c r="C433" s="503"/>
      <c r="D433" s="503"/>
      <c r="E433" s="503"/>
      <c r="F433" s="503"/>
      <c r="G433" s="503"/>
      <c r="H433" s="503"/>
      <c r="I433" s="503"/>
      <c r="J433" s="503"/>
      <c r="K433" s="503"/>
      <c r="L433" s="503"/>
      <c r="M433" s="503"/>
      <c r="N433" s="503"/>
      <c r="O433" s="503"/>
      <c r="P433" s="503"/>
      <c r="Q433" s="503"/>
    </row>
    <row r="434" spans="1:17" ht="15.75" customHeight="1">
      <c r="A434" s="503"/>
      <c r="B434" s="503"/>
      <c r="C434" s="503"/>
      <c r="D434" s="503"/>
      <c r="E434" s="503"/>
      <c r="F434" s="503"/>
      <c r="G434" s="503"/>
      <c r="H434" s="503"/>
      <c r="I434" s="503"/>
      <c r="J434" s="503"/>
      <c r="K434" s="503"/>
      <c r="L434" s="503"/>
      <c r="M434" s="503"/>
      <c r="N434" s="503"/>
      <c r="O434" s="503"/>
      <c r="P434" s="503"/>
      <c r="Q434" s="503"/>
    </row>
    <row r="435" spans="1:17" ht="15.75" customHeight="1">
      <c r="A435" s="503"/>
      <c r="B435" s="503"/>
      <c r="C435" s="503"/>
      <c r="D435" s="503"/>
      <c r="E435" s="503"/>
      <c r="F435" s="503"/>
      <c r="G435" s="503"/>
      <c r="H435" s="503"/>
      <c r="I435" s="503"/>
      <c r="J435" s="503"/>
      <c r="K435" s="503"/>
      <c r="L435" s="503"/>
      <c r="M435" s="503"/>
      <c r="N435" s="503"/>
      <c r="O435" s="503"/>
      <c r="P435" s="503"/>
      <c r="Q435" s="503"/>
    </row>
    <row r="436" spans="1:17" ht="15.75" customHeight="1">
      <c r="A436" s="503"/>
      <c r="B436" s="503"/>
      <c r="C436" s="503"/>
      <c r="D436" s="503"/>
      <c r="E436" s="503"/>
      <c r="F436" s="503"/>
      <c r="G436" s="503"/>
      <c r="H436" s="503"/>
      <c r="I436" s="503"/>
      <c r="J436" s="503"/>
      <c r="K436" s="503"/>
      <c r="L436" s="503"/>
      <c r="M436" s="503"/>
      <c r="N436" s="503"/>
      <c r="O436" s="503"/>
      <c r="P436" s="503"/>
      <c r="Q436" s="503"/>
    </row>
    <row r="437" spans="1:17" ht="15.75" customHeight="1">
      <c r="A437" s="503"/>
      <c r="B437" s="503"/>
      <c r="C437" s="503"/>
      <c r="D437" s="503"/>
      <c r="E437" s="503"/>
      <c r="F437" s="503"/>
      <c r="G437" s="503"/>
      <c r="H437" s="503"/>
      <c r="I437" s="503"/>
      <c r="J437" s="503"/>
      <c r="K437" s="503"/>
      <c r="L437" s="503"/>
      <c r="M437" s="503"/>
      <c r="N437" s="503"/>
      <c r="O437" s="503"/>
      <c r="P437" s="503"/>
      <c r="Q437" s="503"/>
    </row>
    <row r="438" spans="1:17" ht="15.75" customHeight="1">
      <c r="A438" s="503"/>
      <c r="B438" s="503"/>
      <c r="C438" s="503"/>
      <c r="D438" s="503"/>
      <c r="E438" s="503"/>
      <c r="F438" s="503"/>
      <c r="G438" s="503"/>
      <c r="H438" s="503"/>
      <c r="I438" s="503"/>
      <c r="J438" s="503"/>
      <c r="K438" s="503"/>
      <c r="L438" s="503"/>
      <c r="M438" s="503"/>
      <c r="N438" s="503"/>
      <c r="O438" s="503"/>
      <c r="P438" s="503"/>
      <c r="Q438" s="503"/>
    </row>
    <row r="439" spans="1:17" ht="15.75" customHeight="1">
      <c r="A439" s="503"/>
      <c r="B439" s="503"/>
      <c r="C439" s="503"/>
      <c r="D439" s="503"/>
      <c r="E439" s="503"/>
      <c r="F439" s="503"/>
      <c r="G439" s="503"/>
      <c r="H439" s="503"/>
      <c r="I439" s="503"/>
      <c r="J439" s="503"/>
      <c r="K439" s="503"/>
      <c r="L439" s="503"/>
      <c r="M439" s="503"/>
      <c r="N439" s="503"/>
      <c r="O439" s="503"/>
      <c r="P439" s="503"/>
      <c r="Q439" s="503"/>
    </row>
    <row r="440" spans="1:17" ht="15.75" customHeight="1">
      <c r="A440" s="503"/>
      <c r="B440" s="503"/>
      <c r="C440" s="503"/>
      <c r="D440" s="503"/>
      <c r="E440" s="503"/>
      <c r="F440" s="503"/>
      <c r="G440" s="503"/>
      <c r="H440" s="503"/>
      <c r="I440" s="503"/>
      <c r="J440" s="503"/>
      <c r="K440" s="503"/>
      <c r="L440" s="503"/>
      <c r="M440" s="503"/>
      <c r="N440" s="503"/>
      <c r="O440" s="503"/>
      <c r="P440" s="503"/>
      <c r="Q440" s="503"/>
    </row>
    <row r="441" spans="1:17" ht="15.75" customHeight="1">
      <c r="A441" s="503"/>
      <c r="B441" s="503"/>
      <c r="C441" s="503"/>
      <c r="D441" s="503"/>
      <c r="E441" s="503"/>
      <c r="F441" s="503"/>
      <c r="G441" s="503"/>
      <c r="H441" s="503"/>
      <c r="I441" s="503"/>
      <c r="J441" s="503"/>
      <c r="K441" s="503"/>
      <c r="L441" s="503"/>
      <c r="M441" s="503"/>
      <c r="N441" s="503"/>
      <c r="O441" s="503"/>
      <c r="P441" s="503"/>
      <c r="Q441" s="503"/>
    </row>
    <row r="442" spans="1:17" ht="15.75" customHeight="1">
      <c r="A442" s="503"/>
      <c r="B442" s="503"/>
      <c r="C442" s="503"/>
      <c r="D442" s="503"/>
      <c r="E442" s="503"/>
      <c r="F442" s="503"/>
      <c r="G442" s="503"/>
      <c r="H442" s="503"/>
      <c r="I442" s="503"/>
      <c r="J442" s="503"/>
      <c r="K442" s="503"/>
      <c r="L442" s="503"/>
      <c r="M442" s="503"/>
      <c r="N442" s="503"/>
      <c r="O442" s="503"/>
      <c r="P442" s="503"/>
      <c r="Q442" s="503"/>
    </row>
    <row r="443" spans="1:17" ht="15.75" customHeight="1">
      <c r="A443" s="503"/>
      <c r="B443" s="503"/>
      <c r="C443" s="503"/>
      <c r="D443" s="503"/>
      <c r="E443" s="503"/>
      <c r="F443" s="503"/>
      <c r="G443" s="503"/>
      <c r="H443" s="503"/>
      <c r="I443" s="503"/>
      <c r="J443" s="503"/>
      <c r="K443" s="503"/>
      <c r="L443" s="503"/>
      <c r="M443" s="503"/>
      <c r="N443" s="503"/>
      <c r="O443" s="503"/>
      <c r="P443" s="503"/>
      <c r="Q443" s="503"/>
    </row>
    <row r="444" spans="1:17" ht="15.75" customHeight="1">
      <c r="A444" s="503"/>
      <c r="B444" s="503"/>
      <c r="C444" s="503"/>
      <c r="D444" s="503"/>
      <c r="E444" s="503"/>
      <c r="F444" s="503"/>
      <c r="G444" s="503"/>
      <c r="H444" s="503"/>
      <c r="I444" s="503"/>
      <c r="J444" s="503"/>
      <c r="K444" s="503"/>
      <c r="L444" s="503"/>
      <c r="M444" s="503"/>
      <c r="N444" s="503"/>
      <c r="O444" s="503"/>
      <c r="P444" s="503"/>
      <c r="Q444" s="503"/>
    </row>
    <row r="445" spans="1:17" ht="15.75" customHeight="1">
      <c r="A445" s="503"/>
      <c r="B445" s="503"/>
      <c r="C445" s="503"/>
      <c r="D445" s="503"/>
      <c r="E445" s="503"/>
      <c r="F445" s="503"/>
      <c r="G445" s="503"/>
      <c r="H445" s="503"/>
      <c r="I445" s="503"/>
      <c r="J445" s="503"/>
      <c r="K445" s="503"/>
      <c r="L445" s="503"/>
      <c r="M445" s="503"/>
      <c r="N445" s="503"/>
      <c r="O445" s="503"/>
      <c r="P445" s="503"/>
      <c r="Q445" s="503"/>
    </row>
    <row r="446" spans="1:17" ht="15.75" customHeight="1">
      <c r="A446" s="503"/>
      <c r="B446" s="503"/>
      <c r="C446" s="503"/>
      <c r="D446" s="503"/>
      <c r="E446" s="503"/>
      <c r="F446" s="503"/>
      <c r="G446" s="503"/>
      <c r="H446" s="503"/>
      <c r="I446" s="503"/>
      <c r="J446" s="503"/>
      <c r="K446" s="503"/>
      <c r="L446" s="503"/>
      <c r="M446" s="503"/>
      <c r="N446" s="503"/>
      <c r="O446" s="503"/>
      <c r="P446" s="503"/>
      <c r="Q446" s="503"/>
    </row>
    <row r="447" spans="1:17" ht="15.75" customHeight="1">
      <c r="A447" s="503"/>
      <c r="B447" s="503"/>
      <c r="C447" s="503"/>
      <c r="D447" s="503"/>
      <c r="E447" s="503"/>
      <c r="F447" s="503"/>
      <c r="G447" s="503"/>
      <c r="H447" s="503"/>
      <c r="I447" s="503"/>
      <c r="J447" s="503"/>
      <c r="K447" s="503"/>
      <c r="L447" s="503"/>
      <c r="M447" s="503"/>
      <c r="N447" s="503"/>
      <c r="O447" s="503"/>
      <c r="P447" s="503"/>
      <c r="Q447" s="503"/>
    </row>
    <row r="448" spans="1:17" ht="15.75" customHeight="1">
      <c r="A448" s="503"/>
      <c r="B448" s="503"/>
      <c r="C448" s="503"/>
      <c r="D448" s="503"/>
      <c r="E448" s="503"/>
      <c r="F448" s="503"/>
      <c r="G448" s="503"/>
      <c r="H448" s="503"/>
      <c r="I448" s="503"/>
      <c r="J448" s="503"/>
      <c r="K448" s="503"/>
      <c r="L448" s="503"/>
      <c r="M448" s="503"/>
      <c r="N448" s="503"/>
      <c r="O448" s="503"/>
      <c r="P448" s="503"/>
      <c r="Q448" s="503"/>
    </row>
    <row r="449" spans="1:17" ht="15.75" customHeight="1">
      <c r="A449" s="503"/>
      <c r="B449" s="503"/>
      <c r="C449" s="503"/>
      <c r="D449" s="503"/>
      <c r="E449" s="503"/>
      <c r="F449" s="503"/>
      <c r="G449" s="503"/>
      <c r="H449" s="503"/>
      <c r="I449" s="503"/>
      <c r="J449" s="503"/>
      <c r="K449" s="503"/>
      <c r="L449" s="503"/>
      <c r="M449" s="503"/>
      <c r="N449" s="503"/>
      <c r="O449" s="503"/>
      <c r="P449" s="503"/>
      <c r="Q449" s="503"/>
    </row>
    <row r="450" spans="1:17" ht="15.75" customHeight="1">
      <c r="A450" s="503"/>
      <c r="B450" s="503"/>
      <c r="C450" s="503"/>
      <c r="D450" s="503"/>
      <c r="E450" s="503"/>
      <c r="F450" s="503"/>
      <c r="G450" s="503"/>
      <c r="H450" s="503"/>
      <c r="I450" s="503"/>
      <c r="J450" s="503"/>
      <c r="K450" s="503"/>
      <c r="L450" s="503"/>
      <c r="M450" s="503"/>
      <c r="N450" s="503"/>
      <c r="O450" s="503"/>
      <c r="P450" s="503"/>
      <c r="Q450" s="503"/>
    </row>
    <row r="451" spans="1:17" ht="15.75" customHeight="1">
      <c r="A451" s="503"/>
      <c r="B451" s="503"/>
      <c r="C451" s="503"/>
      <c r="D451" s="503"/>
      <c r="E451" s="503"/>
      <c r="F451" s="503"/>
      <c r="G451" s="503"/>
      <c r="H451" s="503"/>
      <c r="I451" s="503"/>
      <c r="J451" s="503"/>
      <c r="K451" s="503"/>
      <c r="L451" s="503"/>
      <c r="M451" s="503"/>
      <c r="N451" s="503"/>
      <c r="O451" s="503"/>
      <c r="P451" s="503"/>
      <c r="Q451" s="503"/>
    </row>
    <row r="452" spans="1:17" ht="15.75" customHeight="1">
      <c r="A452" s="503"/>
      <c r="B452" s="503"/>
      <c r="C452" s="503"/>
      <c r="D452" s="503"/>
      <c r="E452" s="503"/>
      <c r="F452" s="503"/>
      <c r="G452" s="503"/>
      <c r="H452" s="503"/>
      <c r="I452" s="503"/>
      <c r="J452" s="503"/>
      <c r="K452" s="503"/>
      <c r="L452" s="503"/>
      <c r="M452" s="503"/>
      <c r="N452" s="503"/>
      <c r="O452" s="503"/>
      <c r="P452" s="503"/>
      <c r="Q452" s="503"/>
    </row>
    <row r="453" spans="1:17" ht="15.75" customHeight="1">
      <c r="A453" s="503"/>
      <c r="B453" s="503"/>
      <c r="C453" s="503"/>
      <c r="D453" s="503"/>
      <c r="E453" s="503"/>
      <c r="F453" s="503"/>
      <c r="G453" s="503"/>
      <c r="H453" s="503"/>
      <c r="I453" s="503"/>
      <c r="J453" s="503"/>
      <c r="K453" s="503"/>
      <c r="L453" s="503"/>
      <c r="M453" s="503"/>
      <c r="N453" s="503"/>
      <c r="O453" s="503"/>
      <c r="P453" s="503"/>
      <c r="Q453" s="503"/>
    </row>
    <row r="454" spans="1:17" ht="15.75" customHeight="1">
      <c r="A454" s="503"/>
      <c r="B454" s="503"/>
      <c r="C454" s="503"/>
      <c r="D454" s="503"/>
      <c r="E454" s="503"/>
      <c r="F454" s="503"/>
      <c r="G454" s="503"/>
      <c r="H454" s="503"/>
      <c r="I454" s="503"/>
      <c r="J454" s="503"/>
      <c r="K454" s="503"/>
      <c r="L454" s="503"/>
      <c r="M454" s="503"/>
      <c r="N454" s="503"/>
      <c r="O454" s="503"/>
      <c r="P454" s="503"/>
      <c r="Q454" s="503"/>
    </row>
    <row r="455" spans="1:17" ht="15.75" customHeight="1">
      <c r="A455" s="503"/>
      <c r="B455" s="503"/>
      <c r="C455" s="503"/>
      <c r="D455" s="503"/>
      <c r="E455" s="503"/>
      <c r="F455" s="503"/>
      <c r="G455" s="503"/>
      <c r="H455" s="503"/>
      <c r="I455" s="503"/>
      <c r="J455" s="503"/>
      <c r="K455" s="503"/>
      <c r="L455" s="503"/>
      <c r="M455" s="503"/>
      <c r="N455" s="503"/>
      <c r="O455" s="503"/>
      <c r="P455" s="503"/>
      <c r="Q455" s="503"/>
    </row>
    <row r="456" spans="1:17" ht="15.75" customHeight="1">
      <c r="A456" s="503"/>
      <c r="B456" s="503"/>
      <c r="C456" s="503"/>
      <c r="D456" s="503"/>
      <c r="E456" s="503"/>
      <c r="F456" s="503"/>
      <c r="G456" s="503"/>
      <c r="H456" s="503"/>
      <c r="I456" s="503"/>
      <c r="J456" s="503"/>
      <c r="K456" s="503"/>
      <c r="L456" s="503"/>
      <c r="M456" s="503"/>
      <c r="N456" s="503"/>
      <c r="O456" s="503"/>
      <c r="P456" s="503"/>
      <c r="Q456" s="503"/>
    </row>
    <row r="457" spans="1:17" ht="15.75" customHeight="1">
      <c r="A457" s="503"/>
      <c r="B457" s="503"/>
      <c r="C457" s="503"/>
      <c r="D457" s="503"/>
      <c r="E457" s="503"/>
      <c r="F457" s="503"/>
      <c r="G457" s="503"/>
      <c r="H457" s="503"/>
      <c r="I457" s="503"/>
      <c r="J457" s="503"/>
      <c r="K457" s="503"/>
      <c r="L457" s="503"/>
      <c r="M457" s="503"/>
      <c r="N457" s="503"/>
      <c r="O457" s="503"/>
      <c r="P457" s="503"/>
      <c r="Q457" s="503"/>
    </row>
    <row r="458" spans="1:17" ht="15.75" customHeight="1">
      <c r="A458" s="503"/>
      <c r="B458" s="503"/>
      <c r="C458" s="503"/>
      <c r="D458" s="503"/>
      <c r="E458" s="503"/>
      <c r="F458" s="503"/>
      <c r="G458" s="503"/>
      <c r="H458" s="503"/>
      <c r="I458" s="503"/>
      <c r="J458" s="503"/>
      <c r="K458" s="503"/>
      <c r="L458" s="503"/>
      <c r="M458" s="503"/>
      <c r="N458" s="503"/>
      <c r="O458" s="503"/>
      <c r="P458" s="503"/>
      <c r="Q458" s="503"/>
    </row>
    <row r="459" spans="1:17" ht="15.75" customHeight="1">
      <c r="A459" s="503"/>
      <c r="B459" s="503"/>
      <c r="C459" s="503"/>
      <c r="D459" s="503"/>
      <c r="E459" s="503"/>
      <c r="F459" s="503"/>
      <c r="G459" s="503"/>
      <c r="H459" s="503"/>
      <c r="I459" s="503"/>
      <c r="J459" s="503"/>
      <c r="K459" s="503"/>
      <c r="L459" s="503"/>
      <c r="M459" s="503"/>
      <c r="N459" s="503"/>
      <c r="O459" s="503"/>
      <c r="P459" s="503"/>
      <c r="Q459" s="503"/>
    </row>
    <row r="460" spans="1:17" ht="15.75" customHeight="1">
      <c r="A460" s="503"/>
      <c r="B460" s="503"/>
      <c r="C460" s="503"/>
      <c r="D460" s="503"/>
      <c r="E460" s="503"/>
      <c r="F460" s="503"/>
      <c r="G460" s="503"/>
      <c r="H460" s="503"/>
      <c r="I460" s="503"/>
      <c r="J460" s="503"/>
      <c r="K460" s="503"/>
      <c r="L460" s="503"/>
      <c r="M460" s="503"/>
      <c r="N460" s="503"/>
      <c r="O460" s="503"/>
      <c r="P460" s="503"/>
      <c r="Q460" s="503"/>
    </row>
    <row r="461" spans="1:17" ht="15.75" customHeight="1">
      <c r="A461" s="503"/>
      <c r="B461" s="503"/>
      <c r="C461" s="503"/>
      <c r="D461" s="503"/>
      <c r="E461" s="503"/>
      <c r="F461" s="503"/>
      <c r="G461" s="503"/>
      <c r="H461" s="503"/>
      <c r="I461" s="503"/>
      <c r="J461" s="503"/>
      <c r="K461" s="503"/>
      <c r="L461" s="503"/>
      <c r="M461" s="503"/>
      <c r="N461" s="503"/>
      <c r="O461" s="503"/>
      <c r="P461" s="503"/>
      <c r="Q461" s="503"/>
    </row>
    <row r="462" spans="1:17" ht="15.75" customHeight="1">
      <c r="A462" s="503"/>
      <c r="B462" s="503"/>
      <c r="C462" s="503"/>
      <c r="D462" s="503"/>
      <c r="E462" s="503"/>
      <c r="F462" s="503"/>
      <c r="G462" s="503"/>
      <c r="H462" s="503"/>
      <c r="I462" s="503"/>
      <c r="J462" s="503"/>
      <c r="K462" s="503"/>
      <c r="L462" s="503"/>
      <c r="M462" s="503"/>
      <c r="N462" s="503"/>
      <c r="O462" s="503"/>
      <c r="P462" s="503"/>
      <c r="Q462" s="503"/>
    </row>
    <row r="463" spans="1:17" ht="15.75" customHeight="1">
      <c r="A463" s="503"/>
      <c r="B463" s="503"/>
      <c r="C463" s="503"/>
      <c r="D463" s="503"/>
      <c r="E463" s="503"/>
      <c r="F463" s="503"/>
      <c r="G463" s="503"/>
      <c r="H463" s="503"/>
      <c r="I463" s="503"/>
      <c r="J463" s="503"/>
      <c r="K463" s="503"/>
      <c r="L463" s="503"/>
      <c r="M463" s="503"/>
      <c r="N463" s="503"/>
      <c r="O463" s="503"/>
      <c r="P463" s="503"/>
      <c r="Q463" s="503"/>
    </row>
    <row r="464" spans="1:17" ht="15.75" customHeight="1">
      <c r="A464" s="503"/>
      <c r="B464" s="503"/>
      <c r="C464" s="503"/>
      <c r="D464" s="503"/>
      <c r="E464" s="503"/>
      <c r="F464" s="503"/>
      <c r="G464" s="503"/>
      <c r="H464" s="503"/>
      <c r="I464" s="503"/>
      <c r="J464" s="503"/>
      <c r="K464" s="503"/>
      <c r="L464" s="503"/>
      <c r="M464" s="503"/>
      <c r="N464" s="503"/>
      <c r="O464" s="503"/>
      <c r="P464" s="503"/>
      <c r="Q464" s="503"/>
    </row>
    <row r="465" spans="1:17" ht="15.75" customHeight="1">
      <c r="A465" s="503"/>
      <c r="B465" s="503"/>
      <c r="C465" s="503"/>
      <c r="D465" s="503"/>
      <c r="E465" s="503"/>
      <c r="F465" s="503"/>
      <c r="G465" s="503"/>
      <c r="H465" s="503"/>
      <c r="I465" s="503"/>
      <c r="J465" s="503"/>
      <c r="K465" s="503"/>
      <c r="L465" s="503"/>
      <c r="M465" s="503"/>
      <c r="N465" s="503"/>
      <c r="O465" s="503"/>
      <c r="P465" s="503"/>
      <c r="Q465" s="503"/>
    </row>
    <row r="466" spans="1:17" ht="15.75" customHeight="1">
      <c r="A466" s="503"/>
      <c r="B466" s="503"/>
      <c r="C466" s="503"/>
      <c r="D466" s="503"/>
      <c r="E466" s="503"/>
      <c r="F466" s="503"/>
      <c r="G466" s="503"/>
      <c r="H466" s="503"/>
      <c r="I466" s="503"/>
      <c r="J466" s="503"/>
      <c r="K466" s="503"/>
      <c r="L466" s="503"/>
      <c r="M466" s="503"/>
      <c r="N466" s="503"/>
      <c r="O466" s="503"/>
      <c r="P466" s="503"/>
      <c r="Q466" s="503"/>
    </row>
    <row r="467" spans="1:17" ht="15.75" customHeight="1">
      <c r="A467" s="503"/>
      <c r="B467" s="503"/>
      <c r="C467" s="503"/>
      <c r="D467" s="503"/>
      <c r="E467" s="503"/>
      <c r="F467" s="503"/>
      <c r="G467" s="503"/>
      <c r="H467" s="503"/>
      <c r="I467" s="503"/>
      <c r="J467" s="503"/>
      <c r="K467" s="503"/>
      <c r="L467" s="503"/>
      <c r="M467" s="503"/>
      <c r="N467" s="503"/>
      <c r="O467" s="503"/>
      <c r="P467" s="503"/>
      <c r="Q467" s="503"/>
    </row>
    <row r="468" spans="1:17" ht="15.75" customHeight="1">
      <c r="A468" s="503"/>
      <c r="B468" s="503"/>
      <c r="C468" s="503"/>
      <c r="D468" s="503"/>
      <c r="E468" s="503"/>
      <c r="F468" s="503"/>
      <c r="G468" s="503"/>
      <c r="H468" s="503"/>
      <c r="I468" s="503"/>
      <c r="J468" s="503"/>
      <c r="K468" s="503"/>
      <c r="L468" s="503"/>
      <c r="M468" s="503"/>
      <c r="N468" s="503"/>
      <c r="O468" s="503"/>
      <c r="P468" s="503"/>
      <c r="Q468" s="503"/>
    </row>
    <row r="469" spans="1:17" ht="15.75" customHeight="1">
      <c r="A469" s="503"/>
      <c r="B469" s="503"/>
      <c r="C469" s="503"/>
      <c r="D469" s="503"/>
      <c r="E469" s="503"/>
      <c r="F469" s="503"/>
      <c r="G469" s="503"/>
      <c r="H469" s="503"/>
      <c r="I469" s="503"/>
      <c r="J469" s="503"/>
      <c r="K469" s="503"/>
      <c r="L469" s="503"/>
      <c r="M469" s="503"/>
      <c r="N469" s="503"/>
      <c r="O469" s="503"/>
      <c r="P469" s="503"/>
      <c r="Q469" s="503"/>
    </row>
    <row r="470" spans="1:17" ht="15.75" customHeight="1">
      <c r="A470" s="503"/>
      <c r="B470" s="503"/>
      <c r="C470" s="503"/>
      <c r="D470" s="503"/>
      <c r="E470" s="503"/>
      <c r="F470" s="503"/>
      <c r="G470" s="503"/>
      <c r="H470" s="503"/>
      <c r="I470" s="503"/>
      <c r="J470" s="503"/>
      <c r="K470" s="503"/>
      <c r="L470" s="503"/>
      <c r="M470" s="503"/>
      <c r="N470" s="503"/>
      <c r="O470" s="503"/>
      <c r="P470" s="503"/>
      <c r="Q470" s="503"/>
    </row>
    <row r="471" spans="1:17" ht="15.75" customHeight="1">
      <c r="A471" s="503"/>
      <c r="B471" s="503"/>
      <c r="C471" s="503"/>
      <c r="D471" s="503"/>
      <c r="E471" s="503"/>
      <c r="F471" s="503"/>
      <c r="G471" s="503"/>
      <c r="H471" s="503"/>
      <c r="I471" s="503"/>
      <c r="J471" s="503"/>
      <c r="K471" s="503"/>
      <c r="L471" s="503"/>
      <c r="M471" s="503"/>
      <c r="N471" s="503"/>
      <c r="O471" s="503"/>
      <c r="P471" s="503"/>
      <c r="Q471" s="503"/>
    </row>
    <row r="472" spans="1:17" ht="15.75" customHeight="1">
      <c r="A472" s="503"/>
      <c r="B472" s="503"/>
      <c r="C472" s="503"/>
      <c r="D472" s="503"/>
      <c r="E472" s="503"/>
      <c r="F472" s="503"/>
      <c r="G472" s="503"/>
      <c r="H472" s="503"/>
      <c r="I472" s="503"/>
      <c r="J472" s="503"/>
      <c r="K472" s="503"/>
      <c r="L472" s="503"/>
      <c r="M472" s="503"/>
      <c r="N472" s="503"/>
      <c r="O472" s="503"/>
      <c r="P472" s="503"/>
      <c r="Q472" s="503"/>
    </row>
    <row r="473" spans="1:17" ht="15.75" customHeight="1">
      <c r="A473" s="503"/>
      <c r="B473" s="503"/>
      <c r="C473" s="503"/>
      <c r="D473" s="503"/>
      <c r="E473" s="503"/>
      <c r="F473" s="503"/>
      <c r="G473" s="503"/>
      <c r="H473" s="503"/>
      <c r="I473" s="503"/>
      <c r="J473" s="503"/>
      <c r="K473" s="503"/>
      <c r="L473" s="503"/>
      <c r="M473" s="503"/>
      <c r="N473" s="503"/>
      <c r="O473" s="503"/>
      <c r="P473" s="503"/>
      <c r="Q473" s="503"/>
    </row>
    <row r="474" spans="1:17" ht="15.75" customHeight="1">
      <c r="A474" s="503"/>
      <c r="B474" s="503"/>
      <c r="C474" s="503"/>
      <c r="D474" s="503"/>
      <c r="E474" s="503"/>
      <c r="F474" s="503"/>
      <c r="G474" s="503"/>
      <c r="H474" s="503"/>
      <c r="I474" s="503"/>
      <c r="J474" s="503"/>
      <c r="K474" s="503"/>
      <c r="L474" s="503"/>
      <c r="M474" s="503"/>
      <c r="N474" s="503"/>
      <c r="O474" s="503"/>
      <c r="P474" s="503"/>
      <c r="Q474" s="503"/>
    </row>
    <row r="475" spans="1:17" ht="15.75" customHeight="1">
      <c r="A475" s="503"/>
      <c r="B475" s="503"/>
      <c r="C475" s="503"/>
      <c r="D475" s="503"/>
      <c r="E475" s="503"/>
      <c r="F475" s="503"/>
      <c r="G475" s="503"/>
      <c r="H475" s="503"/>
      <c r="I475" s="503"/>
      <c r="J475" s="503"/>
      <c r="K475" s="503"/>
      <c r="L475" s="503"/>
      <c r="M475" s="503"/>
      <c r="N475" s="503"/>
      <c r="O475" s="503"/>
      <c r="P475" s="503"/>
      <c r="Q475" s="503"/>
    </row>
    <row r="476" spans="1:17" ht="15.75" customHeight="1">
      <c r="A476" s="503"/>
      <c r="B476" s="503"/>
      <c r="C476" s="503"/>
      <c r="D476" s="503"/>
      <c r="E476" s="503"/>
      <c r="F476" s="503"/>
      <c r="G476" s="503"/>
      <c r="H476" s="503"/>
      <c r="I476" s="503"/>
      <c r="J476" s="503"/>
      <c r="K476" s="503"/>
      <c r="L476" s="503"/>
      <c r="M476" s="503"/>
      <c r="N476" s="503"/>
      <c r="O476" s="503"/>
      <c r="P476" s="503"/>
      <c r="Q476" s="503"/>
    </row>
    <row r="477" spans="1:17" ht="15.75" customHeight="1">
      <c r="A477" s="503"/>
      <c r="B477" s="503"/>
      <c r="C477" s="503"/>
      <c r="D477" s="503"/>
      <c r="E477" s="503"/>
      <c r="F477" s="503"/>
      <c r="G477" s="503"/>
      <c r="H477" s="503"/>
      <c r="I477" s="503"/>
      <c r="J477" s="503"/>
      <c r="K477" s="503"/>
      <c r="L477" s="503"/>
      <c r="M477" s="503"/>
      <c r="N477" s="503"/>
      <c r="O477" s="503"/>
      <c r="P477" s="503"/>
      <c r="Q477" s="503"/>
    </row>
    <row r="478" spans="1:17" ht="15.75" customHeight="1">
      <c r="A478" s="503"/>
      <c r="B478" s="503"/>
      <c r="C478" s="503"/>
      <c r="D478" s="503"/>
      <c r="E478" s="503"/>
      <c r="F478" s="503"/>
      <c r="G478" s="503"/>
      <c r="H478" s="503"/>
      <c r="I478" s="503"/>
      <c r="J478" s="503"/>
      <c r="K478" s="503"/>
      <c r="L478" s="503"/>
      <c r="M478" s="503"/>
      <c r="N478" s="503"/>
      <c r="O478" s="503"/>
      <c r="P478" s="503"/>
      <c r="Q478" s="503"/>
    </row>
    <row r="479" spans="1:17" ht="15.75" customHeight="1">
      <c r="A479" s="503"/>
      <c r="B479" s="503"/>
      <c r="C479" s="503"/>
      <c r="D479" s="503"/>
      <c r="E479" s="503"/>
      <c r="F479" s="503"/>
      <c r="G479" s="503"/>
      <c r="H479" s="503"/>
      <c r="I479" s="503"/>
      <c r="J479" s="503"/>
      <c r="K479" s="503"/>
      <c r="L479" s="503"/>
      <c r="M479" s="503"/>
      <c r="N479" s="503"/>
      <c r="O479" s="503"/>
      <c r="P479" s="503"/>
      <c r="Q479" s="503"/>
    </row>
    <row r="480" spans="1:17" ht="15.75" customHeight="1">
      <c r="A480" s="503"/>
      <c r="B480" s="503"/>
      <c r="C480" s="503"/>
      <c r="D480" s="503"/>
      <c r="E480" s="503"/>
      <c r="F480" s="503"/>
      <c r="G480" s="503"/>
      <c r="H480" s="503"/>
      <c r="I480" s="503"/>
      <c r="J480" s="503"/>
      <c r="K480" s="503"/>
      <c r="L480" s="503"/>
      <c r="M480" s="503"/>
      <c r="N480" s="503"/>
      <c r="O480" s="503"/>
      <c r="P480" s="503"/>
      <c r="Q480" s="503"/>
    </row>
    <row r="481" spans="1:17" ht="15.75" customHeight="1">
      <c r="A481" s="503"/>
      <c r="B481" s="503"/>
      <c r="C481" s="503"/>
      <c r="D481" s="503"/>
      <c r="E481" s="503"/>
      <c r="F481" s="503"/>
      <c r="G481" s="503"/>
      <c r="H481" s="503"/>
      <c r="I481" s="503"/>
      <c r="J481" s="503"/>
      <c r="K481" s="503"/>
      <c r="L481" s="503"/>
      <c r="M481" s="503"/>
      <c r="N481" s="503"/>
      <c r="O481" s="503"/>
      <c r="P481" s="503"/>
      <c r="Q481" s="503"/>
    </row>
    <row r="482" spans="1:17" ht="15.75" customHeight="1">
      <c r="A482" s="503"/>
      <c r="B482" s="503"/>
      <c r="C482" s="503"/>
      <c r="D482" s="503"/>
      <c r="E482" s="503"/>
      <c r="F482" s="503"/>
      <c r="G482" s="503"/>
      <c r="H482" s="503"/>
      <c r="I482" s="503"/>
      <c r="J482" s="503"/>
      <c r="K482" s="503"/>
      <c r="L482" s="503"/>
      <c r="M482" s="503"/>
      <c r="N482" s="503"/>
      <c r="O482" s="503"/>
      <c r="P482" s="503"/>
      <c r="Q482" s="503"/>
    </row>
    <row r="483" spans="1:17" ht="15.75" customHeight="1">
      <c r="A483" s="503"/>
      <c r="B483" s="503"/>
      <c r="C483" s="503"/>
      <c r="D483" s="503"/>
      <c r="E483" s="503"/>
      <c r="F483" s="503"/>
      <c r="G483" s="503"/>
      <c r="H483" s="503"/>
      <c r="I483" s="503"/>
      <c r="J483" s="503"/>
      <c r="K483" s="503"/>
      <c r="L483" s="503"/>
      <c r="M483" s="503"/>
      <c r="N483" s="503"/>
      <c r="O483" s="503"/>
      <c r="P483" s="503"/>
      <c r="Q483" s="503"/>
    </row>
    <row r="484" spans="1:17" ht="15.75" customHeight="1">
      <c r="A484" s="503"/>
      <c r="B484" s="503"/>
      <c r="C484" s="503"/>
      <c r="D484" s="503"/>
      <c r="E484" s="503"/>
      <c r="F484" s="503"/>
      <c r="G484" s="503"/>
      <c r="H484" s="503"/>
      <c r="I484" s="503"/>
      <c r="J484" s="503"/>
      <c r="K484" s="503"/>
      <c r="L484" s="503"/>
      <c r="M484" s="503"/>
      <c r="N484" s="503"/>
      <c r="O484" s="503"/>
      <c r="P484" s="503"/>
      <c r="Q484" s="503"/>
    </row>
    <row r="485" spans="1:17" ht="15.75" customHeight="1">
      <c r="A485" s="503"/>
      <c r="B485" s="503"/>
      <c r="C485" s="503"/>
      <c r="D485" s="503"/>
      <c r="E485" s="503"/>
      <c r="F485" s="503"/>
      <c r="G485" s="503"/>
      <c r="H485" s="503"/>
      <c r="I485" s="503"/>
      <c r="J485" s="503"/>
      <c r="K485" s="503"/>
      <c r="L485" s="503"/>
      <c r="M485" s="503"/>
      <c r="N485" s="503"/>
      <c r="O485" s="503"/>
      <c r="P485" s="503"/>
      <c r="Q485" s="503"/>
    </row>
    <row r="486" spans="1:17" ht="15.75" customHeight="1">
      <c r="A486" s="503"/>
      <c r="B486" s="503"/>
      <c r="C486" s="503"/>
      <c r="D486" s="503"/>
      <c r="E486" s="503"/>
      <c r="F486" s="503"/>
      <c r="G486" s="503"/>
      <c r="H486" s="503"/>
      <c r="I486" s="503"/>
      <c r="J486" s="503"/>
      <c r="K486" s="503"/>
      <c r="L486" s="503"/>
      <c r="M486" s="503"/>
      <c r="N486" s="503"/>
      <c r="O486" s="503"/>
      <c r="P486" s="503"/>
      <c r="Q486" s="503"/>
    </row>
    <row r="487" spans="1:17" ht="15.75" customHeight="1">
      <c r="A487" s="503"/>
      <c r="B487" s="503"/>
      <c r="C487" s="503"/>
      <c r="D487" s="503"/>
      <c r="E487" s="503"/>
      <c r="F487" s="503"/>
      <c r="G487" s="503"/>
      <c r="H487" s="503"/>
      <c r="I487" s="503"/>
      <c r="J487" s="503"/>
      <c r="K487" s="503"/>
      <c r="L487" s="503"/>
      <c r="M487" s="503"/>
      <c r="N487" s="503"/>
      <c r="O487" s="503"/>
      <c r="P487" s="503"/>
      <c r="Q487" s="503"/>
    </row>
    <row r="488" spans="1:17" ht="15.75" customHeight="1">
      <c r="A488" s="503"/>
      <c r="B488" s="503"/>
      <c r="C488" s="503"/>
      <c r="D488" s="503"/>
      <c r="E488" s="503"/>
      <c r="F488" s="503"/>
      <c r="G488" s="503"/>
      <c r="H488" s="503"/>
      <c r="I488" s="503"/>
      <c r="J488" s="503"/>
      <c r="K488" s="503"/>
      <c r="L488" s="503"/>
      <c r="M488" s="503"/>
      <c r="N488" s="503"/>
      <c r="O488" s="503"/>
      <c r="P488" s="503"/>
      <c r="Q488" s="503"/>
    </row>
    <row r="489" spans="1:17" ht="15.75" customHeight="1">
      <c r="A489" s="503"/>
      <c r="B489" s="503"/>
      <c r="C489" s="503"/>
      <c r="D489" s="503"/>
      <c r="E489" s="503"/>
      <c r="F489" s="503"/>
      <c r="G489" s="503"/>
      <c r="H489" s="503"/>
      <c r="I489" s="503"/>
      <c r="J489" s="503"/>
      <c r="K489" s="503"/>
      <c r="L489" s="503"/>
      <c r="M489" s="503"/>
      <c r="N489" s="503"/>
      <c r="O489" s="503"/>
      <c r="P489" s="503"/>
      <c r="Q489" s="503"/>
    </row>
    <row r="490" spans="1:17" ht="15.75" customHeight="1">
      <c r="A490" s="503"/>
      <c r="B490" s="503"/>
      <c r="C490" s="503"/>
      <c r="D490" s="503"/>
      <c r="E490" s="503"/>
      <c r="F490" s="503"/>
      <c r="G490" s="503"/>
      <c r="H490" s="503"/>
      <c r="I490" s="503"/>
      <c r="J490" s="503"/>
      <c r="K490" s="503"/>
      <c r="L490" s="503"/>
      <c r="M490" s="503"/>
      <c r="N490" s="503"/>
      <c r="O490" s="503"/>
      <c r="P490" s="503"/>
      <c r="Q490" s="503"/>
    </row>
    <row r="491" spans="1:17" ht="15.75" customHeight="1">
      <c r="A491" s="503"/>
      <c r="B491" s="503"/>
      <c r="C491" s="503"/>
      <c r="D491" s="503"/>
      <c r="E491" s="503"/>
      <c r="F491" s="503"/>
      <c r="G491" s="503"/>
      <c r="H491" s="503"/>
      <c r="I491" s="503"/>
      <c r="J491" s="503"/>
      <c r="K491" s="503"/>
      <c r="L491" s="503"/>
      <c r="M491" s="503"/>
      <c r="N491" s="503"/>
      <c r="O491" s="503"/>
      <c r="P491" s="503"/>
      <c r="Q491" s="503"/>
    </row>
    <row r="492" spans="1:17" ht="15.75" customHeight="1">
      <c r="A492" s="503"/>
      <c r="B492" s="503"/>
      <c r="C492" s="503"/>
      <c r="D492" s="503"/>
      <c r="E492" s="503"/>
      <c r="F492" s="503"/>
      <c r="G492" s="503"/>
      <c r="H492" s="503"/>
      <c r="I492" s="503"/>
      <c r="J492" s="503"/>
      <c r="K492" s="503"/>
      <c r="L492" s="503"/>
      <c r="M492" s="503"/>
      <c r="N492" s="503"/>
      <c r="O492" s="503"/>
      <c r="P492" s="503"/>
      <c r="Q492" s="503"/>
    </row>
    <row r="493" spans="1:17" ht="15.75" customHeight="1">
      <c r="A493" s="503"/>
      <c r="B493" s="503"/>
      <c r="C493" s="503"/>
      <c r="D493" s="503"/>
      <c r="E493" s="503"/>
      <c r="F493" s="503"/>
      <c r="G493" s="503"/>
      <c r="H493" s="503"/>
      <c r="I493" s="503"/>
      <c r="J493" s="503"/>
      <c r="K493" s="503"/>
      <c r="L493" s="503"/>
      <c r="M493" s="503"/>
      <c r="N493" s="503"/>
      <c r="O493" s="503"/>
      <c r="P493" s="503"/>
      <c r="Q493" s="503"/>
    </row>
    <row r="494" spans="1:17" ht="15.75" customHeight="1">
      <c r="A494" s="503"/>
      <c r="B494" s="503"/>
      <c r="C494" s="503"/>
      <c r="D494" s="503"/>
      <c r="E494" s="503"/>
      <c r="F494" s="503"/>
      <c r="G494" s="503"/>
      <c r="H494" s="503"/>
      <c r="I494" s="503"/>
      <c r="J494" s="503"/>
      <c r="K494" s="503"/>
      <c r="L494" s="503"/>
      <c r="M494" s="503"/>
      <c r="N494" s="503"/>
      <c r="O494" s="503"/>
      <c r="P494" s="503"/>
      <c r="Q494" s="503"/>
    </row>
    <row r="495" spans="1:17" ht="15.75" customHeight="1">
      <c r="A495" s="503"/>
      <c r="B495" s="503"/>
      <c r="C495" s="503"/>
      <c r="D495" s="503"/>
      <c r="E495" s="503"/>
      <c r="F495" s="503"/>
      <c r="G495" s="503"/>
      <c r="H495" s="503"/>
      <c r="I495" s="503"/>
      <c r="J495" s="503"/>
      <c r="K495" s="503"/>
      <c r="L495" s="503"/>
      <c r="M495" s="503"/>
      <c r="N495" s="503"/>
      <c r="O495" s="503"/>
      <c r="P495" s="503"/>
      <c r="Q495" s="503"/>
    </row>
    <row r="496" spans="1:17" ht="15.75" customHeight="1">
      <c r="A496" s="503"/>
      <c r="B496" s="503"/>
      <c r="C496" s="503"/>
      <c r="D496" s="503"/>
      <c r="E496" s="503"/>
      <c r="F496" s="503"/>
      <c r="G496" s="503"/>
      <c r="H496" s="503"/>
      <c r="I496" s="503"/>
      <c r="J496" s="503"/>
      <c r="K496" s="503"/>
      <c r="L496" s="503"/>
      <c r="M496" s="503"/>
      <c r="N496" s="503"/>
      <c r="O496" s="503"/>
      <c r="P496" s="503"/>
      <c r="Q496" s="503"/>
    </row>
    <row r="497" spans="1:17" ht="15.75" customHeight="1">
      <c r="A497" s="503"/>
      <c r="B497" s="503"/>
      <c r="C497" s="503"/>
      <c r="D497" s="503"/>
      <c r="E497" s="503"/>
      <c r="F497" s="503"/>
      <c r="G497" s="503"/>
      <c r="H497" s="503"/>
      <c r="I497" s="503"/>
      <c r="J497" s="503"/>
      <c r="K497" s="503"/>
      <c r="L497" s="503"/>
      <c r="M497" s="503"/>
      <c r="N497" s="503"/>
      <c r="O497" s="503"/>
      <c r="P497" s="503"/>
      <c r="Q497" s="503"/>
    </row>
    <row r="498" spans="1:17" ht="15.75" customHeight="1">
      <c r="A498" s="503"/>
      <c r="B498" s="503"/>
      <c r="C498" s="503"/>
      <c r="D498" s="503"/>
      <c r="E498" s="503"/>
      <c r="F498" s="503"/>
      <c r="G498" s="503"/>
      <c r="H498" s="503"/>
      <c r="I498" s="503"/>
      <c r="J498" s="503"/>
      <c r="K498" s="503"/>
      <c r="L498" s="503"/>
      <c r="M498" s="503"/>
      <c r="N498" s="503"/>
      <c r="O498" s="503"/>
      <c r="P498" s="503"/>
      <c r="Q498" s="503"/>
    </row>
    <row r="499" spans="1:17" ht="15.75" customHeight="1">
      <c r="A499" s="503"/>
      <c r="B499" s="503"/>
      <c r="C499" s="503"/>
      <c r="D499" s="503"/>
      <c r="E499" s="503"/>
      <c r="F499" s="503"/>
      <c r="G499" s="503"/>
      <c r="H499" s="503"/>
      <c r="I499" s="503"/>
      <c r="J499" s="503"/>
      <c r="K499" s="503"/>
      <c r="L499" s="503"/>
      <c r="M499" s="503"/>
      <c r="N499" s="503"/>
      <c r="O499" s="503"/>
      <c r="P499" s="503"/>
      <c r="Q499" s="503"/>
    </row>
    <row r="500" spans="1:17" ht="15.75" customHeight="1">
      <c r="A500" s="503"/>
      <c r="B500" s="503"/>
      <c r="C500" s="503"/>
      <c r="D500" s="503"/>
      <c r="E500" s="503"/>
      <c r="F500" s="503"/>
      <c r="G500" s="503"/>
      <c r="H500" s="503"/>
      <c r="I500" s="503"/>
      <c r="J500" s="503"/>
      <c r="K500" s="503"/>
      <c r="L500" s="503"/>
      <c r="M500" s="503"/>
      <c r="N500" s="503"/>
      <c r="O500" s="503"/>
      <c r="P500" s="503"/>
      <c r="Q500" s="503"/>
    </row>
    <row r="501" spans="1:17" ht="15.75" customHeight="1">
      <c r="A501" s="503"/>
      <c r="B501" s="503"/>
      <c r="C501" s="503"/>
      <c r="D501" s="503"/>
      <c r="E501" s="503"/>
      <c r="F501" s="503"/>
      <c r="G501" s="503"/>
      <c r="H501" s="503"/>
      <c r="I501" s="503"/>
      <c r="J501" s="503"/>
      <c r="K501" s="503"/>
      <c r="L501" s="503"/>
      <c r="M501" s="503"/>
      <c r="N501" s="503"/>
      <c r="O501" s="503"/>
      <c r="P501" s="503"/>
      <c r="Q501" s="503"/>
    </row>
    <row r="502" spans="1:17" ht="15.75" customHeight="1">
      <c r="A502" s="503"/>
      <c r="B502" s="503"/>
      <c r="C502" s="503"/>
      <c r="D502" s="503"/>
      <c r="E502" s="503"/>
      <c r="F502" s="503"/>
      <c r="G502" s="503"/>
      <c r="H502" s="503"/>
      <c r="I502" s="503"/>
      <c r="J502" s="503"/>
      <c r="K502" s="503"/>
      <c r="L502" s="503"/>
      <c r="M502" s="503"/>
      <c r="N502" s="503"/>
      <c r="O502" s="503"/>
      <c r="P502" s="503"/>
      <c r="Q502" s="503"/>
    </row>
    <row r="503" spans="1:17" ht="15.75" customHeight="1">
      <c r="A503" s="503"/>
      <c r="B503" s="503"/>
      <c r="C503" s="503"/>
      <c r="D503" s="503"/>
      <c r="E503" s="503"/>
      <c r="F503" s="503"/>
      <c r="G503" s="503"/>
      <c r="H503" s="503"/>
      <c r="I503" s="503"/>
      <c r="J503" s="503"/>
      <c r="K503" s="503"/>
      <c r="L503" s="503"/>
      <c r="M503" s="503"/>
      <c r="N503" s="503"/>
      <c r="O503" s="503"/>
      <c r="P503" s="503"/>
      <c r="Q503" s="503"/>
    </row>
    <row r="504" spans="1:17" ht="15.75" customHeight="1">
      <c r="A504" s="503"/>
      <c r="B504" s="503"/>
      <c r="C504" s="503"/>
      <c r="D504" s="503"/>
      <c r="E504" s="503"/>
      <c r="F504" s="503"/>
      <c r="G504" s="503"/>
      <c r="H504" s="503"/>
      <c r="I504" s="503"/>
      <c r="J504" s="503"/>
      <c r="K504" s="503"/>
      <c r="L504" s="503"/>
      <c r="M504" s="503"/>
      <c r="N504" s="503"/>
      <c r="O504" s="503"/>
      <c r="P504" s="503"/>
      <c r="Q504" s="503"/>
    </row>
    <row r="505" spans="1:17" ht="15.75" customHeight="1">
      <c r="A505" s="503"/>
      <c r="B505" s="503"/>
      <c r="C505" s="503"/>
      <c r="D505" s="503"/>
      <c r="E505" s="503"/>
      <c r="F505" s="503"/>
      <c r="G505" s="503"/>
      <c r="H505" s="503"/>
      <c r="I505" s="503"/>
      <c r="J505" s="503"/>
      <c r="K505" s="503"/>
      <c r="L505" s="503"/>
      <c r="M505" s="503"/>
      <c r="N505" s="503"/>
      <c r="O505" s="503"/>
      <c r="P505" s="503"/>
      <c r="Q505" s="503"/>
    </row>
    <row r="506" spans="1:17" ht="15.75" customHeight="1">
      <c r="A506" s="503"/>
      <c r="B506" s="503"/>
      <c r="C506" s="503"/>
      <c r="D506" s="503"/>
      <c r="E506" s="503"/>
      <c r="F506" s="503"/>
      <c r="G506" s="503"/>
      <c r="H506" s="503"/>
      <c r="I506" s="503"/>
      <c r="J506" s="503"/>
      <c r="K506" s="503"/>
      <c r="L506" s="503"/>
      <c r="M506" s="503"/>
      <c r="N506" s="503"/>
      <c r="O506" s="503"/>
      <c r="P506" s="503"/>
      <c r="Q506" s="503"/>
    </row>
    <row r="507" spans="1:17" ht="15.75" customHeight="1">
      <c r="A507" s="503"/>
      <c r="B507" s="503"/>
      <c r="C507" s="503"/>
      <c r="D507" s="503"/>
      <c r="E507" s="503"/>
      <c r="F507" s="503"/>
      <c r="G507" s="503"/>
      <c r="H507" s="503"/>
      <c r="I507" s="503"/>
      <c r="J507" s="503"/>
      <c r="K507" s="503"/>
      <c r="L507" s="503"/>
      <c r="M507" s="503"/>
      <c r="N507" s="503"/>
      <c r="O507" s="503"/>
      <c r="P507" s="503"/>
      <c r="Q507" s="503"/>
    </row>
    <row r="508" spans="1:17" ht="15.75" customHeight="1">
      <c r="A508" s="503"/>
      <c r="B508" s="503"/>
      <c r="C508" s="503"/>
      <c r="D508" s="503"/>
      <c r="E508" s="503"/>
      <c r="F508" s="503"/>
      <c r="G508" s="503"/>
      <c r="H508" s="503"/>
      <c r="I508" s="503"/>
      <c r="J508" s="503"/>
      <c r="K508" s="503"/>
      <c r="L508" s="503"/>
      <c r="M508" s="503"/>
      <c r="N508" s="503"/>
      <c r="O508" s="503"/>
      <c r="P508" s="503"/>
      <c r="Q508" s="503"/>
    </row>
    <row r="509" spans="1:17" ht="15.75" customHeight="1">
      <c r="A509" s="503"/>
      <c r="B509" s="503"/>
      <c r="C509" s="503"/>
      <c r="D509" s="503"/>
      <c r="E509" s="503"/>
      <c r="F509" s="503"/>
      <c r="G509" s="503"/>
      <c r="H509" s="503"/>
      <c r="I509" s="503"/>
      <c r="J509" s="503"/>
      <c r="K509" s="503"/>
      <c r="L509" s="503"/>
      <c r="M509" s="503"/>
      <c r="N509" s="503"/>
      <c r="O509" s="503"/>
      <c r="P509" s="503"/>
      <c r="Q509" s="503"/>
    </row>
    <row r="510" spans="1:17" ht="15.75" customHeight="1">
      <c r="A510" s="503"/>
      <c r="B510" s="503"/>
      <c r="C510" s="503"/>
      <c r="D510" s="503"/>
      <c r="E510" s="503"/>
      <c r="F510" s="503"/>
      <c r="G510" s="503"/>
      <c r="H510" s="503"/>
      <c r="I510" s="503"/>
      <c r="J510" s="503"/>
      <c r="K510" s="503"/>
      <c r="L510" s="503"/>
      <c r="M510" s="503"/>
      <c r="N510" s="503"/>
      <c r="O510" s="503"/>
      <c r="P510" s="503"/>
      <c r="Q510" s="503"/>
    </row>
    <row r="511" spans="1:17" ht="15.75" customHeight="1">
      <c r="A511" s="503"/>
      <c r="B511" s="503"/>
      <c r="C511" s="503"/>
      <c r="D511" s="503"/>
      <c r="E511" s="503"/>
      <c r="F511" s="503"/>
      <c r="G511" s="503"/>
      <c r="H511" s="503"/>
      <c r="I511" s="503"/>
      <c r="J511" s="503"/>
      <c r="K511" s="503"/>
      <c r="L511" s="503"/>
      <c r="M511" s="503"/>
      <c r="N511" s="503"/>
      <c r="O511" s="503"/>
      <c r="P511" s="503"/>
      <c r="Q511" s="503"/>
    </row>
    <row r="512" spans="1:17" ht="15.75" customHeight="1">
      <c r="A512" s="503"/>
      <c r="B512" s="503"/>
      <c r="C512" s="503"/>
      <c r="D512" s="503"/>
      <c r="E512" s="503"/>
      <c r="F512" s="503"/>
      <c r="G512" s="503"/>
      <c r="H512" s="503"/>
      <c r="I512" s="503"/>
      <c r="J512" s="503"/>
      <c r="K512" s="503"/>
      <c r="L512" s="503"/>
      <c r="M512" s="503"/>
      <c r="N512" s="503"/>
      <c r="O512" s="503"/>
      <c r="P512" s="503"/>
      <c r="Q512" s="503"/>
    </row>
    <row r="513" spans="1:17" ht="15.75" customHeight="1">
      <c r="A513" s="503"/>
      <c r="B513" s="503"/>
      <c r="C513" s="503"/>
      <c r="D513" s="503"/>
      <c r="E513" s="503"/>
      <c r="F513" s="503"/>
      <c r="G513" s="503"/>
      <c r="H513" s="503"/>
      <c r="I513" s="503"/>
      <c r="J513" s="503"/>
      <c r="K513" s="503"/>
      <c r="L513" s="503"/>
      <c r="M513" s="503"/>
      <c r="N513" s="503"/>
      <c r="O513" s="503"/>
      <c r="P513" s="503"/>
      <c r="Q513" s="503"/>
    </row>
    <row r="514" spans="1:17" ht="15.75" customHeight="1">
      <c r="A514" s="503"/>
      <c r="B514" s="503"/>
      <c r="C514" s="503"/>
      <c r="D514" s="503"/>
      <c r="E514" s="503"/>
      <c r="F514" s="503"/>
      <c r="G514" s="503"/>
      <c r="H514" s="503"/>
      <c r="I514" s="503"/>
      <c r="J514" s="503"/>
      <c r="K514" s="503"/>
      <c r="L514" s="503"/>
      <c r="M514" s="503"/>
      <c r="N514" s="503"/>
      <c r="O514" s="503"/>
      <c r="P514" s="503"/>
      <c r="Q514" s="503"/>
    </row>
    <row r="515" spans="1:17" ht="15.75" customHeight="1">
      <c r="A515" s="503"/>
      <c r="B515" s="503"/>
      <c r="C515" s="503"/>
      <c r="D515" s="503"/>
      <c r="E515" s="503"/>
      <c r="F515" s="503"/>
      <c r="G515" s="503"/>
      <c r="H515" s="503"/>
      <c r="I515" s="503"/>
      <c r="J515" s="503"/>
      <c r="K515" s="503"/>
      <c r="L515" s="503"/>
      <c r="M515" s="503"/>
      <c r="N515" s="503"/>
      <c r="O515" s="503"/>
      <c r="P515" s="503"/>
      <c r="Q515" s="503"/>
    </row>
    <row r="516" spans="1:17" ht="15.75" customHeight="1">
      <c r="A516" s="503"/>
      <c r="B516" s="503"/>
      <c r="C516" s="503"/>
      <c r="D516" s="503"/>
      <c r="E516" s="503"/>
      <c r="F516" s="503"/>
      <c r="G516" s="503"/>
      <c r="H516" s="503"/>
      <c r="I516" s="503"/>
      <c r="J516" s="503"/>
      <c r="K516" s="503"/>
      <c r="L516" s="503"/>
      <c r="M516" s="503"/>
      <c r="N516" s="503"/>
      <c r="O516" s="503"/>
      <c r="P516" s="503"/>
      <c r="Q516" s="503"/>
    </row>
    <row r="517" spans="1:17" ht="15.75" customHeight="1">
      <c r="A517" s="503"/>
      <c r="B517" s="503"/>
      <c r="C517" s="503"/>
      <c r="D517" s="503"/>
      <c r="E517" s="503"/>
      <c r="F517" s="503"/>
      <c r="G517" s="503"/>
      <c r="H517" s="503"/>
      <c r="I517" s="503"/>
      <c r="J517" s="503"/>
      <c r="K517" s="503"/>
      <c r="L517" s="503"/>
      <c r="M517" s="503"/>
      <c r="N517" s="503"/>
      <c r="O517" s="503"/>
      <c r="P517" s="503"/>
      <c r="Q517" s="503"/>
    </row>
    <row r="518" spans="1:17" ht="15.75" customHeight="1">
      <c r="A518" s="503"/>
      <c r="B518" s="503"/>
      <c r="C518" s="503"/>
      <c r="D518" s="503"/>
      <c r="E518" s="503"/>
      <c r="F518" s="503"/>
      <c r="G518" s="503"/>
      <c r="H518" s="503"/>
      <c r="I518" s="503"/>
      <c r="J518" s="503"/>
      <c r="K518" s="503"/>
      <c r="L518" s="503"/>
      <c r="M518" s="503"/>
      <c r="N518" s="503"/>
      <c r="O518" s="503"/>
      <c r="P518" s="503"/>
      <c r="Q518" s="503"/>
    </row>
    <row r="519" spans="1:17" ht="15.75" customHeight="1">
      <c r="A519" s="503"/>
      <c r="B519" s="503"/>
      <c r="C519" s="503"/>
      <c r="D519" s="503"/>
      <c r="E519" s="503"/>
      <c r="F519" s="503"/>
      <c r="G519" s="503"/>
      <c r="H519" s="503"/>
      <c r="I519" s="503"/>
      <c r="J519" s="503"/>
      <c r="K519" s="503"/>
      <c r="L519" s="503"/>
      <c r="M519" s="503"/>
      <c r="N519" s="503"/>
      <c r="O519" s="503"/>
      <c r="P519" s="503"/>
      <c r="Q519" s="503"/>
    </row>
    <row r="520" spans="1:17" ht="15.75" customHeight="1">
      <c r="A520" s="503"/>
      <c r="B520" s="503"/>
      <c r="C520" s="503"/>
      <c r="D520" s="503"/>
      <c r="E520" s="503"/>
      <c r="F520" s="503"/>
      <c r="G520" s="503"/>
      <c r="H520" s="503"/>
      <c r="I520" s="503"/>
      <c r="J520" s="503"/>
      <c r="K520" s="503"/>
      <c r="L520" s="503"/>
      <c r="M520" s="503"/>
      <c r="N520" s="503"/>
      <c r="O520" s="503"/>
      <c r="P520" s="503"/>
      <c r="Q520" s="503"/>
    </row>
    <row r="521" spans="1:17" ht="15.75" customHeight="1">
      <c r="A521" s="503"/>
      <c r="B521" s="503"/>
      <c r="C521" s="503"/>
      <c r="D521" s="503"/>
      <c r="E521" s="503"/>
      <c r="F521" s="503"/>
      <c r="G521" s="503"/>
      <c r="H521" s="503"/>
      <c r="I521" s="503"/>
      <c r="J521" s="503"/>
      <c r="K521" s="503"/>
      <c r="L521" s="503"/>
      <c r="M521" s="503"/>
      <c r="N521" s="503"/>
      <c r="O521" s="503"/>
      <c r="P521" s="503"/>
      <c r="Q521" s="503"/>
    </row>
    <row r="522" spans="1:17" ht="15.75" customHeight="1">
      <c r="A522" s="503"/>
      <c r="B522" s="503"/>
      <c r="C522" s="503"/>
      <c r="D522" s="503"/>
      <c r="E522" s="503"/>
      <c r="F522" s="503"/>
      <c r="G522" s="503"/>
      <c r="H522" s="503"/>
      <c r="I522" s="503"/>
      <c r="J522" s="503"/>
      <c r="K522" s="503"/>
      <c r="L522" s="503"/>
      <c r="M522" s="503"/>
      <c r="N522" s="503"/>
      <c r="O522" s="503"/>
      <c r="P522" s="503"/>
      <c r="Q522" s="503"/>
    </row>
    <row r="523" spans="1:17" ht="15.75" customHeight="1">
      <c r="A523" s="503"/>
      <c r="B523" s="503"/>
      <c r="C523" s="503"/>
      <c r="D523" s="503"/>
      <c r="E523" s="503"/>
      <c r="F523" s="503"/>
      <c r="G523" s="503"/>
      <c r="H523" s="503"/>
      <c r="I523" s="503"/>
      <c r="J523" s="503"/>
      <c r="K523" s="503"/>
      <c r="L523" s="503"/>
      <c r="M523" s="503"/>
      <c r="N523" s="503"/>
      <c r="O523" s="503"/>
      <c r="P523" s="503"/>
      <c r="Q523" s="503"/>
    </row>
    <row r="524" spans="1:17" ht="15.75" customHeight="1">
      <c r="A524" s="503"/>
      <c r="B524" s="503"/>
      <c r="C524" s="503"/>
      <c r="D524" s="503"/>
      <c r="E524" s="503"/>
      <c r="F524" s="503"/>
      <c r="G524" s="503"/>
      <c r="H524" s="503"/>
      <c r="I524" s="503"/>
      <c r="J524" s="503"/>
      <c r="K524" s="503"/>
      <c r="L524" s="503"/>
      <c r="M524" s="503"/>
      <c r="N524" s="503"/>
      <c r="O524" s="503"/>
      <c r="P524" s="503"/>
      <c r="Q524" s="503"/>
    </row>
    <row r="525" spans="1:17" ht="15.75" customHeight="1">
      <c r="A525" s="503"/>
      <c r="B525" s="503"/>
      <c r="C525" s="503"/>
      <c r="D525" s="503"/>
      <c r="E525" s="503"/>
      <c r="F525" s="503"/>
      <c r="G525" s="503"/>
      <c r="H525" s="503"/>
      <c r="I525" s="503"/>
      <c r="J525" s="503"/>
      <c r="K525" s="503"/>
      <c r="L525" s="503"/>
      <c r="M525" s="503"/>
      <c r="N525" s="503"/>
      <c r="O525" s="503"/>
      <c r="P525" s="503"/>
      <c r="Q525" s="503"/>
    </row>
    <row r="526" spans="1:17" ht="15.75" customHeight="1">
      <c r="A526" s="503"/>
      <c r="B526" s="503"/>
      <c r="C526" s="503"/>
      <c r="D526" s="503"/>
      <c r="E526" s="503"/>
      <c r="F526" s="503"/>
      <c r="G526" s="503"/>
      <c r="H526" s="503"/>
      <c r="I526" s="503"/>
      <c r="J526" s="503"/>
      <c r="K526" s="503"/>
      <c r="L526" s="503"/>
      <c r="M526" s="503"/>
      <c r="N526" s="503"/>
      <c r="O526" s="503"/>
      <c r="P526" s="503"/>
      <c r="Q526" s="503"/>
    </row>
    <row r="527" spans="1:17" ht="15.75" customHeight="1">
      <c r="A527" s="503"/>
      <c r="B527" s="503"/>
      <c r="C527" s="503"/>
      <c r="D527" s="503"/>
      <c r="E527" s="503"/>
      <c r="F527" s="503"/>
      <c r="G527" s="503"/>
      <c r="H527" s="503"/>
      <c r="I527" s="503"/>
      <c r="J527" s="503"/>
      <c r="K527" s="503"/>
      <c r="L527" s="503"/>
      <c r="M527" s="503"/>
      <c r="N527" s="503"/>
      <c r="O527" s="503"/>
      <c r="P527" s="503"/>
      <c r="Q527" s="503"/>
    </row>
    <row r="528" spans="1:17" ht="15.75" customHeight="1">
      <c r="A528" s="503"/>
      <c r="B528" s="503"/>
      <c r="C528" s="503"/>
      <c r="D528" s="503"/>
      <c r="E528" s="503"/>
      <c r="F528" s="503"/>
      <c r="G528" s="503"/>
      <c r="H528" s="503"/>
      <c r="I528" s="503"/>
      <c r="J528" s="503"/>
      <c r="K528" s="503"/>
      <c r="L528" s="503"/>
      <c r="M528" s="503"/>
      <c r="N528" s="503"/>
      <c r="O528" s="503"/>
      <c r="P528" s="503"/>
      <c r="Q528" s="503"/>
    </row>
    <row r="529" spans="1:17" ht="15.75" customHeight="1">
      <c r="A529" s="503"/>
      <c r="B529" s="503"/>
      <c r="C529" s="503"/>
      <c r="D529" s="503"/>
      <c r="E529" s="503"/>
      <c r="F529" s="503"/>
      <c r="G529" s="503"/>
      <c r="H529" s="503"/>
      <c r="I529" s="503"/>
      <c r="J529" s="503"/>
      <c r="K529" s="503"/>
      <c r="L529" s="503"/>
      <c r="M529" s="503"/>
      <c r="N529" s="503"/>
      <c r="O529" s="503"/>
      <c r="P529" s="503"/>
      <c r="Q529" s="503"/>
    </row>
    <row r="530" spans="1:17" ht="15.75" customHeight="1">
      <c r="A530" s="503"/>
      <c r="B530" s="503"/>
      <c r="C530" s="503"/>
      <c r="D530" s="503"/>
      <c r="E530" s="503"/>
      <c r="F530" s="503"/>
      <c r="G530" s="503"/>
      <c r="H530" s="503"/>
      <c r="I530" s="503"/>
      <c r="J530" s="503"/>
      <c r="K530" s="503"/>
      <c r="L530" s="503"/>
      <c r="M530" s="503"/>
      <c r="N530" s="503"/>
      <c r="O530" s="503"/>
      <c r="P530" s="503"/>
      <c r="Q530" s="503"/>
    </row>
    <row r="531" spans="1:17" ht="15.75" customHeight="1">
      <c r="A531" s="503"/>
      <c r="B531" s="503"/>
      <c r="C531" s="503"/>
      <c r="D531" s="503"/>
      <c r="E531" s="503"/>
      <c r="F531" s="503"/>
      <c r="G531" s="503"/>
      <c r="H531" s="503"/>
      <c r="I531" s="503"/>
      <c r="J531" s="503"/>
      <c r="K531" s="503"/>
      <c r="L531" s="503"/>
      <c r="M531" s="503"/>
      <c r="N531" s="503"/>
      <c r="O531" s="503"/>
      <c r="P531" s="503"/>
      <c r="Q531" s="503"/>
    </row>
    <row r="532" spans="1:17" ht="15.75" customHeight="1">
      <c r="A532" s="503"/>
      <c r="B532" s="503"/>
      <c r="C532" s="503"/>
      <c r="D532" s="503"/>
      <c r="E532" s="503"/>
      <c r="F532" s="503"/>
      <c r="G532" s="503"/>
      <c r="H532" s="503"/>
      <c r="I532" s="503"/>
      <c r="J532" s="503"/>
      <c r="K532" s="503"/>
      <c r="L532" s="503"/>
      <c r="M532" s="503"/>
      <c r="N532" s="503"/>
      <c r="O532" s="503"/>
      <c r="P532" s="503"/>
      <c r="Q532" s="503"/>
    </row>
    <row r="533" spans="1:17" ht="15.75" customHeight="1">
      <c r="A533" s="503"/>
      <c r="B533" s="503"/>
      <c r="C533" s="503"/>
      <c r="D533" s="503"/>
      <c r="E533" s="503"/>
      <c r="F533" s="503"/>
      <c r="G533" s="503"/>
      <c r="H533" s="503"/>
      <c r="I533" s="503"/>
      <c r="J533" s="503"/>
      <c r="K533" s="503"/>
      <c r="L533" s="503"/>
      <c r="M533" s="503"/>
      <c r="N533" s="503"/>
      <c r="O533" s="503"/>
      <c r="P533" s="503"/>
      <c r="Q533" s="503"/>
    </row>
    <row r="534" spans="1:17" ht="15.75" customHeight="1">
      <c r="A534" s="503"/>
      <c r="B534" s="503"/>
      <c r="C534" s="503"/>
      <c r="D534" s="503"/>
      <c r="E534" s="503"/>
      <c r="F534" s="503"/>
      <c r="G534" s="503"/>
      <c r="H534" s="503"/>
      <c r="I534" s="503"/>
      <c r="J534" s="503"/>
      <c r="K534" s="503"/>
      <c r="L534" s="503"/>
      <c r="M534" s="503"/>
      <c r="N534" s="503"/>
      <c r="O534" s="503"/>
      <c r="P534" s="503"/>
      <c r="Q534" s="503"/>
    </row>
    <row r="535" spans="1:17" ht="15.75" customHeight="1">
      <c r="A535" s="503"/>
      <c r="B535" s="503"/>
      <c r="C535" s="503"/>
      <c r="D535" s="503"/>
      <c r="E535" s="503"/>
      <c r="F535" s="503"/>
      <c r="G535" s="503"/>
      <c r="H535" s="503"/>
      <c r="I535" s="503"/>
      <c r="J535" s="503"/>
      <c r="K535" s="503"/>
      <c r="L535" s="503"/>
      <c r="M535" s="503"/>
      <c r="N535" s="503"/>
      <c r="O535" s="503"/>
      <c r="P535" s="503"/>
      <c r="Q535" s="503"/>
    </row>
    <row r="536" spans="1:17" ht="15.75" customHeight="1">
      <c r="A536" s="503"/>
      <c r="B536" s="503"/>
      <c r="C536" s="503"/>
      <c r="D536" s="503"/>
      <c r="E536" s="503"/>
      <c r="F536" s="503"/>
      <c r="G536" s="503"/>
      <c r="H536" s="503"/>
      <c r="I536" s="503"/>
      <c r="J536" s="503"/>
      <c r="K536" s="503"/>
      <c r="L536" s="503"/>
      <c r="M536" s="503"/>
      <c r="N536" s="503"/>
      <c r="O536" s="503"/>
      <c r="P536" s="503"/>
      <c r="Q536" s="503"/>
    </row>
    <row r="537" spans="1:17" ht="15.75" customHeight="1">
      <c r="A537" s="503"/>
      <c r="B537" s="503"/>
      <c r="C537" s="503"/>
      <c r="D537" s="503"/>
      <c r="E537" s="503"/>
      <c r="F537" s="503"/>
      <c r="G537" s="503"/>
      <c r="H537" s="503"/>
      <c r="I537" s="503"/>
      <c r="J537" s="503"/>
      <c r="K537" s="503"/>
      <c r="L537" s="503"/>
      <c r="M537" s="503"/>
      <c r="N537" s="503"/>
      <c r="O537" s="503"/>
      <c r="P537" s="503"/>
      <c r="Q537" s="503"/>
    </row>
    <row r="538" spans="1:17" ht="15.75" customHeight="1">
      <c r="A538" s="503"/>
      <c r="B538" s="503"/>
      <c r="C538" s="503"/>
      <c r="D538" s="503"/>
      <c r="E538" s="503"/>
      <c r="F538" s="503"/>
      <c r="G538" s="503"/>
      <c r="H538" s="503"/>
      <c r="I538" s="503"/>
      <c r="J538" s="503"/>
      <c r="K538" s="503"/>
      <c r="L538" s="503"/>
      <c r="M538" s="503"/>
      <c r="N538" s="503"/>
      <c r="O538" s="503"/>
      <c r="P538" s="503"/>
      <c r="Q538" s="503"/>
    </row>
    <row r="539" spans="1:17" ht="15.75" customHeight="1">
      <c r="A539" s="503"/>
      <c r="B539" s="503"/>
      <c r="C539" s="503"/>
      <c r="D539" s="503"/>
      <c r="E539" s="503"/>
      <c r="F539" s="503"/>
      <c r="G539" s="503"/>
      <c r="H539" s="503"/>
      <c r="I539" s="503"/>
      <c r="J539" s="503"/>
      <c r="K539" s="503"/>
      <c r="L539" s="503"/>
      <c r="M539" s="503"/>
      <c r="N539" s="503"/>
      <c r="O539" s="503"/>
      <c r="P539" s="503"/>
      <c r="Q539" s="503"/>
    </row>
    <row r="540" spans="1:17" ht="15.75" customHeight="1">
      <c r="A540" s="503"/>
      <c r="B540" s="503"/>
      <c r="C540" s="503"/>
      <c r="D540" s="503"/>
      <c r="E540" s="503"/>
      <c r="F540" s="503"/>
      <c r="G540" s="503"/>
      <c r="H540" s="503"/>
      <c r="I540" s="503"/>
      <c r="J540" s="503"/>
      <c r="K540" s="503"/>
      <c r="L540" s="503"/>
      <c r="M540" s="503"/>
      <c r="N540" s="503"/>
      <c r="O540" s="503"/>
      <c r="P540" s="503"/>
      <c r="Q540" s="503"/>
    </row>
    <row r="541" spans="1:17" ht="15.75" customHeight="1">
      <c r="A541" s="503"/>
      <c r="B541" s="503"/>
      <c r="C541" s="503"/>
      <c r="D541" s="503"/>
      <c r="E541" s="503"/>
      <c r="F541" s="503"/>
      <c r="G541" s="503"/>
      <c r="H541" s="503"/>
      <c r="I541" s="503"/>
      <c r="J541" s="503"/>
      <c r="K541" s="503"/>
      <c r="L541" s="503"/>
      <c r="M541" s="503"/>
      <c r="N541" s="503"/>
      <c r="O541" s="503"/>
      <c r="P541" s="503"/>
      <c r="Q541" s="503"/>
    </row>
    <row r="542" spans="1:17" ht="15.75" customHeight="1">
      <c r="A542" s="503"/>
      <c r="B542" s="503"/>
      <c r="C542" s="503"/>
      <c r="D542" s="503"/>
      <c r="E542" s="503"/>
      <c r="F542" s="503"/>
      <c r="G542" s="503"/>
      <c r="H542" s="503"/>
      <c r="I542" s="503"/>
      <c r="J542" s="503"/>
      <c r="K542" s="503"/>
      <c r="L542" s="503"/>
      <c r="M542" s="503"/>
      <c r="N542" s="503"/>
      <c r="O542" s="503"/>
      <c r="P542" s="503"/>
      <c r="Q542" s="503"/>
    </row>
    <row r="543" spans="1:17" ht="15.75" customHeight="1">
      <c r="A543" s="503"/>
      <c r="B543" s="503"/>
      <c r="C543" s="503"/>
      <c r="D543" s="503"/>
      <c r="E543" s="503"/>
      <c r="F543" s="503"/>
      <c r="G543" s="503"/>
      <c r="H543" s="503"/>
      <c r="I543" s="503"/>
      <c r="J543" s="503"/>
      <c r="K543" s="503"/>
      <c r="L543" s="503"/>
      <c r="M543" s="503"/>
      <c r="N543" s="503"/>
      <c r="O543" s="503"/>
      <c r="P543" s="503"/>
      <c r="Q543" s="503"/>
    </row>
    <row r="544" spans="1:17" ht="15.75" customHeight="1">
      <c r="A544" s="503"/>
      <c r="B544" s="503"/>
      <c r="C544" s="503"/>
      <c r="D544" s="503"/>
      <c r="E544" s="503"/>
      <c r="F544" s="503"/>
      <c r="G544" s="503"/>
      <c r="H544" s="503"/>
      <c r="I544" s="503"/>
      <c r="J544" s="503"/>
      <c r="K544" s="503"/>
      <c r="L544" s="503"/>
      <c r="M544" s="503"/>
      <c r="N544" s="503"/>
      <c r="O544" s="503"/>
      <c r="P544" s="503"/>
      <c r="Q544" s="503"/>
    </row>
    <row r="545" spans="1:17" ht="15.75" customHeight="1">
      <c r="A545" s="503"/>
      <c r="B545" s="503"/>
      <c r="C545" s="503"/>
      <c r="D545" s="503"/>
      <c r="E545" s="503"/>
      <c r="F545" s="503"/>
      <c r="G545" s="503"/>
      <c r="H545" s="503"/>
      <c r="I545" s="503"/>
      <c r="J545" s="503"/>
      <c r="K545" s="503"/>
      <c r="L545" s="503"/>
      <c r="M545" s="503"/>
      <c r="N545" s="503"/>
      <c r="O545" s="503"/>
      <c r="P545" s="503"/>
      <c r="Q545" s="503"/>
    </row>
    <row r="546" spans="1:17" ht="15.75" customHeight="1">
      <c r="A546" s="503"/>
      <c r="B546" s="503"/>
      <c r="C546" s="503"/>
      <c r="D546" s="503"/>
      <c r="E546" s="503"/>
      <c r="F546" s="503"/>
      <c r="G546" s="503"/>
      <c r="H546" s="503"/>
      <c r="I546" s="503"/>
      <c r="J546" s="503"/>
      <c r="K546" s="503"/>
      <c r="L546" s="503"/>
      <c r="M546" s="503"/>
      <c r="N546" s="503"/>
      <c r="O546" s="503"/>
      <c r="P546" s="503"/>
      <c r="Q546" s="503"/>
    </row>
    <row r="547" spans="1:17" ht="15.75" customHeight="1">
      <c r="A547" s="503"/>
      <c r="B547" s="503"/>
      <c r="C547" s="503"/>
      <c r="D547" s="503"/>
      <c r="E547" s="503"/>
      <c r="F547" s="503"/>
      <c r="G547" s="503"/>
      <c r="H547" s="503"/>
      <c r="I547" s="503"/>
      <c r="J547" s="503"/>
      <c r="K547" s="503"/>
      <c r="L547" s="503"/>
      <c r="M547" s="503"/>
      <c r="N547" s="503"/>
      <c r="O547" s="503"/>
      <c r="P547" s="503"/>
      <c r="Q547" s="503"/>
    </row>
    <row r="548" spans="1:17" ht="15.75" customHeight="1">
      <c r="A548" s="503"/>
      <c r="B548" s="503"/>
      <c r="C548" s="503"/>
      <c r="D548" s="503"/>
      <c r="E548" s="503"/>
      <c r="F548" s="503"/>
      <c r="G548" s="503"/>
      <c r="H548" s="503"/>
      <c r="I548" s="503"/>
      <c r="J548" s="503"/>
      <c r="K548" s="503"/>
      <c r="L548" s="503"/>
      <c r="M548" s="503"/>
      <c r="N548" s="503"/>
      <c r="O548" s="503"/>
      <c r="P548" s="503"/>
      <c r="Q548" s="503"/>
    </row>
    <row r="549" spans="1:17" ht="15.75" customHeight="1">
      <c r="A549" s="503"/>
      <c r="B549" s="503"/>
      <c r="C549" s="503"/>
      <c r="D549" s="503"/>
      <c r="E549" s="503"/>
      <c r="F549" s="503"/>
      <c r="G549" s="503"/>
      <c r="H549" s="503"/>
      <c r="I549" s="503"/>
      <c r="J549" s="503"/>
      <c r="K549" s="503"/>
      <c r="L549" s="503"/>
      <c r="M549" s="503"/>
      <c r="N549" s="503"/>
      <c r="O549" s="503"/>
      <c r="P549" s="503"/>
      <c r="Q549" s="503"/>
    </row>
    <row r="550" spans="1:17" ht="15.75" customHeight="1">
      <c r="A550" s="503"/>
      <c r="B550" s="503"/>
      <c r="C550" s="503"/>
      <c r="D550" s="503"/>
      <c r="E550" s="503"/>
      <c r="F550" s="503"/>
      <c r="G550" s="503"/>
      <c r="H550" s="503"/>
      <c r="I550" s="503"/>
      <c r="J550" s="503"/>
      <c r="K550" s="503"/>
      <c r="L550" s="503"/>
      <c r="M550" s="503"/>
      <c r="N550" s="503"/>
      <c r="O550" s="503"/>
      <c r="P550" s="503"/>
      <c r="Q550" s="503"/>
    </row>
    <row r="551" spans="1:17" ht="15.75" customHeight="1">
      <c r="A551" s="503"/>
      <c r="B551" s="503"/>
      <c r="C551" s="503"/>
      <c r="D551" s="503"/>
      <c r="E551" s="503"/>
      <c r="F551" s="503"/>
      <c r="G551" s="503"/>
      <c r="H551" s="503"/>
      <c r="I551" s="503"/>
      <c r="J551" s="503"/>
      <c r="K551" s="503"/>
      <c r="L551" s="503"/>
      <c r="M551" s="503"/>
      <c r="N551" s="503"/>
      <c r="O551" s="503"/>
      <c r="P551" s="503"/>
      <c r="Q551" s="503"/>
    </row>
    <row r="552" spans="1:17" ht="15.75" customHeight="1">
      <c r="A552" s="503"/>
      <c r="B552" s="503"/>
      <c r="C552" s="503"/>
      <c r="D552" s="503"/>
      <c r="E552" s="503"/>
      <c r="F552" s="503"/>
      <c r="G552" s="503"/>
      <c r="H552" s="503"/>
      <c r="I552" s="503"/>
      <c r="J552" s="503"/>
      <c r="K552" s="503"/>
      <c r="L552" s="503"/>
      <c r="M552" s="503"/>
      <c r="N552" s="503"/>
      <c r="O552" s="503"/>
      <c r="P552" s="503"/>
      <c r="Q552" s="503"/>
    </row>
    <row r="553" spans="1:17" ht="15.75" customHeight="1">
      <c r="A553" s="503"/>
      <c r="B553" s="503"/>
      <c r="C553" s="503"/>
      <c r="D553" s="503"/>
      <c r="E553" s="503"/>
      <c r="F553" s="503"/>
      <c r="G553" s="503"/>
      <c r="H553" s="503"/>
      <c r="I553" s="503"/>
      <c r="J553" s="503"/>
      <c r="K553" s="503"/>
      <c r="L553" s="503"/>
      <c r="M553" s="503"/>
      <c r="N553" s="503"/>
      <c r="O553" s="503"/>
      <c r="P553" s="503"/>
      <c r="Q553" s="503"/>
    </row>
    <row r="554" spans="1:17" ht="15.75" customHeight="1">
      <c r="A554" s="503"/>
      <c r="B554" s="503"/>
      <c r="C554" s="503"/>
      <c r="D554" s="503"/>
      <c r="E554" s="503"/>
      <c r="F554" s="503"/>
      <c r="G554" s="503"/>
      <c r="H554" s="503"/>
      <c r="I554" s="503"/>
      <c r="J554" s="503"/>
      <c r="K554" s="503"/>
      <c r="L554" s="503"/>
      <c r="M554" s="503"/>
      <c r="N554" s="503"/>
      <c r="O554" s="503"/>
      <c r="P554" s="503"/>
      <c r="Q554" s="503"/>
    </row>
    <row r="555" spans="1:17" ht="15.75" customHeight="1">
      <c r="A555" s="503"/>
      <c r="B555" s="503"/>
      <c r="C555" s="503"/>
      <c r="D555" s="503"/>
      <c r="E555" s="503"/>
      <c r="F555" s="503"/>
      <c r="G555" s="503"/>
      <c r="H555" s="503"/>
      <c r="I555" s="503"/>
      <c r="J555" s="503"/>
      <c r="K555" s="503"/>
      <c r="L555" s="503"/>
      <c r="M555" s="503"/>
      <c r="N555" s="503"/>
      <c r="O555" s="503"/>
      <c r="P555" s="503"/>
      <c r="Q555" s="503"/>
    </row>
    <row r="556" spans="1:17" ht="15.75" customHeight="1">
      <c r="A556" s="503"/>
      <c r="B556" s="503"/>
      <c r="C556" s="503"/>
      <c r="D556" s="503"/>
      <c r="E556" s="503"/>
      <c r="F556" s="503"/>
      <c r="G556" s="503"/>
      <c r="H556" s="503"/>
      <c r="I556" s="503"/>
      <c r="J556" s="503"/>
      <c r="K556" s="503"/>
      <c r="L556" s="503"/>
      <c r="M556" s="503"/>
      <c r="N556" s="503"/>
      <c r="O556" s="503"/>
      <c r="P556" s="503"/>
      <c r="Q556" s="503"/>
    </row>
    <row r="557" spans="1:17" ht="15.75" customHeight="1">
      <c r="A557" s="503"/>
      <c r="B557" s="503"/>
      <c r="C557" s="503"/>
      <c r="D557" s="503"/>
      <c r="E557" s="503"/>
      <c r="F557" s="503"/>
      <c r="G557" s="503"/>
      <c r="H557" s="503"/>
      <c r="I557" s="503"/>
      <c r="J557" s="503"/>
      <c r="K557" s="503"/>
      <c r="L557" s="503"/>
      <c r="M557" s="503"/>
      <c r="N557" s="503"/>
      <c r="O557" s="503"/>
      <c r="P557" s="503"/>
      <c r="Q557" s="503"/>
    </row>
    <row r="558" spans="1:17" ht="15.75" customHeight="1">
      <c r="A558" s="503"/>
      <c r="B558" s="503"/>
      <c r="C558" s="503"/>
      <c r="D558" s="503"/>
      <c r="E558" s="503"/>
      <c r="F558" s="503"/>
      <c r="G558" s="503"/>
      <c r="H558" s="503"/>
      <c r="I558" s="503"/>
      <c r="J558" s="503"/>
      <c r="K558" s="503"/>
      <c r="L558" s="503"/>
      <c r="M558" s="503"/>
      <c r="N558" s="503"/>
      <c r="O558" s="503"/>
      <c r="P558" s="503"/>
      <c r="Q558" s="503"/>
    </row>
    <row r="559" spans="1:17" ht="15.75" customHeight="1">
      <c r="A559" s="503"/>
      <c r="B559" s="503"/>
      <c r="C559" s="503"/>
      <c r="D559" s="503"/>
      <c r="E559" s="503"/>
      <c r="F559" s="503"/>
      <c r="G559" s="503"/>
      <c r="H559" s="503"/>
      <c r="I559" s="503"/>
      <c r="J559" s="503"/>
      <c r="K559" s="503"/>
      <c r="L559" s="503"/>
      <c r="M559" s="503"/>
      <c r="N559" s="503"/>
      <c r="O559" s="503"/>
      <c r="P559" s="503"/>
      <c r="Q559" s="503"/>
    </row>
    <row r="560" spans="1:17" ht="15.75" customHeight="1">
      <c r="A560" s="503"/>
      <c r="B560" s="503"/>
      <c r="C560" s="503"/>
      <c r="D560" s="503"/>
      <c r="E560" s="503"/>
      <c r="F560" s="503"/>
      <c r="G560" s="503"/>
      <c r="H560" s="503"/>
      <c r="I560" s="503"/>
      <c r="J560" s="503"/>
      <c r="K560" s="503"/>
      <c r="L560" s="503"/>
      <c r="M560" s="503"/>
      <c r="N560" s="503"/>
      <c r="O560" s="503"/>
      <c r="P560" s="503"/>
      <c r="Q560" s="503"/>
    </row>
    <row r="561" spans="1:17" ht="15.75" customHeight="1">
      <c r="A561" s="503"/>
      <c r="B561" s="503"/>
      <c r="C561" s="503"/>
      <c r="D561" s="503"/>
      <c r="E561" s="503"/>
      <c r="F561" s="503"/>
      <c r="G561" s="503"/>
      <c r="H561" s="503"/>
      <c r="I561" s="503"/>
      <c r="J561" s="503"/>
      <c r="K561" s="503"/>
      <c r="L561" s="503"/>
      <c r="M561" s="503"/>
      <c r="N561" s="503"/>
      <c r="O561" s="503"/>
      <c r="P561" s="503"/>
      <c r="Q561" s="503"/>
    </row>
    <row r="562" spans="1:17" ht="15.75" customHeight="1">
      <c r="A562" s="503"/>
      <c r="B562" s="503"/>
      <c r="C562" s="503"/>
      <c r="D562" s="503"/>
      <c r="E562" s="503"/>
      <c r="F562" s="503"/>
      <c r="G562" s="503"/>
      <c r="H562" s="503"/>
      <c r="I562" s="503"/>
      <c r="J562" s="503"/>
      <c r="K562" s="503"/>
      <c r="L562" s="503"/>
      <c r="M562" s="503"/>
      <c r="N562" s="503"/>
      <c r="O562" s="503"/>
      <c r="P562" s="503"/>
      <c r="Q562" s="503"/>
    </row>
    <row r="563" spans="1:17" ht="15.75" customHeight="1">
      <c r="A563" s="503"/>
      <c r="B563" s="503"/>
      <c r="C563" s="503"/>
      <c r="D563" s="503"/>
      <c r="E563" s="503"/>
      <c r="F563" s="503"/>
      <c r="G563" s="503"/>
      <c r="H563" s="503"/>
      <c r="I563" s="503"/>
      <c r="J563" s="503"/>
      <c r="K563" s="503"/>
      <c r="L563" s="503"/>
      <c r="M563" s="503"/>
      <c r="N563" s="503"/>
      <c r="O563" s="503"/>
      <c r="P563" s="503"/>
      <c r="Q563" s="503"/>
    </row>
    <row r="564" spans="1:17" ht="15.75" customHeight="1">
      <c r="A564" s="503"/>
      <c r="B564" s="503"/>
      <c r="C564" s="503"/>
      <c r="D564" s="503"/>
      <c r="E564" s="503"/>
      <c r="F564" s="503"/>
      <c r="G564" s="503"/>
      <c r="H564" s="503"/>
      <c r="I564" s="503"/>
      <c r="J564" s="503"/>
      <c r="K564" s="503"/>
      <c r="L564" s="503"/>
      <c r="M564" s="503"/>
      <c r="N564" s="503"/>
      <c r="O564" s="503"/>
      <c r="P564" s="503"/>
      <c r="Q564" s="503"/>
    </row>
    <row r="565" spans="1:17" ht="15.75" customHeight="1">
      <c r="A565" s="503"/>
      <c r="B565" s="503"/>
      <c r="C565" s="503"/>
      <c r="D565" s="503"/>
      <c r="E565" s="503"/>
      <c r="F565" s="503"/>
      <c r="G565" s="503"/>
      <c r="H565" s="503"/>
      <c r="I565" s="503"/>
      <c r="J565" s="503"/>
      <c r="K565" s="503"/>
      <c r="L565" s="503"/>
      <c r="M565" s="503"/>
      <c r="N565" s="503"/>
      <c r="O565" s="503"/>
      <c r="P565" s="503"/>
      <c r="Q565" s="503"/>
    </row>
    <row r="566" spans="1:17" ht="15.75" customHeight="1">
      <c r="A566" s="503"/>
      <c r="B566" s="503"/>
      <c r="C566" s="503"/>
      <c r="D566" s="503"/>
      <c r="E566" s="503"/>
      <c r="F566" s="503"/>
      <c r="G566" s="503"/>
      <c r="H566" s="503"/>
      <c r="I566" s="503"/>
      <c r="J566" s="503"/>
      <c r="K566" s="503"/>
      <c r="L566" s="503"/>
      <c r="M566" s="503"/>
      <c r="N566" s="503"/>
      <c r="O566" s="503"/>
      <c r="P566" s="503"/>
      <c r="Q566" s="503"/>
    </row>
    <row r="567" spans="1:17" ht="15.75" customHeight="1">
      <c r="A567" s="503"/>
      <c r="B567" s="503"/>
      <c r="C567" s="503"/>
      <c r="D567" s="503"/>
      <c r="E567" s="503"/>
      <c r="F567" s="503"/>
      <c r="G567" s="503"/>
      <c r="H567" s="503"/>
      <c r="I567" s="503"/>
      <c r="J567" s="503"/>
      <c r="K567" s="503"/>
      <c r="L567" s="503"/>
      <c r="M567" s="503"/>
      <c r="N567" s="503"/>
      <c r="O567" s="503"/>
      <c r="P567" s="503"/>
      <c r="Q567" s="503"/>
    </row>
    <row r="568" spans="1:17" ht="15.75" customHeight="1">
      <c r="A568" s="503"/>
      <c r="B568" s="503"/>
      <c r="C568" s="503"/>
      <c r="D568" s="503"/>
      <c r="E568" s="503"/>
      <c r="F568" s="503"/>
      <c r="G568" s="503"/>
      <c r="H568" s="503"/>
      <c r="I568" s="503"/>
      <c r="J568" s="503"/>
      <c r="K568" s="503"/>
      <c r="L568" s="503"/>
      <c r="M568" s="503"/>
      <c r="N568" s="503"/>
      <c r="O568" s="503"/>
      <c r="P568" s="503"/>
      <c r="Q568" s="503"/>
    </row>
    <row r="569" spans="1:17" ht="15.75" customHeight="1">
      <c r="A569" s="503"/>
      <c r="B569" s="503"/>
      <c r="C569" s="503"/>
      <c r="D569" s="503"/>
      <c r="E569" s="503"/>
      <c r="F569" s="503"/>
      <c r="G569" s="503"/>
      <c r="H569" s="503"/>
      <c r="I569" s="503"/>
      <c r="J569" s="503"/>
      <c r="K569" s="503"/>
      <c r="L569" s="503"/>
      <c r="M569" s="503"/>
      <c r="N569" s="503"/>
      <c r="O569" s="503"/>
      <c r="P569" s="503"/>
      <c r="Q569" s="503"/>
    </row>
    <row r="570" spans="1:17" ht="15.75" customHeight="1">
      <c r="A570" s="503"/>
      <c r="B570" s="503"/>
      <c r="C570" s="503"/>
      <c r="D570" s="503"/>
      <c r="E570" s="503"/>
      <c r="F570" s="503"/>
      <c r="G570" s="503"/>
      <c r="H570" s="503"/>
      <c r="I570" s="503"/>
      <c r="J570" s="503"/>
      <c r="K570" s="503"/>
      <c r="L570" s="503"/>
      <c r="M570" s="503"/>
      <c r="N570" s="503"/>
      <c r="O570" s="503"/>
      <c r="P570" s="503"/>
      <c r="Q570" s="503"/>
    </row>
    <row r="571" spans="1:17" ht="15.75" customHeight="1">
      <c r="A571" s="503"/>
      <c r="B571" s="503"/>
      <c r="C571" s="503"/>
      <c r="D571" s="503"/>
      <c r="E571" s="503"/>
      <c r="F571" s="503"/>
      <c r="G571" s="503"/>
      <c r="H571" s="503"/>
      <c r="I571" s="503"/>
      <c r="J571" s="503"/>
      <c r="K571" s="503"/>
      <c r="L571" s="503"/>
      <c r="M571" s="503"/>
      <c r="N571" s="503"/>
      <c r="O571" s="503"/>
      <c r="P571" s="503"/>
      <c r="Q571" s="503"/>
    </row>
    <row r="572" spans="1:17" ht="15.75" customHeight="1">
      <c r="A572" s="503"/>
      <c r="B572" s="503"/>
      <c r="C572" s="503"/>
      <c r="D572" s="503"/>
      <c r="E572" s="503"/>
      <c r="F572" s="503"/>
      <c r="G572" s="503"/>
      <c r="H572" s="503"/>
      <c r="I572" s="503"/>
      <c r="J572" s="503"/>
      <c r="K572" s="503"/>
      <c r="L572" s="503"/>
      <c r="M572" s="503"/>
      <c r="N572" s="503"/>
      <c r="O572" s="503"/>
      <c r="P572" s="503"/>
      <c r="Q572" s="503"/>
    </row>
    <row r="573" spans="1:17" ht="15.75" customHeight="1">
      <c r="A573" s="503"/>
      <c r="B573" s="503"/>
      <c r="C573" s="503"/>
      <c r="D573" s="503"/>
      <c r="E573" s="503"/>
      <c r="F573" s="503"/>
      <c r="G573" s="503"/>
      <c r="H573" s="503"/>
      <c r="I573" s="503"/>
      <c r="J573" s="503"/>
      <c r="K573" s="503"/>
      <c r="L573" s="503"/>
      <c r="M573" s="503"/>
      <c r="N573" s="503"/>
      <c r="O573" s="503"/>
      <c r="P573" s="503"/>
      <c r="Q573" s="503"/>
    </row>
    <row r="574" spans="1:17" ht="15.75" customHeight="1">
      <c r="A574" s="503"/>
      <c r="B574" s="503"/>
      <c r="C574" s="503"/>
      <c r="D574" s="503"/>
      <c r="E574" s="503"/>
      <c r="F574" s="503"/>
      <c r="G574" s="503"/>
      <c r="H574" s="503"/>
      <c r="I574" s="503"/>
      <c r="J574" s="503"/>
      <c r="K574" s="503"/>
      <c r="L574" s="503"/>
      <c r="M574" s="503"/>
      <c r="N574" s="503"/>
      <c r="O574" s="503"/>
      <c r="P574" s="503"/>
      <c r="Q574" s="503"/>
    </row>
    <row r="575" spans="1:17" ht="15.75" customHeight="1">
      <c r="A575" s="503"/>
      <c r="B575" s="503"/>
      <c r="C575" s="503"/>
      <c r="D575" s="503"/>
      <c r="E575" s="503"/>
      <c r="F575" s="503"/>
      <c r="G575" s="503"/>
      <c r="H575" s="503"/>
      <c r="I575" s="503"/>
      <c r="J575" s="503"/>
      <c r="K575" s="503"/>
      <c r="L575" s="503"/>
      <c r="M575" s="503"/>
      <c r="N575" s="503"/>
      <c r="O575" s="503"/>
      <c r="P575" s="503"/>
      <c r="Q575" s="503"/>
    </row>
    <row r="576" spans="1:17" ht="15.75" customHeight="1">
      <c r="A576" s="503"/>
      <c r="B576" s="503"/>
      <c r="C576" s="503"/>
      <c r="D576" s="503"/>
      <c r="E576" s="503"/>
      <c r="F576" s="503"/>
      <c r="G576" s="503"/>
      <c r="H576" s="503"/>
      <c r="I576" s="503"/>
      <c r="J576" s="503"/>
      <c r="K576" s="503"/>
      <c r="L576" s="503"/>
      <c r="M576" s="503"/>
      <c r="N576" s="503"/>
      <c r="O576" s="503"/>
      <c r="P576" s="503"/>
      <c r="Q576" s="503"/>
    </row>
    <row r="577" spans="1:17" ht="15.75" customHeight="1">
      <c r="A577" s="503"/>
      <c r="B577" s="503"/>
      <c r="C577" s="503"/>
      <c r="D577" s="503"/>
      <c r="E577" s="503"/>
      <c r="F577" s="503"/>
      <c r="G577" s="503"/>
      <c r="H577" s="503"/>
      <c r="I577" s="503"/>
      <c r="J577" s="503"/>
      <c r="K577" s="503"/>
      <c r="L577" s="503"/>
      <c r="M577" s="503"/>
      <c r="N577" s="503"/>
      <c r="O577" s="503"/>
      <c r="P577" s="503"/>
      <c r="Q577" s="503"/>
    </row>
    <row r="578" spans="1:17" ht="15.75" customHeight="1">
      <c r="A578" s="503"/>
      <c r="B578" s="503"/>
      <c r="C578" s="503"/>
      <c r="D578" s="503"/>
      <c r="E578" s="503"/>
      <c r="F578" s="503"/>
      <c r="G578" s="503"/>
      <c r="H578" s="503"/>
      <c r="I578" s="503"/>
      <c r="J578" s="503"/>
      <c r="K578" s="503"/>
      <c r="L578" s="503"/>
      <c r="M578" s="503"/>
      <c r="N578" s="503"/>
      <c r="O578" s="503"/>
      <c r="P578" s="503"/>
      <c r="Q578" s="503"/>
    </row>
    <row r="579" spans="1:17" ht="15.75" customHeight="1">
      <c r="A579" s="503"/>
      <c r="B579" s="503"/>
      <c r="C579" s="503"/>
      <c r="D579" s="503"/>
      <c r="E579" s="503"/>
      <c r="F579" s="503"/>
      <c r="G579" s="503"/>
      <c r="H579" s="503"/>
      <c r="I579" s="503"/>
      <c r="J579" s="503"/>
      <c r="K579" s="503"/>
      <c r="L579" s="503"/>
      <c r="M579" s="503"/>
      <c r="N579" s="503"/>
      <c r="O579" s="503"/>
      <c r="P579" s="503"/>
      <c r="Q579" s="503"/>
    </row>
    <row r="580" spans="1:17" ht="15.75" customHeight="1">
      <c r="A580" s="503"/>
      <c r="B580" s="503"/>
      <c r="C580" s="503"/>
      <c r="D580" s="503"/>
      <c r="E580" s="503"/>
      <c r="F580" s="503"/>
      <c r="G580" s="503"/>
      <c r="H580" s="503"/>
      <c r="I580" s="503"/>
      <c r="J580" s="503"/>
      <c r="K580" s="503"/>
      <c r="L580" s="503"/>
      <c r="M580" s="503"/>
      <c r="N580" s="503"/>
      <c r="O580" s="503"/>
      <c r="P580" s="503"/>
      <c r="Q580" s="503"/>
    </row>
    <row r="581" spans="1:17" ht="15.75" customHeight="1">
      <c r="A581" s="503"/>
      <c r="B581" s="503"/>
      <c r="C581" s="503"/>
      <c r="D581" s="503"/>
      <c r="E581" s="503"/>
      <c r="F581" s="503"/>
      <c r="G581" s="503"/>
      <c r="H581" s="503"/>
      <c r="I581" s="503"/>
      <c r="J581" s="503"/>
      <c r="K581" s="503"/>
      <c r="L581" s="503"/>
      <c r="M581" s="503"/>
      <c r="N581" s="503"/>
      <c r="O581" s="503"/>
      <c r="P581" s="503"/>
      <c r="Q581" s="503"/>
    </row>
    <row r="582" spans="1:17" ht="15.75" customHeight="1">
      <c r="A582" s="503"/>
      <c r="B582" s="503"/>
      <c r="C582" s="503"/>
      <c r="D582" s="503"/>
      <c r="E582" s="503"/>
      <c r="F582" s="503"/>
      <c r="G582" s="503"/>
      <c r="H582" s="503"/>
      <c r="I582" s="503"/>
      <c r="J582" s="503"/>
      <c r="K582" s="503"/>
      <c r="L582" s="503"/>
      <c r="M582" s="503"/>
      <c r="N582" s="503"/>
      <c r="O582" s="503"/>
      <c r="P582" s="503"/>
      <c r="Q582" s="503"/>
    </row>
    <row r="583" spans="1:17" ht="15.75" customHeight="1">
      <c r="A583" s="503"/>
      <c r="B583" s="503"/>
      <c r="C583" s="503"/>
      <c r="D583" s="503"/>
      <c r="E583" s="503"/>
      <c r="F583" s="503"/>
      <c r="G583" s="503"/>
      <c r="H583" s="503"/>
      <c r="I583" s="503"/>
      <c r="J583" s="503"/>
      <c r="K583" s="503"/>
      <c r="L583" s="503"/>
      <c r="M583" s="503"/>
      <c r="N583" s="503"/>
      <c r="O583" s="503"/>
      <c r="P583" s="503"/>
      <c r="Q583" s="503"/>
    </row>
    <row r="584" spans="1:17" ht="15.75" customHeight="1">
      <c r="A584" s="503"/>
      <c r="B584" s="503"/>
      <c r="C584" s="503"/>
      <c r="D584" s="503"/>
      <c r="E584" s="503"/>
      <c r="F584" s="503"/>
      <c r="G584" s="503"/>
      <c r="H584" s="503"/>
      <c r="I584" s="503"/>
      <c r="J584" s="503"/>
      <c r="K584" s="503"/>
      <c r="L584" s="503"/>
      <c r="M584" s="503"/>
      <c r="N584" s="503"/>
      <c r="O584" s="503"/>
      <c r="P584" s="503"/>
      <c r="Q584" s="503"/>
    </row>
    <row r="585" spans="1:17" ht="15.75" customHeight="1">
      <c r="A585" s="503"/>
      <c r="B585" s="503"/>
      <c r="C585" s="503"/>
      <c r="D585" s="503"/>
      <c r="E585" s="503"/>
      <c r="F585" s="503"/>
      <c r="G585" s="503"/>
      <c r="H585" s="503"/>
      <c r="I585" s="503"/>
      <c r="J585" s="503"/>
      <c r="K585" s="503"/>
      <c r="L585" s="503"/>
      <c r="M585" s="503"/>
      <c r="N585" s="503"/>
      <c r="O585" s="503"/>
      <c r="P585" s="503"/>
      <c r="Q585" s="503"/>
    </row>
    <row r="586" spans="1:17" ht="15.75" customHeight="1">
      <c r="A586" s="503"/>
      <c r="B586" s="503"/>
      <c r="C586" s="503"/>
      <c r="D586" s="503"/>
      <c r="E586" s="503"/>
      <c r="F586" s="503"/>
      <c r="G586" s="503"/>
      <c r="H586" s="503"/>
      <c r="I586" s="503"/>
      <c r="J586" s="503"/>
      <c r="K586" s="503"/>
      <c r="L586" s="503"/>
      <c r="M586" s="503"/>
      <c r="N586" s="503"/>
      <c r="O586" s="503"/>
      <c r="P586" s="503"/>
      <c r="Q586" s="503"/>
    </row>
    <row r="587" spans="1:17" ht="15.75" customHeight="1">
      <c r="A587" s="503"/>
      <c r="B587" s="503"/>
      <c r="C587" s="503"/>
      <c r="D587" s="503"/>
      <c r="E587" s="503"/>
      <c r="F587" s="503"/>
      <c r="G587" s="503"/>
      <c r="H587" s="503"/>
      <c r="I587" s="503"/>
      <c r="J587" s="503"/>
      <c r="K587" s="503"/>
      <c r="L587" s="503"/>
      <c r="M587" s="503"/>
      <c r="N587" s="503"/>
      <c r="O587" s="503"/>
      <c r="P587" s="503"/>
      <c r="Q587" s="503"/>
    </row>
    <row r="588" spans="1:17" ht="15.75" customHeight="1">
      <c r="A588" s="503"/>
      <c r="B588" s="503"/>
      <c r="C588" s="503"/>
      <c r="D588" s="503"/>
      <c r="E588" s="503"/>
      <c r="F588" s="503"/>
      <c r="G588" s="503"/>
      <c r="H588" s="503"/>
      <c r="I588" s="503"/>
      <c r="J588" s="503"/>
      <c r="K588" s="503"/>
      <c r="L588" s="503"/>
      <c r="M588" s="503"/>
      <c r="N588" s="503"/>
      <c r="O588" s="503"/>
      <c r="P588" s="503"/>
      <c r="Q588" s="503"/>
    </row>
    <row r="589" spans="1:17" ht="15.75" customHeight="1">
      <c r="A589" s="503"/>
      <c r="B589" s="503"/>
      <c r="C589" s="503"/>
      <c r="D589" s="503"/>
      <c r="E589" s="503"/>
      <c r="F589" s="503"/>
      <c r="G589" s="503"/>
      <c r="H589" s="503"/>
      <c r="I589" s="503"/>
      <c r="J589" s="503"/>
      <c r="K589" s="503"/>
      <c r="L589" s="503"/>
      <c r="M589" s="503"/>
      <c r="N589" s="503"/>
      <c r="O589" s="503"/>
      <c r="P589" s="503"/>
      <c r="Q589" s="503"/>
    </row>
    <row r="590" spans="1:17" ht="15.75" customHeight="1">
      <c r="A590" s="503"/>
      <c r="B590" s="503"/>
      <c r="C590" s="503"/>
      <c r="D590" s="503"/>
      <c r="E590" s="503"/>
      <c r="F590" s="503"/>
      <c r="G590" s="503"/>
      <c r="H590" s="503"/>
      <c r="I590" s="503"/>
      <c r="J590" s="503"/>
      <c r="K590" s="503"/>
      <c r="L590" s="503"/>
      <c r="M590" s="503"/>
      <c r="N590" s="503"/>
      <c r="O590" s="503"/>
      <c r="P590" s="503"/>
      <c r="Q590" s="503"/>
    </row>
    <row r="591" spans="1:17" ht="15.75" customHeight="1">
      <c r="A591" s="503"/>
      <c r="B591" s="503"/>
      <c r="C591" s="503"/>
      <c r="D591" s="503"/>
      <c r="E591" s="503"/>
      <c r="F591" s="503"/>
      <c r="G591" s="503"/>
      <c r="H591" s="503"/>
      <c r="I591" s="503"/>
      <c r="J591" s="503"/>
      <c r="K591" s="503"/>
      <c r="L591" s="503"/>
      <c r="M591" s="503"/>
      <c r="N591" s="503"/>
      <c r="O591" s="503"/>
      <c r="P591" s="503"/>
      <c r="Q591" s="503"/>
    </row>
    <row r="592" spans="1:17" ht="15.75" customHeight="1">
      <c r="A592" s="503"/>
      <c r="B592" s="503"/>
      <c r="C592" s="503"/>
      <c r="D592" s="503"/>
      <c r="E592" s="503"/>
      <c r="F592" s="503"/>
      <c r="G592" s="503"/>
      <c r="H592" s="503"/>
      <c r="I592" s="503"/>
      <c r="J592" s="503"/>
      <c r="K592" s="503"/>
      <c r="L592" s="503"/>
      <c r="M592" s="503"/>
      <c r="N592" s="503"/>
      <c r="O592" s="503"/>
      <c r="P592" s="503"/>
      <c r="Q592" s="503"/>
    </row>
    <row r="593" spans="1:17" ht="15.75" customHeight="1">
      <c r="A593" s="503"/>
      <c r="B593" s="503"/>
      <c r="C593" s="503"/>
      <c r="D593" s="503"/>
      <c r="E593" s="503"/>
      <c r="F593" s="503"/>
      <c r="G593" s="503"/>
      <c r="H593" s="503"/>
      <c r="I593" s="503"/>
      <c r="J593" s="503"/>
      <c r="K593" s="503"/>
      <c r="L593" s="503"/>
      <c r="M593" s="503"/>
      <c r="N593" s="503"/>
      <c r="O593" s="503"/>
      <c r="P593" s="503"/>
      <c r="Q593" s="503"/>
    </row>
    <row r="594" spans="1:17" ht="15.75" customHeight="1">
      <c r="A594" s="503"/>
      <c r="B594" s="503"/>
      <c r="C594" s="503"/>
      <c r="D594" s="503"/>
      <c r="E594" s="503"/>
      <c r="F594" s="503"/>
      <c r="G594" s="503"/>
      <c r="H594" s="503"/>
      <c r="I594" s="503"/>
      <c r="J594" s="503"/>
      <c r="K594" s="503"/>
      <c r="L594" s="503"/>
      <c r="M594" s="503"/>
      <c r="N594" s="503"/>
      <c r="O594" s="503"/>
      <c r="P594" s="503"/>
      <c r="Q594" s="503"/>
    </row>
    <row r="595" spans="1:17" ht="15.75" customHeight="1">
      <c r="A595" s="503"/>
      <c r="B595" s="503"/>
      <c r="C595" s="503"/>
      <c r="D595" s="503"/>
      <c r="E595" s="503"/>
      <c r="F595" s="503"/>
      <c r="G595" s="503"/>
      <c r="H595" s="503"/>
      <c r="I595" s="503"/>
      <c r="J595" s="503"/>
      <c r="K595" s="503"/>
      <c r="L595" s="503"/>
      <c r="M595" s="503"/>
      <c r="N595" s="503"/>
      <c r="O595" s="503"/>
      <c r="P595" s="503"/>
      <c r="Q595" s="503"/>
    </row>
    <row r="596" spans="1:17" ht="15.75" customHeight="1">
      <c r="A596" s="503"/>
      <c r="B596" s="503"/>
      <c r="C596" s="503"/>
      <c r="D596" s="503"/>
      <c r="E596" s="503"/>
      <c r="F596" s="503"/>
      <c r="G596" s="503"/>
      <c r="H596" s="503"/>
      <c r="I596" s="503"/>
      <c r="J596" s="503"/>
      <c r="K596" s="503"/>
      <c r="L596" s="503"/>
      <c r="M596" s="503"/>
      <c r="N596" s="503"/>
      <c r="O596" s="503"/>
      <c r="P596" s="503"/>
      <c r="Q596" s="503"/>
    </row>
    <row r="597" spans="1:17" ht="15.75" customHeight="1">
      <c r="A597" s="503"/>
      <c r="B597" s="503"/>
      <c r="C597" s="503"/>
      <c r="D597" s="503"/>
      <c r="E597" s="503"/>
      <c r="F597" s="503"/>
      <c r="G597" s="503"/>
      <c r="H597" s="503"/>
      <c r="I597" s="503"/>
      <c r="J597" s="503"/>
      <c r="K597" s="503"/>
      <c r="L597" s="503"/>
      <c r="M597" s="503"/>
      <c r="N597" s="503"/>
      <c r="O597" s="503"/>
      <c r="P597" s="503"/>
      <c r="Q597" s="503"/>
    </row>
    <row r="598" spans="1:17" ht="15.75" customHeight="1">
      <c r="A598" s="503"/>
      <c r="B598" s="503"/>
      <c r="C598" s="503"/>
      <c r="D598" s="503"/>
      <c r="E598" s="503"/>
      <c r="F598" s="503"/>
      <c r="G598" s="503"/>
      <c r="H598" s="503"/>
      <c r="I598" s="503"/>
      <c r="J598" s="503"/>
      <c r="K598" s="503"/>
      <c r="L598" s="503"/>
      <c r="M598" s="503"/>
      <c r="N598" s="503"/>
      <c r="O598" s="503"/>
      <c r="P598" s="503"/>
      <c r="Q598" s="503"/>
    </row>
    <row r="599" spans="1:17" ht="15.75" customHeight="1">
      <c r="A599" s="503"/>
      <c r="B599" s="503"/>
      <c r="C599" s="503"/>
      <c r="D599" s="503"/>
      <c r="E599" s="503"/>
      <c r="F599" s="503"/>
      <c r="G599" s="503"/>
      <c r="H599" s="503"/>
      <c r="I599" s="503"/>
      <c r="J599" s="503"/>
      <c r="K599" s="503"/>
      <c r="L599" s="503"/>
      <c r="M599" s="503"/>
      <c r="N599" s="503"/>
      <c r="O599" s="503"/>
      <c r="P599" s="503"/>
      <c r="Q599" s="503"/>
    </row>
    <row r="600" spans="1:17" ht="15.75" customHeight="1">
      <c r="A600" s="503"/>
      <c r="B600" s="503"/>
      <c r="C600" s="503"/>
      <c r="D600" s="503"/>
      <c r="E600" s="503"/>
      <c r="F600" s="503"/>
      <c r="G600" s="503"/>
      <c r="H600" s="503"/>
      <c r="I600" s="503"/>
      <c r="J600" s="503"/>
      <c r="K600" s="503"/>
      <c r="L600" s="503"/>
      <c r="M600" s="503"/>
      <c r="N600" s="503"/>
      <c r="O600" s="503"/>
      <c r="P600" s="503"/>
      <c r="Q600" s="503"/>
    </row>
    <row r="601" spans="1:17" ht="15.75" customHeight="1">
      <c r="A601" s="503"/>
      <c r="B601" s="503"/>
      <c r="C601" s="503"/>
      <c r="D601" s="503"/>
      <c r="E601" s="503"/>
      <c r="F601" s="503"/>
      <c r="G601" s="503"/>
      <c r="H601" s="503"/>
      <c r="I601" s="503"/>
      <c r="J601" s="503"/>
      <c r="K601" s="503"/>
      <c r="L601" s="503"/>
      <c r="M601" s="503"/>
      <c r="N601" s="503"/>
      <c r="O601" s="503"/>
      <c r="P601" s="503"/>
      <c r="Q601" s="503"/>
    </row>
    <row r="602" spans="1:17" ht="15.75" customHeight="1">
      <c r="A602" s="503"/>
      <c r="B602" s="503"/>
      <c r="C602" s="503"/>
      <c r="D602" s="503"/>
      <c r="E602" s="503"/>
      <c r="F602" s="503"/>
      <c r="G602" s="503"/>
      <c r="H602" s="503"/>
      <c r="I602" s="503"/>
      <c r="J602" s="503"/>
      <c r="K602" s="503"/>
      <c r="L602" s="503"/>
      <c r="M602" s="503"/>
      <c r="N602" s="503"/>
      <c r="O602" s="503"/>
      <c r="P602" s="503"/>
      <c r="Q602" s="503"/>
    </row>
    <row r="603" spans="1:17" ht="15.75" customHeight="1">
      <c r="A603" s="503"/>
      <c r="B603" s="503"/>
      <c r="C603" s="503"/>
      <c r="D603" s="503"/>
      <c r="E603" s="503"/>
      <c r="F603" s="503"/>
      <c r="G603" s="503"/>
      <c r="H603" s="503"/>
      <c r="I603" s="503"/>
      <c r="J603" s="503"/>
      <c r="K603" s="503"/>
      <c r="L603" s="503"/>
      <c r="M603" s="503"/>
      <c r="N603" s="503"/>
      <c r="O603" s="503"/>
      <c r="P603" s="503"/>
      <c r="Q603" s="503"/>
    </row>
    <row r="604" spans="1:17" ht="15.75" customHeight="1">
      <c r="A604" s="503"/>
      <c r="B604" s="503"/>
      <c r="C604" s="503"/>
      <c r="D604" s="503"/>
      <c r="E604" s="503"/>
      <c r="F604" s="503"/>
      <c r="G604" s="503"/>
      <c r="H604" s="503"/>
      <c r="I604" s="503"/>
      <c r="J604" s="503"/>
      <c r="K604" s="503"/>
      <c r="L604" s="503"/>
      <c r="M604" s="503"/>
      <c r="N604" s="503"/>
      <c r="O604" s="503"/>
      <c r="P604" s="503"/>
      <c r="Q604" s="503"/>
    </row>
    <row r="605" spans="1:17" ht="15.75" customHeight="1">
      <c r="A605" s="503"/>
      <c r="B605" s="503"/>
      <c r="C605" s="503"/>
      <c r="D605" s="503"/>
      <c r="E605" s="503"/>
      <c r="F605" s="503"/>
      <c r="G605" s="503"/>
      <c r="H605" s="503"/>
      <c r="I605" s="503"/>
      <c r="J605" s="503"/>
      <c r="K605" s="503"/>
      <c r="L605" s="503"/>
      <c r="M605" s="503"/>
      <c r="N605" s="503"/>
      <c r="O605" s="503"/>
      <c r="P605" s="503"/>
      <c r="Q605" s="503"/>
    </row>
    <row r="606" spans="1:17" ht="15.75" customHeight="1">
      <c r="A606" s="503"/>
      <c r="B606" s="503"/>
      <c r="C606" s="503"/>
      <c r="D606" s="503"/>
      <c r="E606" s="503"/>
      <c r="F606" s="503"/>
      <c r="G606" s="503"/>
      <c r="H606" s="503"/>
      <c r="I606" s="503"/>
      <c r="J606" s="503"/>
      <c r="K606" s="503"/>
      <c r="L606" s="503"/>
      <c r="M606" s="503"/>
      <c r="N606" s="503"/>
      <c r="O606" s="503"/>
      <c r="P606" s="503"/>
      <c r="Q606" s="503"/>
    </row>
    <row r="607" spans="1:17" ht="15.75" customHeight="1">
      <c r="A607" s="503"/>
      <c r="B607" s="503"/>
      <c r="C607" s="503"/>
      <c r="D607" s="503"/>
      <c r="E607" s="503"/>
      <c r="F607" s="503"/>
      <c r="G607" s="503"/>
      <c r="H607" s="503"/>
      <c r="I607" s="503"/>
      <c r="J607" s="503"/>
      <c r="K607" s="503"/>
      <c r="L607" s="503"/>
      <c r="M607" s="503"/>
      <c r="N607" s="503"/>
      <c r="O607" s="503"/>
      <c r="P607" s="503"/>
      <c r="Q607" s="503"/>
    </row>
    <row r="608" spans="1:17" ht="15.75" customHeight="1">
      <c r="A608" s="503"/>
      <c r="B608" s="503"/>
      <c r="C608" s="503"/>
      <c r="D608" s="503"/>
      <c r="E608" s="503"/>
      <c r="F608" s="503"/>
      <c r="G608" s="503"/>
      <c r="H608" s="503"/>
      <c r="I608" s="503"/>
      <c r="J608" s="503"/>
      <c r="K608" s="503"/>
      <c r="L608" s="503"/>
      <c r="M608" s="503"/>
      <c r="N608" s="503"/>
      <c r="O608" s="503"/>
      <c r="P608" s="503"/>
      <c r="Q608" s="503"/>
    </row>
    <row r="609" spans="1:17" ht="15.75" customHeight="1">
      <c r="A609" s="503"/>
      <c r="B609" s="503"/>
      <c r="C609" s="503"/>
      <c r="D609" s="503"/>
      <c r="E609" s="503"/>
      <c r="F609" s="503"/>
      <c r="G609" s="503"/>
      <c r="H609" s="503"/>
      <c r="I609" s="503"/>
      <c r="J609" s="503"/>
      <c r="K609" s="503"/>
      <c r="L609" s="503"/>
      <c r="M609" s="503"/>
      <c r="N609" s="503"/>
      <c r="O609" s="503"/>
      <c r="P609" s="503"/>
      <c r="Q609" s="503"/>
    </row>
    <row r="610" spans="1:17" ht="15.75" customHeight="1">
      <c r="A610" s="503"/>
      <c r="B610" s="503"/>
      <c r="C610" s="503"/>
      <c r="D610" s="503"/>
      <c r="E610" s="503"/>
      <c r="F610" s="503"/>
      <c r="G610" s="503"/>
      <c r="H610" s="503"/>
      <c r="I610" s="503"/>
      <c r="J610" s="503"/>
      <c r="K610" s="503"/>
      <c r="L610" s="503"/>
      <c r="M610" s="503"/>
      <c r="N610" s="503"/>
      <c r="O610" s="503"/>
      <c r="P610" s="503"/>
      <c r="Q610" s="503"/>
    </row>
    <row r="611" spans="1:17" ht="15.75" customHeight="1">
      <c r="A611" s="503"/>
      <c r="B611" s="503"/>
      <c r="C611" s="503"/>
      <c r="D611" s="503"/>
      <c r="E611" s="503"/>
      <c r="F611" s="503"/>
      <c r="G611" s="503"/>
      <c r="H611" s="503"/>
      <c r="I611" s="503"/>
      <c r="J611" s="503"/>
      <c r="K611" s="503"/>
      <c r="L611" s="503"/>
      <c r="M611" s="503"/>
      <c r="N611" s="503"/>
      <c r="O611" s="503"/>
      <c r="P611" s="503"/>
      <c r="Q611" s="503"/>
    </row>
    <row r="612" spans="1:17" ht="15.75" customHeight="1">
      <c r="A612" s="503"/>
      <c r="B612" s="503"/>
      <c r="C612" s="503"/>
      <c r="D612" s="503"/>
      <c r="E612" s="503"/>
      <c r="F612" s="503"/>
      <c r="G612" s="503"/>
      <c r="H612" s="503"/>
      <c r="I612" s="503"/>
      <c r="J612" s="503"/>
      <c r="K612" s="503"/>
      <c r="L612" s="503"/>
      <c r="M612" s="503"/>
      <c r="N612" s="503"/>
      <c r="O612" s="503"/>
      <c r="P612" s="503"/>
      <c r="Q612" s="503"/>
    </row>
    <row r="613" spans="1:17" ht="15.75" customHeight="1">
      <c r="A613" s="503"/>
      <c r="B613" s="503"/>
      <c r="C613" s="503"/>
      <c r="D613" s="503"/>
      <c r="E613" s="503"/>
      <c r="F613" s="503"/>
      <c r="G613" s="503"/>
      <c r="H613" s="503"/>
      <c r="I613" s="503"/>
      <c r="J613" s="503"/>
      <c r="K613" s="503"/>
      <c r="L613" s="503"/>
      <c r="M613" s="503"/>
      <c r="N613" s="503"/>
      <c r="O613" s="503"/>
      <c r="P613" s="503"/>
      <c r="Q613" s="503"/>
    </row>
    <row r="614" spans="1:17" ht="15.75" customHeight="1">
      <c r="A614" s="503"/>
      <c r="B614" s="503"/>
      <c r="C614" s="503"/>
      <c r="D614" s="503"/>
      <c r="E614" s="503"/>
      <c r="F614" s="503"/>
      <c r="G614" s="503"/>
      <c r="H614" s="503"/>
      <c r="I614" s="503"/>
      <c r="J614" s="503"/>
      <c r="K614" s="503"/>
      <c r="L614" s="503"/>
      <c r="M614" s="503"/>
      <c r="N614" s="503"/>
      <c r="O614" s="503"/>
      <c r="P614" s="503"/>
      <c r="Q614" s="503"/>
    </row>
    <row r="615" spans="1:17" ht="15.75" customHeight="1">
      <c r="A615" s="503"/>
      <c r="B615" s="503"/>
      <c r="C615" s="503"/>
      <c r="D615" s="503"/>
      <c r="E615" s="503"/>
      <c r="F615" s="503"/>
      <c r="G615" s="503"/>
      <c r="H615" s="503"/>
      <c r="I615" s="503"/>
      <c r="J615" s="503"/>
      <c r="K615" s="503"/>
      <c r="L615" s="503"/>
      <c r="M615" s="503"/>
      <c r="N615" s="503"/>
      <c r="O615" s="503"/>
      <c r="P615" s="503"/>
      <c r="Q615" s="503"/>
    </row>
    <row r="616" spans="1:17" ht="15.75" customHeight="1">
      <c r="A616" s="503"/>
      <c r="B616" s="503"/>
      <c r="C616" s="503"/>
      <c r="D616" s="503"/>
      <c r="E616" s="503"/>
      <c r="F616" s="503"/>
      <c r="G616" s="503"/>
      <c r="H616" s="503"/>
      <c r="I616" s="503"/>
      <c r="J616" s="503"/>
      <c r="K616" s="503"/>
      <c r="L616" s="503"/>
      <c r="M616" s="503"/>
      <c r="N616" s="503"/>
      <c r="O616" s="503"/>
      <c r="P616" s="503"/>
      <c r="Q616" s="503"/>
    </row>
    <row r="617" spans="1:17" ht="15.75" customHeight="1">
      <c r="A617" s="503"/>
      <c r="B617" s="503"/>
      <c r="C617" s="503"/>
      <c r="D617" s="503"/>
      <c r="E617" s="503"/>
      <c r="F617" s="503"/>
      <c r="G617" s="503"/>
      <c r="H617" s="503"/>
      <c r="I617" s="503"/>
      <c r="J617" s="503"/>
      <c r="K617" s="503"/>
      <c r="L617" s="503"/>
      <c r="M617" s="503"/>
      <c r="N617" s="503"/>
      <c r="O617" s="503"/>
      <c r="P617" s="503"/>
      <c r="Q617" s="503"/>
    </row>
    <row r="618" spans="1:17" ht="15.75" customHeight="1">
      <c r="A618" s="503"/>
      <c r="B618" s="503"/>
      <c r="C618" s="503"/>
      <c r="D618" s="503"/>
      <c r="E618" s="503"/>
      <c r="F618" s="503"/>
      <c r="G618" s="503"/>
      <c r="H618" s="503"/>
      <c r="I618" s="503"/>
      <c r="J618" s="503"/>
      <c r="K618" s="503"/>
      <c r="L618" s="503"/>
      <c r="M618" s="503"/>
      <c r="N618" s="503"/>
      <c r="O618" s="503"/>
      <c r="P618" s="503"/>
      <c r="Q618" s="503"/>
    </row>
    <row r="619" spans="1:17" ht="15.75" customHeight="1">
      <c r="A619" s="503"/>
      <c r="B619" s="503"/>
      <c r="C619" s="503"/>
      <c r="D619" s="503"/>
      <c r="E619" s="503"/>
      <c r="F619" s="503"/>
      <c r="G619" s="503"/>
      <c r="H619" s="503"/>
      <c r="I619" s="503"/>
      <c r="J619" s="503"/>
      <c r="K619" s="503"/>
      <c r="L619" s="503"/>
      <c r="M619" s="503"/>
      <c r="N619" s="503"/>
      <c r="O619" s="503"/>
      <c r="P619" s="503"/>
      <c r="Q619" s="503"/>
    </row>
    <row r="620" spans="1:17" ht="15.75" customHeight="1">
      <c r="A620" s="503"/>
      <c r="B620" s="503"/>
      <c r="C620" s="503"/>
      <c r="D620" s="503"/>
      <c r="E620" s="503"/>
      <c r="F620" s="503"/>
      <c r="G620" s="503"/>
      <c r="H620" s="503"/>
      <c r="I620" s="503"/>
      <c r="J620" s="503"/>
      <c r="K620" s="503"/>
      <c r="L620" s="503"/>
      <c r="M620" s="503"/>
      <c r="N620" s="503"/>
      <c r="O620" s="503"/>
      <c r="P620" s="503"/>
      <c r="Q620" s="503"/>
    </row>
    <row r="621" spans="1:17" ht="15.75" customHeight="1">
      <c r="A621" s="503"/>
      <c r="B621" s="503"/>
      <c r="C621" s="503"/>
      <c r="D621" s="503"/>
      <c r="E621" s="503"/>
      <c r="F621" s="503"/>
      <c r="G621" s="503"/>
      <c r="H621" s="503"/>
      <c r="I621" s="503"/>
      <c r="J621" s="503"/>
      <c r="K621" s="503"/>
      <c r="L621" s="503"/>
      <c r="M621" s="503"/>
      <c r="N621" s="503"/>
      <c r="O621" s="503"/>
      <c r="P621" s="503"/>
      <c r="Q621" s="503"/>
    </row>
    <row r="622" spans="1:17" ht="15.75" customHeight="1">
      <c r="A622" s="503"/>
      <c r="B622" s="503"/>
      <c r="C622" s="503"/>
      <c r="D622" s="503"/>
      <c r="E622" s="503"/>
      <c r="F622" s="503"/>
      <c r="G622" s="503"/>
      <c r="H622" s="503"/>
      <c r="I622" s="503"/>
      <c r="J622" s="503"/>
      <c r="K622" s="503"/>
      <c r="L622" s="503"/>
      <c r="M622" s="503"/>
      <c r="N622" s="503"/>
      <c r="O622" s="503"/>
      <c r="P622" s="503"/>
      <c r="Q622" s="503"/>
    </row>
    <row r="623" spans="1:17" ht="15.75" customHeight="1">
      <c r="A623" s="503"/>
      <c r="B623" s="503"/>
      <c r="C623" s="503"/>
      <c r="D623" s="503"/>
      <c r="E623" s="503"/>
      <c r="F623" s="503"/>
      <c r="G623" s="503"/>
      <c r="H623" s="503"/>
      <c r="I623" s="503"/>
      <c r="J623" s="503"/>
      <c r="K623" s="503"/>
      <c r="L623" s="503"/>
      <c r="M623" s="503"/>
      <c r="N623" s="503"/>
      <c r="O623" s="503"/>
      <c r="P623" s="503"/>
      <c r="Q623" s="503"/>
    </row>
    <row r="624" spans="1:17" ht="15.75" customHeight="1">
      <c r="A624" s="503"/>
      <c r="B624" s="503"/>
      <c r="C624" s="503"/>
      <c r="D624" s="503"/>
      <c r="E624" s="503"/>
      <c r="F624" s="503"/>
      <c r="G624" s="503"/>
      <c r="H624" s="503"/>
      <c r="I624" s="503"/>
      <c r="J624" s="503"/>
      <c r="K624" s="503"/>
      <c r="L624" s="503"/>
      <c r="M624" s="503"/>
      <c r="N624" s="503"/>
      <c r="O624" s="503"/>
      <c r="P624" s="503"/>
      <c r="Q624" s="503"/>
    </row>
    <row r="625" spans="1:17" ht="15.75" customHeight="1">
      <c r="A625" s="503"/>
      <c r="B625" s="503"/>
      <c r="C625" s="503"/>
      <c r="D625" s="503"/>
      <c r="E625" s="503"/>
      <c r="F625" s="503"/>
      <c r="G625" s="503"/>
      <c r="H625" s="503"/>
      <c r="I625" s="503"/>
      <c r="J625" s="503"/>
      <c r="K625" s="503"/>
      <c r="L625" s="503"/>
      <c r="M625" s="503"/>
      <c r="N625" s="503"/>
      <c r="O625" s="503"/>
      <c r="P625" s="503"/>
      <c r="Q625" s="503"/>
    </row>
    <row r="626" spans="1:17" ht="15.75" customHeight="1">
      <c r="A626" s="503"/>
      <c r="B626" s="503"/>
      <c r="C626" s="503"/>
      <c r="D626" s="503"/>
      <c r="E626" s="503"/>
      <c r="F626" s="503"/>
      <c r="G626" s="503"/>
      <c r="H626" s="503"/>
      <c r="I626" s="503"/>
      <c r="J626" s="503"/>
      <c r="K626" s="503"/>
      <c r="L626" s="503"/>
      <c r="M626" s="503"/>
      <c r="N626" s="503"/>
      <c r="O626" s="503"/>
      <c r="P626" s="503"/>
      <c r="Q626" s="503"/>
    </row>
    <row r="627" spans="1:17" ht="15.75" customHeight="1">
      <c r="A627" s="503"/>
      <c r="B627" s="503"/>
      <c r="C627" s="503"/>
      <c r="D627" s="503"/>
      <c r="E627" s="503"/>
      <c r="F627" s="503"/>
      <c r="G627" s="503"/>
      <c r="H627" s="503"/>
      <c r="I627" s="503"/>
      <c r="J627" s="503"/>
      <c r="K627" s="503"/>
      <c r="L627" s="503"/>
      <c r="M627" s="503"/>
      <c r="N627" s="503"/>
      <c r="O627" s="503"/>
      <c r="P627" s="503"/>
      <c r="Q627" s="503"/>
    </row>
    <row r="628" spans="1:17" ht="15.75" customHeight="1">
      <c r="A628" s="503"/>
      <c r="B628" s="503"/>
      <c r="C628" s="503"/>
      <c r="D628" s="503"/>
      <c r="E628" s="503"/>
      <c r="F628" s="503"/>
      <c r="G628" s="503"/>
      <c r="H628" s="503"/>
      <c r="I628" s="503"/>
      <c r="J628" s="503"/>
      <c r="K628" s="503"/>
      <c r="L628" s="503"/>
      <c r="M628" s="503"/>
      <c r="N628" s="503"/>
      <c r="O628" s="503"/>
      <c r="P628" s="503"/>
      <c r="Q628" s="503"/>
    </row>
    <row r="629" spans="1:17" ht="15.75" customHeight="1">
      <c r="A629" s="503"/>
      <c r="B629" s="503"/>
      <c r="C629" s="503"/>
      <c r="D629" s="503"/>
      <c r="E629" s="503"/>
      <c r="F629" s="503"/>
      <c r="G629" s="503"/>
      <c r="H629" s="503"/>
      <c r="I629" s="503"/>
      <c r="J629" s="503"/>
      <c r="K629" s="503"/>
      <c r="L629" s="503"/>
      <c r="M629" s="503"/>
      <c r="N629" s="503"/>
      <c r="O629" s="503"/>
      <c r="P629" s="503"/>
      <c r="Q629" s="503"/>
    </row>
    <row r="630" spans="1:17" ht="15.75" customHeight="1">
      <c r="A630" s="503"/>
      <c r="B630" s="503"/>
      <c r="C630" s="503"/>
      <c r="D630" s="503"/>
      <c r="E630" s="503"/>
      <c r="F630" s="503"/>
      <c r="G630" s="503"/>
      <c r="H630" s="503"/>
      <c r="I630" s="503"/>
      <c r="J630" s="503"/>
      <c r="K630" s="503"/>
      <c r="L630" s="503"/>
      <c r="M630" s="503"/>
      <c r="N630" s="503"/>
      <c r="O630" s="503"/>
      <c r="P630" s="503"/>
      <c r="Q630" s="503"/>
    </row>
    <row r="631" spans="1:17" ht="15.75" customHeight="1">
      <c r="A631" s="503"/>
      <c r="B631" s="503"/>
      <c r="C631" s="503"/>
      <c r="D631" s="503"/>
      <c r="E631" s="503"/>
      <c r="F631" s="503"/>
      <c r="G631" s="503"/>
      <c r="H631" s="503"/>
      <c r="I631" s="503"/>
      <c r="J631" s="503"/>
      <c r="K631" s="503"/>
      <c r="L631" s="503"/>
      <c r="M631" s="503"/>
      <c r="N631" s="503"/>
      <c r="O631" s="503"/>
      <c r="P631" s="503"/>
      <c r="Q631" s="503"/>
    </row>
    <row r="632" spans="1:17" ht="15.75" customHeight="1">
      <c r="A632" s="503"/>
      <c r="B632" s="503"/>
      <c r="C632" s="503"/>
      <c r="D632" s="503"/>
      <c r="E632" s="503"/>
      <c r="F632" s="503"/>
      <c r="G632" s="503"/>
      <c r="H632" s="503"/>
      <c r="I632" s="503"/>
      <c r="J632" s="503"/>
      <c r="K632" s="503"/>
      <c r="L632" s="503"/>
      <c r="M632" s="503"/>
      <c r="N632" s="503"/>
      <c r="O632" s="503"/>
      <c r="P632" s="503"/>
      <c r="Q632" s="503"/>
    </row>
    <row r="633" spans="1:17" ht="15.75" customHeight="1">
      <c r="A633" s="503"/>
      <c r="B633" s="503"/>
      <c r="C633" s="503"/>
      <c r="D633" s="503"/>
      <c r="E633" s="503"/>
      <c r="F633" s="503"/>
      <c r="G633" s="503"/>
      <c r="H633" s="503"/>
      <c r="I633" s="503"/>
      <c r="J633" s="503"/>
      <c r="K633" s="503"/>
      <c r="L633" s="503"/>
      <c r="M633" s="503"/>
      <c r="N633" s="503"/>
      <c r="O633" s="503"/>
      <c r="P633" s="503"/>
      <c r="Q633" s="503"/>
    </row>
    <row r="634" spans="1:17" ht="15.75" customHeight="1">
      <c r="A634" s="503"/>
      <c r="B634" s="503"/>
      <c r="C634" s="503"/>
      <c r="D634" s="503"/>
      <c r="E634" s="503"/>
      <c r="F634" s="503"/>
      <c r="G634" s="503"/>
      <c r="H634" s="503"/>
      <c r="I634" s="503"/>
      <c r="J634" s="503"/>
      <c r="K634" s="503"/>
      <c r="L634" s="503"/>
      <c r="M634" s="503"/>
      <c r="N634" s="503"/>
      <c r="O634" s="503"/>
      <c r="P634" s="503"/>
      <c r="Q634" s="503"/>
    </row>
    <row r="635" spans="1:17" ht="15.75" customHeight="1">
      <c r="A635" s="503"/>
      <c r="B635" s="503"/>
      <c r="C635" s="503"/>
      <c r="D635" s="503"/>
      <c r="E635" s="503"/>
      <c r="F635" s="503"/>
      <c r="G635" s="503"/>
      <c r="H635" s="503"/>
      <c r="I635" s="503"/>
      <c r="J635" s="503"/>
      <c r="K635" s="503"/>
      <c r="L635" s="503"/>
      <c r="M635" s="503"/>
      <c r="N635" s="503"/>
      <c r="O635" s="503"/>
      <c r="P635" s="503"/>
      <c r="Q635" s="503"/>
    </row>
    <row r="636" spans="1:17" ht="15.75" customHeight="1">
      <c r="A636" s="503"/>
      <c r="B636" s="503"/>
      <c r="C636" s="503"/>
      <c r="D636" s="503"/>
      <c r="E636" s="503"/>
      <c r="F636" s="503"/>
      <c r="G636" s="503"/>
      <c r="H636" s="503"/>
      <c r="I636" s="503"/>
      <c r="J636" s="503"/>
      <c r="K636" s="503"/>
      <c r="L636" s="503"/>
      <c r="M636" s="503"/>
      <c r="N636" s="503"/>
      <c r="O636" s="503"/>
      <c r="P636" s="503"/>
      <c r="Q636" s="503"/>
    </row>
    <row r="637" spans="1:17" ht="15.75" customHeight="1">
      <c r="A637" s="503"/>
      <c r="B637" s="503"/>
      <c r="C637" s="503"/>
      <c r="D637" s="503"/>
      <c r="E637" s="503"/>
      <c r="F637" s="503"/>
      <c r="G637" s="503"/>
      <c r="H637" s="503"/>
      <c r="I637" s="503"/>
      <c r="J637" s="503"/>
      <c r="K637" s="503"/>
      <c r="L637" s="503"/>
      <c r="M637" s="503"/>
      <c r="N637" s="503"/>
      <c r="O637" s="503"/>
      <c r="P637" s="503"/>
      <c r="Q637" s="503"/>
    </row>
    <row r="638" spans="1:17" ht="15.75" customHeight="1">
      <c r="A638" s="503"/>
      <c r="B638" s="503"/>
      <c r="C638" s="503"/>
      <c r="D638" s="503"/>
      <c r="E638" s="503"/>
      <c r="F638" s="503"/>
      <c r="G638" s="503"/>
      <c r="H638" s="503"/>
      <c r="I638" s="503"/>
      <c r="J638" s="503"/>
      <c r="K638" s="503"/>
      <c r="L638" s="503"/>
      <c r="M638" s="503"/>
      <c r="N638" s="503"/>
      <c r="O638" s="503"/>
      <c r="P638" s="503"/>
      <c r="Q638" s="503"/>
    </row>
    <row r="639" spans="1:17" ht="15.75" customHeight="1">
      <c r="A639" s="503"/>
      <c r="B639" s="503"/>
      <c r="C639" s="503"/>
      <c r="D639" s="503"/>
      <c r="E639" s="503"/>
      <c r="F639" s="503"/>
      <c r="G639" s="503"/>
      <c r="H639" s="503"/>
      <c r="I639" s="503"/>
      <c r="J639" s="503"/>
      <c r="K639" s="503"/>
      <c r="L639" s="503"/>
      <c r="M639" s="503"/>
      <c r="N639" s="503"/>
      <c r="O639" s="503"/>
      <c r="P639" s="503"/>
      <c r="Q639" s="503"/>
    </row>
    <row r="640" spans="1:17" ht="15.75" customHeight="1">
      <c r="A640" s="503"/>
      <c r="B640" s="503"/>
      <c r="C640" s="503"/>
      <c r="D640" s="503"/>
      <c r="E640" s="503"/>
      <c r="F640" s="503"/>
      <c r="G640" s="503"/>
      <c r="H640" s="503"/>
      <c r="I640" s="503"/>
      <c r="J640" s="503"/>
      <c r="K640" s="503"/>
      <c r="L640" s="503"/>
      <c r="M640" s="503"/>
      <c r="N640" s="503"/>
      <c r="O640" s="503"/>
      <c r="P640" s="503"/>
      <c r="Q640" s="503"/>
    </row>
    <row r="641" spans="1:17" ht="15.75" customHeight="1">
      <c r="A641" s="503"/>
      <c r="B641" s="503"/>
      <c r="C641" s="503"/>
      <c r="D641" s="503"/>
      <c r="E641" s="503"/>
      <c r="F641" s="503"/>
      <c r="G641" s="503"/>
      <c r="H641" s="503"/>
      <c r="I641" s="503"/>
      <c r="J641" s="503"/>
      <c r="K641" s="503"/>
      <c r="L641" s="503"/>
      <c r="M641" s="503"/>
      <c r="N641" s="503"/>
      <c r="O641" s="503"/>
      <c r="P641" s="503"/>
      <c r="Q641" s="503"/>
    </row>
    <row r="642" spans="1:17" ht="15.75" customHeight="1">
      <c r="A642" s="503"/>
      <c r="B642" s="503"/>
      <c r="C642" s="503"/>
      <c r="D642" s="503"/>
      <c r="E642" s="503"/>
      <c r="F642" s="503"/>
      <c r="G642" s="503"/>
      <c r="H642" s="503"/>
      <c r="I642" s="503"/>
      <c r="J642" s="503"/>
      <c r="K642" s="503"/>
      <c r="L642" s="503"/>
      <c r="M642" s="503"/>
      <c r="N642" s="503"/>
      <c r="O642" s="503"/>
      <c r="P642" s="503"/>
      <c r="Q642" s="503"/>
    </row>
    <row r="643" spans="1:17" ht="15.75" customHeight="1">
      <c r="A643" s="503"/>
      <c r="B643" s="503"/>
      <c r="C643" s="503"/>
      <c r="D643" s="503"/>
      <c r="E643" s="503"/>
      <c r="F643" s="503"/>
      <c r="G643" s="503"/>
      <c r="H643" s="503"/>
      <c r="I643" s="503"/>
      <c r="J643" s="503"/>
      <c r="K643" s="503"/>
      <c r="L643" s="503"/>
      <c r="M643" s="503"/>
      <c r="N643" s="503"/>
      <c r="O643" s="503"/>
      <c r="P643" s="503"/>
      <c r="Q643" s="503"/>
    </row>
    <row r="644" spans="1:17" ht="15.75" customHeight="1">
      <c r="A644" s="503"/>
      <c r="B644" s="503"/>
      <c r="C644" s="503"/>
      <c r="D644" s="503"/>
      <c r="E644" s="503"/>
      <c r="F644" s="503"/>
      <c r="G644" s="503"/>
      <c r="H644" s="503"/>
      <c r="I644" s="503"/>
      <c r="J644" s="503"/>
      <c r="K644" s="503"/>
      <c r="L644" s="503"/>
      <c r="M644" s="503"/>
      <c r="N644" s="503"/>
      <c r="O644" s="503"/>
      <c r="P644" s="503"/>
      <c r="Q644" s="503"/>
    </row>
    <row r="645" spans="1:17" ht="15.75" customHeight="1">
      <c r="A645" s="503"/>
      <c r="B645" s="503"/>
      <c r="C645" s="503"/>
      <c r="D645" s="503"/>
      <c r="E645" s="503"/>
      <c r="F645" s="503"/>
      <c r="G645" s="503"/>
      <c r="H645" s="503"/>
      <c r="I645" s="503"/>
      <c r="J645" s="503"/>
      <c r="K645" s="503"/>
      <c r="L645" s="503"/>
      <c r="M645" s="503"/>
      <c r="N645" s="503"/>
      <c r="O645" s="503"/>
      <c r="P645" s="503"/>
      <c r="Q645" s="503"/>
    </row>
    <row r="646" spans="1:17" ht="15.75" customHeight="1">
      <c r="A646" s="503"/>
      <c r="B646" s="503"/>
      <c r="C646" s="503"/>
      <c r="D646" s="503"/>
      <c r="E646" s="503"/>
      <c r="F646" s="503"/>
      <c r="G646" s="503"/>
      <c r="H646" s="503"/>
      <c r="I646" s="503"/>
      <c r="J646" s="503"/>
      <c r="K646" s="503"/>
      <c r="L646" s="503"/>
      <c r="M646" s="503"/>
      <c r="N646" s="503"/>
      <c r="O646" s="503"/>
      <c r="P646" s="503"/>
      <c r="Q646" s="503"/>
    </row>
    <row r="647" spans="1:17" ht="15.75" customHeight="1">
      <c r="A647" s="503"/>
      <c r="B647" s="503"/>
      <c r="C647" s="503"/>
      <c r="D647" s="503"/>
      <c r="E647" s="503"/>
      <c r="F647" s="503"/>
      <c r="G647" s="503"/>
      <c r="H647" s="503"/>
      <c r="I647" s="503"/>
      <c r="J647" s="503"/>
      <c r="K647" s="503"/>
      <c r="L647" s="503"/>
      <c r="M647" s="503"/>
      <c r="N647" s="503"/>
      <c r="O647" s="503"/>
      <c r="P647" s="503"/>
      <c r="Q647" s="503"/>
    </row>
    <row r="648" spans="1:17" ht="15.75" customHeight="1">
      <c r="A648" s="503"/>
      <c r="B648" s="503"/>
      <c r="C648" s="503"/>
      <c r="D648" s="503"/>
      <c r="E648" s="503"/>
      <c r="F648" s="503"/>
      <c r="G648" s="503"/>
      <c r="H648" s="503"/>
      <c r="I648" s="503"/>
      <c r="J648" s="503"/>
      <c r="K648" s="503"/>
      <c r="L648" s="503"/>
      <c r="M648" s="503"/>
      <c r="N648" s="503"/>
      <c r="O648" s="503"/>
      <c r="P648" s="503"/>
      <c r="Q648" s="503"/>
    </row>
    <row r="649" spans="1:17" ht="15.75" customHeight="1">
      <c r="A649" s="503"/>
      <c r="B649" s="503"/>
      <c r="C649" s="503"/>
      <c r="D649" s="503"/>
      <c r="E649" s="503"/>
      <c r="F649" s="503"/>
      <c r="G649" s="503"/>
      <c r="H649" s="503"/>
      <c r="I649" s="503"/>
      <c r="J649" s="503"/>
      <c r="K649" s="503"/>
      <c r="L649" s="503"/>
      <c r="M649" s="503"/>
      <c r="N649" s="503"/>
      <c r="O649" s="503"/>
      <c r="P649" s="503"/>
      <c r="Q649" s="503"/>
    </row>
    <row r="650" spans="1:17" ht="15.75" customHeight="1">
      <c r="A650" s="503"/>
      <c r="B650" s="503"/>
      <c r="C650" s="503"/>
      <c r="D650" s="503"/>
      <c r="E650" s="503"/>
      <c r="F650" s="503"/>
      <c r="G650" s="503"/>
      <c r="H650" s="503"/>
      <c r="I650" s="503"/>
      <c r="J650" s="503"/>
      <c r="K650" s="503"/>
      <c r="L650" s="503"/>
      <c r="M650" s="503"/>
      <c r="N650" s="503"/>
      <c r="O650" s="503"/>
      <c r="P650" s="503"/>
      <c r="Q650" s="503"/>
    </row>
    <row r="651" spans="1:17" ht="15.75" customHeight="1">
      <c r="A651" s="503"/>
      <c r="B651" s="503"/>
      <c r="C651" s="503"/>
      <c r="D651" s="503"/>
      <c r="E651" s="503"/>
      <c r="F651" s="503"/>
      <c r="G651" s="503"/>
      <c r="H651" s="503"/>
      <c r="I651" s="503"/>
      <c r="J651" s="503"/>
      <c r="K651" s="503"/>
      <c r="L651" s="503"/>
      <c r="M651" s="503"/>
      <c r="N651" s="503"/>
      <c r="O651" s="503"/>
      <c r="P651" s="503"/>
      <c r="Q651" s="503"/>
    </row>
    <row r="652" spans="1:17" ht="15.75" customHeight="1">
      <c r="A652" s="503"/>
      <c r="B652" s="503"/>
      <c r="C652" s="503"/>
      <c r="D652" s="503"/>
      <c r="E652" s="503"/>
      <c r="F652" s="503"/>
      <c r="G652" s="503"/>
      <c r="H652" s="503"/>
      <c r="I652" s="503"/>
      <c r="J652" s="503"/>
      <c r="K652" s="503"/>
      <c r="L652" s="503"/>
      <c r="M652" s="503"/>
      <c r="N652" s="503"/>
      <c r="O652" s="503"/>
      <c r="P652" s="503"/>
      <c r="Q652" s="503"/>
    </row>
    <row r="653" spans="1:17" ht="15.75" customHeight="1">
      <c r="A653" s="503"/>
      <c r="B653" s="503"/>
      <c r="C653" s="503"/>
      <c r="D653" s="503"/>
      <c r="E653" s="503"/>
      <c r="F653" s="503"/>
      <c r="G653" s="503"/>
      <c r="H653" s="503"/>
      <c r="I653" s="503"/>
      <c r="J653" s="503"/>
      <c r="K653" s="503"/>
      <c r="L653" s="503"/>
      <c r="M653" s="503"/>
      <c r="N653" s="503"/>
      <c r="O653" s="503"/>
      <c r="P653" s="503"/>
      <c r="Q653" s="503"/>
    </row>
    <row r="654" spans="1:17" ht="15.75" customHeight="1">
      <c r="A654" s="503"/>
      <c r="B654" s="503"/>
      <c r="C654" s="503"/>
      <c r="D654" s="503"/>
      <c r="E654" s="503"/>
      <c r="F654" s="503"/>
      <c r="G654" s="503"/>
      <c r="H654" s="503"/>
      <c r="I654" s="503"/>
      <c r="J654" s="503"/>
      <c r="K654" s="503"/>
      <c r="L654" s="503"/>
      <c r="M654" s="503"/>
      <c r="N654" s="503"/>
      <c r="O654" s="503"/>
      <c r="P654" s="503"/>
      <c r="Q654" s="503"/>
    </row>
    <row r="655" spans="1:17" ht="15.75" customHeight="1">
      <c r="A655" s="503"/>
      <c r="B655" s="503"/>
      <c r="C655" s="503"/>
      <c r="D655" s="503"/>
      <c r="E655" s="503"/>
      <c r="F655" s="503"/>
      <c r="G655" s="503"/>
      <c r="H655" s="503"/>
      <c r="I655" s="503"/>
      <c r="J655" s="503"/>
      <c r="K655" s="503"/>
      <c r="L655" s="503"/>
      <c r="M655" s="503"/>
      <c r="N655" s="503"/>
      <c r="O655" s="503"/>
      <c r="P655" s="503"/>
      <c r="Q655" s="503"/>
    </row>
    <row r="656" spans="1:17" ht="15.75" customHeight="1">
      <c r="A656" s="503"/>
      <c r="B656" s="503"/>
      <c r="C656" s="503"/>
      <c r="D656" s="503"/>
      <c r="E656" s="503"/>
      <c r="F656" s="503"/>
      <c r="G656" s="503"/>
      <c r="H656" s="503"/>
      <c r="I656" s="503"/>
      <c r="J656" s="503"/>
      <c r="K656" s="503"/>
      <c r="L656" s="503"/>
      <c r="M656" s="503"/>
      <c r="N656" s="503"/>
      <c r="O656" s="503"/>
      <c r="P656" s="503"/>
      <c r="Q656" s="503"/>
    </row>
    <row r="657" spans="1:17" ht="15.75" customHeight="1">
      <c r="A657" s="503"/>
      <c r="B657" s="503"/>
      <c r="C657" s="503"/>
      <c r="D657" s="503"/>
      <c r="E657" s="503"/>
      <c r="F657" s="503"/>
      <c r="G657" s="503"/>
      <c r="H657" s="503"/>
      <c r="I657" s="503"/>
      <c r="J657" s="503"/>
      <c r="K657" s="503"/>
      <c r="L657" s="503"/>
      <c r="M657" s="503"/>
      <c r="N657" s="503"/>
      <c r="O657" s="503"/>
      <c r="P657" s="503"/>
      <c r="Q657" s="503"/>
    </row>
    <row r="658" spans="1:17" ht="15.75" customHeight="1">
      <c r="A658" s="503"/>
      <c r="B658" s="503"/>
      <c r="C658" s="503"/>
      <c r="D658" s="503"/>
      <c r="E658" s="503"/>
      <c r="F658" s="503"/>
      <c r="G658" s="503"/>
      <c r="H658" s="503"/>
      <c r="I658" s="503"/>
      <c r="J658" s="503"/>
      <c r="K658" s="503"/>
      <c r="L658" s="503"/>
      <c r="M658" s="503"/>
      <c r="N658" s="503"/>
      <c r="O658" s="503"/>
      <c r="P658" s="503"/>
      <c r="Q658" s="503"/>
    </row>
    <row r="659" spans="1:17" ht="15.75" customHeight="1">
      <c r="A659" s="503"/>
      <c r="B659" s="503"/>
      <c r="C659" s="503"/>
      <c r="D659" s="503"/>
      <c r="E659" s="503"/>
      <c r="F659" s="503"/>
      <c r="G659" s="503"/>
      <c r="H659" s="503"/>
      <c r="I659" s="503"/>
      <c r="J659" s="503"/>
      <c r="K659" s="503"/>
      <c r="L659" s="503"/>
      <c r="M659" s="503"/>
      <c r="N659" s="503"/>
      <c r="O659" s="503"/>
      <c r="P659" s="503"/>
      <c r="Q659" s="503"/>
    </row>
    <row r="660" spans="1:17" ht="15.75" customHeight="1">
      <c r="A660" s="503"/>
      <c r="B660" s="503"/>
      <c r="C660" s="503"/>
      <c r="D660" s="503"/>
      <c r="E660" s="503"/>
      <c r="F660" s="503"/>
      <c r="G660" s="503"/>
      <c r="H660" s="503"/>
      <c r="I660" s="503"/>
      <c r="J660" s="503"/>
      <c r="K660" s="503"/>
      <c r="L660" s="503"/>
      <c r="M660" s="503"/>
      <c r="N660" s="503"/>
      <c r="O660" s="503"/>
      <c r="P660" s="503"/>
      <c r="Q660" s="503"/>
    </row>
    <row r="661" spans="1:17" ht="15.75" customHeight="1">
      <c r="A661" s="503"/>
      <c r="B661" s="503"/>
      <c r="C661" s="503"/>
      <c r="D661" s="503"/>
      <c r="E661" s="503"/>
      <c r="F661" s="503"/>
      <c r="G661" s="503"/>
      <c r="H661" s="503"/>
      <c r="I661" s="503"/>
      <c r="J661" s="503"/>
      <c r="K661" s="503"/>
      <c r="L661" s="503"/>
      <c r="M661" s="503"/>
      <c r="N661" s="503"/>
      <c r="O661" s="503"/>
      <c r="P661" s="503"/>
      <c r="Q661" s="503"/>
    </row>
    <row r="662" spans="1:17" ht="15.75" customHeight="1">
      <c r="A662" s="503"/>
      <c r="B662" s="503"/>
      <c r="C662" s="503"/>
      <c r="D662" s="503"/>
      <c r="E662" s="503"/>
      <c r="F662" s="503"/>
      <c r="G662" s="503"/>
      <c r="H662" s="503"/>
      <c r="I662" s="503"/>
      <c r="J662" s="503"/>
      <c r="K662" s="503"/>
      <c r="L662" s="503"/>
      <c r="M662" s="503"/>
      <c r="N662" s="503"/>
      <c r="O662" s="503"/>
      <c r="P662" s="503"/>
      <c r="Q662" s="503"/>
    </row>
    <row r="663" spans="1:17" ht="15.75" customHeight="1">
      <c r="A663" s="503"/>
      <c r="B663" s="503"/>
      <c r="C663" s="503"/>
      <c r="D663" s="503"/>
      <c r="E663" s="503"/>
      <c r="F663" s="503"/>
      <c r="G663" s="503"/>
      <c r="H663" s="503"/>
      <c r="I663" s="503"/>
      <c r="J663" s="503"/>
      <c r="K663" s="503"/>
      <c r="L663" s="503"/>
      <c r="M663" s="503"/>
      <c r="N663" s="503"/>
      <c r="O663" s="503"/>
      <c r="P663" s="503"/>
      <c r="Q663" s="503"/>
    </row>
    <row r="664" spans="1:17" ht="15.75" customHeight="1">
      <c r="A664" s="503"/>
      <c r="B664" s="503"/>
      <c r="C664" s="503"/>
      <c r="D664" s="503"/>
      <c r="E664" s="503"/>
      <c r="F664" s="503"/>
      <c r="G664" s="503"/>
      <c r="H664" s="503"/>
      <c r="I664" s="503"/>
      <c r="J664" s="503"/>
      <c r="K664" s="503"/>
      <c r="L664" s="503"/>
      <c r="M664" s="503"/>
      <c r="N664" s="503"/>
      <c r="O664" s="503"/>
      <c r="P664" s="503"/>
      <c r="Q664" s="503"/>
    </row>
    <row r="665" spans="1:17" ht="15.75" customHeight="1">
      <c r="A665" s="503"/>
      <c r="B665" s="503"/>
      <c r="C665" s="503"/>
      <c r="D665" s="503"/>
      <c r="E665" s="503"/>
      <c r="F665" s="503"/>
      <c r="G665" s="503"/>
      <c r="H665" s="503"/>
      <c r="I665" s="503"/>
      <c r="J665" s="503"/>
      <c r="K665" s="503"/>
      <c r="L665" s="503"/>
      <c r="M665" s="503"/>
      <c r="N665" s="503"/>
      <c r="O665" s="503"/>
      <c r="P665" s="503"/>
      <c r="Q665" s="503"/>
    </row>
    <row r="666" spans="1:17" ht="15.75" customHeight="1">
      <c r="A666" s="503"/>
      <c r="B666" s="503"/>
      <c r="C666" s="503"/>
      <c r="D666" s="503"/>
      <c r="E666" s="503"/>
      <c r="F666" s="503"/>
      <c r="G666" s="503"/>
      <c r="H666" s="503"/>
      <c r="I666" s="503"/>
      <c r="J666" s="503"/>
      <c r="K666" s="503"/>
      <c r="L666" s="503"/>
      <c r="M666" s="503"/>
      <c r="N666" s="503"/>
      <c r="O666" s="503"/>
      <c r="P666" s="503"/>
      <c r="Q666" s="503"/>
    </row>
    <row r="667" spans="1:17" ht="15.75" customHeight="1">
      <c r="A667" s="503"/>
      <c r="B667" s="503"/>
      <c r="C667" s="503"/>
      <c r="D667" s="503"/>
      <c r="E667" s="503"/>
      <c r="F667" s="503"/>
      <c r="G667" s="503"/>
      <c r="H667" s="503"/>
      <c r="I667" s="503"/>
      <c r="J667" s="503"/>
      <c r="K667" s="503"/>
      <c r="L667" s="503"/>
      <c r="M667" s="503"/>
      <c r="N667" s="503"/>
      <c r="O667" s="503"/>
      <c r="P667" s="503"/>
      <c r="Q667" s="503"/>
    </row>
    <row r="668" spans="1:17" ht="15.75" customHeight="1">
      <c r="A668" s="503"/>
      <c r="B668" s="503"/>
      <c r="C668" s="503"/>
      <c r="D668" s="503"/>
      <c r="E668" s="503"/>
      <c r="F668" s="503"/>
      <c r="G668" s="503"/>
      <c r="H668" s="503"/>
      <c r="I668" s="503"/>
      <c r="J668" s="503"/>
      <c r="K668" s="503"/>
      <c r="L668" s="503"/>
      <c r="M668" s="503"/>
      <c r="N668" s="503"/>
      <c r="O668" s="503"/>
      <c r="P668" s="503"/>
      <c r="Q668" s="503"/>
    </row>
    <row r="669" spans="1:17" ht="15.75" customHeight="1">
      <c r="A669" s="503"/>
      <c r="B669" s="503"/>
      <c r="C669" s="503"/>
      <c r="D669" s="503"/>
      <c r="E669" s="503"/>
      <c r="F669" s="503"/>
      <c r="G669" s="503"/>
      <c r="H669" s="503"/>
      <c r="I669" s="503"/>
      <c r="J669" s="503"/>
      <c r="K669" s="503"/>
      <c r="L669" s="503"/>
      <c r="M669" s="503"/>
      <c r="N669" s="503"/>
      <c r="O669" s="503"/>
      <c r="P669" s="503"/>
      <c r="Q669" s="503"/>
    </row>
    <row r="670" spans="1:17" ht="15.75" customHeight="1">
      <c r="A670" s="503"/>
      <c r="B670" s="503"/>
      <c r="C670" s="503"/>
      <c r="D670" s="503"/>
      <c r="E670" s="503"/>
      <c r="F670" s="503"/>
      <c r="G670" s="503"/>
      <c r="H670" s="503"/>
      <c r="I670" s="503"/>
      <c r="J670" s="503"/>
      <c r="K670" s="503"/>
      <c r="L670" s="503"/>
      <c r="M670" s="503"/>
      <c r="N670" s="503"/>
      <c r="O670" s="503"/>
      <c r="P670" s="503"/>
      <c r="Q670" s="503"/>
    </row>
    <row r="671" spans="1:17" ht="15.75" customHeight="1">
      <c r="A671" s="503"/>
      <c r="B671" s="503"/>
      <c r="C671" s="503"/>
      <c r="D671" s="503"/>
      <c r="E671" s="503"/>
      <c r="F671" s="503"/>
      <c r="G671" s="503"/>
      <c r="H671" s="503"/>
      <c r="I671" s="503"/>
      <c r="J671" s="503"/>
      <c r="K671" s="503"/>
      <c r="L671" s="503"/>
      <c r="M671" s="503"/>
      <c r="N671" s="503"/>
      <c r="O671" s="503"/>
      <c r="P671" s="503"/>
      <c r="Q671" s="503"/>
    </row>
    <row r="672" spans="1:17" ht="15.75" customHeight="1">
      <c r="A672" s="503"/>
      <c r="B672" s="503"/>
      <c r="C672" s="503"/>
      <c r="D672" s="503"/>
      <c r="E672" s="503"/>
      <c r="F672" s="503"/>
      <c r="G672" s="503"/>
      <c r="H672" s="503"/>
      <c r="I672" s="503"/>
      <c r="J672" s="503"/>
      <c r="K672" s="503"/>
      <c r="L672" s="503"/>
      <c r="M672" s="503"/>
      <c r="N672" s="503"/>
      <c r="O672" s="503"/>
      <c r="P672" s="503"/>
      <c r="Q672" s="503"/>
    </row>
    <row r="673" spans="1:17" ht="15.75" customHeight="1">
      <c r="A673" s="503"/>
      <c r="B673" s="503"/>
      <c r="C673" s="503"/>
      <c r="D673" s="503"/>
      <c r="E673" s="503"/>
      <c r="F673" s="503"/>
      <c r="G673" s="503"/>
      <c r="H673" s="503"/>
      <c r="I673" s="503"/>
      <c r="J673" s="503"/>
      <c r="K673" s="503"/>
      <c r="L673" s="503"/>
      <c r="M673" s="503"/>
      <c r="N673" s="503"/>
      <c r="O673" s="503"/>
      <c r="P673" s="503"/>
      <c r="Q673" s="503"/>
    </row>
    <row r="674" spans="1:17" ht="15.75" customHeight="1">
      <c r="A674" s="503"/>
      <c r="B674" s="503"/>
      <c r="C674" s="503"/>
      <c r="D674" s="503"/>
      <c r="E674" s="503"/>
      <c r="F674" s="503"/>
      <c r="G674" s="503"/>
      <c r="H674" s="503"/>
      <c r="I674" s="503"/>
      <c r="J674" s="503"/>
      <c r="K674" s="503"/>
      <c r="L674" s="503"/>
      <c r="M674" s="503"/>
      <c r="N674" s="503"/>
      <c r="O674" s="503"/>
      <c r="P674" s="503"/>
      <c r="Q674" s="503"/>
    </row>
    <row r="675" spans="1:17" ht="15.75" customHeight="1">
      <c r="A675" s="503"/>
      <c r="B675" s="503"/>
      <c r="C675" s="503"/>
      <c r="D675" s="503"/>
      <c r="E675" s="503"/>
      <c r="F675" s="503"/>
      <c r="G675" s="503"/>
      <c r="H675" s="503"/>
      <c r="I675" s="503"/>
      <c r="J675" s="503"/>
      <c r="K675" s="503"/>
      <c r="L675" s="503"/>
      <c r="M675" s="503"/>
      <c r="N675" s="503"/>
      <c r="O675" s="503"/>
      <c r="P675" s="503"/>
      <c r="Q675" s="503"/>
    </row>
    <row r="676" spans="1:17" ht="15.75" customHeight="1">
      <c r="A676" s="503"/>
      <c r="B676" s="503"/>
      <c r="C676" s="503"/>
      <c r="D676" s="503"/>
      <c r="E676" s="503"/>
      <c r="F676" s="503"/>
      <c r="G676" s="503"/>
      <c r="H676" s="503"/>
      <c r="I676" s="503"/>
      <c r="J676" s="503"/>
      <c r="K676" s="503"/>
      <c r="L676" s="503"/>
      <c r="M676" s="503"/>
      <c r="N676" s="503"/>
      <c r="O676" s="503"/>
      <c r="P676" s="503"/>
      <c r="Q676" s="503"/>
    </row>
    <row r="677" spans="1:17" ht="15.75" customHeight="1">
      <c r="A677" s="503"/>
      <c r="B677" s="503"/>
      <c r="C677" s="503"/>
      <c r="D677" s="503"/>
      <c r="E677" s="503"/>
      <c r="F677" s="503"/>
      <c r="G677" s="503"/>
      <c r="H677" s="503"/>
      <c r="I677" s="503"/>
      <c r="J677" s="503"/>
      <c r="K677" s="503"/>
      <c r="L677" s="503"/>
      <c r="M677" s="503"/>
      <c r="N677" s="503"/>
      <c r="O677" s="503"/>
      <c r="P677" s="503"/>
      <c r="Q677" s="503"/>
    </row>
    <row r="678" spans="1:17" ht="15.75" customHeight="1">
      <c r="A678" s="503"/>
      <c r="B678" s="503"/>
      <c r="C678" s="503"/>
      <c r="D678" s="503"/>
      <c r="E678" s="503"/>
      <c r="F678" s="503"/>
      <c r="G678" s="503"/>
      <c r="H678" s="503"/>
      <c r="I678" s="503"/>
      <c r="J678" s="503"/>
      <c r="K678" s="503"/>
      <c r="L678" s="503"/>
      <c r="M678" s="503"/>
      <c r="N678" s="503"/>
      <c r="O678" s="503"/>
      <c r="P678" s="503"/>
      <c r="Q678" s="503"/>
    </row>
    <row r="679" spans="1:17" ht="15.75" customHeight="1">
      <c r="A679" s="503"/>
      <c r="B679" s="503"/>
      <c r="C679" s="503"/>
      <c r="D679" s="503"/>
      <c r="E679" s="503"/>
      <c r="F679" s="503"/>
      <c r="G679" s="503"/>
      <c r="H679" s="503"/>
      <c r="I679" s="503"/>
      <c r="J679" s="503"/>
      <c r="K679" s="503"/>
      <c r="L679" s="503"/>
      <c r="M679" s="503"/>
      <c r="N679" s="503"/>
      <c r="O679" s="503"/>
      <c r="P679" s="503"/>
      <c r="Q679" s="503"/>
    </row>
    <row r="680" spans="1:17" ht="15.75" customHeight="1">
      <c r="A680" s="503"/>
      <c r="B680" s="503"/>
      <c r="C680" s="503"/>
      <c r="D680" s="503"/>
      <c r="E680" s="503"/>
      <c r="F680" s="503"/>
      <c r="G680" s="503"/>
      <c r="H680" s="503"/>
      <c r="I680" s="503"/>
      <c r="J680" s="503"/>
      <c r="K680" s="503"/>
      <c r="L680" s="503"/>
      <c r="M680" s="503"/>
      <c r="N680" s="503"/>
      <c r="O680" s="503"/>
      <c r="P680" s="503"/>
      <c r="Q680" s="503"/>
    </row>
    <row r="681" spans="1:17" ht="15.75" customHeight="1">
      <c r="A681" s="503"/>
      <c r="B681" s="503"/>
      <c r="C681" s="503"/>
      <c r="D681" s="503"/>
      <c r="E681" s="503"/>
      <c r="F681" s="503"/>
      <c r="G681" s="503"/>
      <c r="H681" s="503"/>
      <c r="I681" s="503"/>
      <c r="J681" s="503"/>
      <c r="K681" s="503"/>
      <c r="L681" s="503"/>
      <c r="M681" s="503"/>
      <c r="N681" s="503"/>
      <c r="O681" s="503"/>
      <c r="P681" s="503"/>
      <c r="Q681" s="503"/>
    </row>
    <row r="682" spans="1:17" ht="15.75" customHeight="1">
      <c r="A682" s="503"/>
      <c r="B682" s="503"/>
      <c r="C682" s="503"/>
      <c r="D682" s="503"/>
      <c r="E682" s="503"/>
      <c r="F682" s="503"/>
      <c r="G682" s="503"/>
      <c r="H682" s="503"/>
      <c r="I682" s="503"/>
      <c r="J682" s="503"/>
      <c r="K682" s="503"/>
      <c r="L682" s="503"/>
      <c r="M682" s="503"/>
      <c r="N682" s="503"/>
      <c r="O682" s="503"/>
      <c r="P682" s="503"/>
      <c r="Q682" s="503"/>
    </row>
    <row r="683" spans="1:17" ht="15.75" customHeight="1">
      <c r="A683" s="503"/>
      <c r="B683" s="503"/>
      <c r="C683" s="503"/>
      <c r="D683" s="503"/>
      <c r="E683" s="503"/>
      <c r="F683" s="503"/>
      <c r="G683" s="503"/>
      <c r="H683" s="503"/>
      <c r="I683" s="503"/>
      <c r="J683" s="503"/>
      <c r="K683" s="503"/>
      <c r="L683" s="503"/>
      <c r="M683" s="503"/>
      <c r="N683" s="503"/>
      <c r="O683" s="503"/>
      <c r="P683" s="503"/>
      <c r="Q683" s="503"/>
    </row>
    <row r="684" spans="1:17" ht="15.75" customHeight="1">
      <c r="A684" s="503"/>
      <c r="B684" s="503"/>
      <c r="C684" s="503"/>
      <c r="D684" s="503"/>
      <c r="E684" s="503"/>
      <c r="F684" s="503"/>
      <c r="G684" s="503"/>
      <c r="H684" s="503"/>
      <c r="I684" s="503"/>
      <c r="J684" s="503"/>
      <c r="K684" s="503"/>
      <c r="L684" s="503"/>
      <c r="M684" s="503"/>
      <c r="N684" s="503"/>
      <c r="O684" s="503"/>
      <c r="P684" s="503"/>
      <c r="Q684" s="503"/>
    </row>
    <row r="685" spans="1:17" ht="15.75" customHeight="1">
      <c r="A685" s="503"/>
      <c r="B685" s="503"/>
      <c r="C685" s="503"/>
      <c r="D685" s="503"/>
      <c r="E685" s="503"/>
      <c r="F685" s="503"/>
      <c r="G685" s="503"/>
      <c r="H685" s="503"/>
      <c r="I685" s="503"/>
      <c r="J685" s="503"/>
      <c r="K685" s="503"/>
      <c r="L685" s="503"/>
      <c r="M685" s="503"/>
      <c r="N685" s="503"/>
      <c r="O685" s="503"/>
      <c r="P685" s="503"/>
      <c r="Q685" s="503"/>
    </row>
    <row r="686" spans="1:17" ht="15.75" customHeight="1">
      <c r="A686" s="503"/>
      <c r="B686" s="503"/>
      <c r="C686" s="503"/>
      <c r="D686" s="503"/>
      <c r="E686" s="503"/>
      <c r="F686" s="503"/>
      <c r="G686" s="503"/>
      <c r="H686" s="503"/>
      <c r="I686" s="503"/>
      <c r="J686" s="503"/>
      <c r="K686" s="503"/>
      <c r="L686" s="503"/>
      <c r="M686" s="503"/>
      <c r="N686" s="503"/>
      <c r="O686" s="503"/>
      <c r="P686" s="503"/>
      <c r="Q686" s="503"/>
    </row>
    <row r="687" spans="1:17" ht="15.75" customHeight="1">
      <c r="A687" s="503"/>
      <c r="B687" s="503"/>
      <c r="C687" s="503"/>
      <c r="D687" s="503"/>
      <c r="E687" s="503"/>
      <c r="F687" s="503"/>
      <c r="G687" s="503"/>
      <c r="H687" s="503"/>
      <c r="I687" s="503"/>
      <c r="J687" s="503"/>
      <c r="K687" s="503"/>
      <c r="L687" s="503"/>
      <c r="M687" s="503"/>
      <c r="N687" s="503"/>
      <c r="O687" s="503"/>
      <c r="P687" s="503"/>
      <c r="Q687" s="503"/>
    </row>
    <row r="688" spans="1:17" ht="15.75" customHeight="1">
      <c r="A688" s="503"/>
      <c r="B688" s="503"/>
      <c r="C688" s="503"/>
      <c r="D688" s="503"/>
      <c r="E688" s="503"/>
      <c r="F688" s="503"/>
      <c r="G688" s="503"/>
      <c r="H688" s="503"/>
      <c r="I688" s="503"/>
      <c r="J688" s="503"/>
      <c r="K688" s="503"/>
      <c r="L688" s="503"/>
      <c r="M688" s="503"/>
      <c r="N688" s="503"/>
      <c r="O688" s="503"/>
      <c r="P688" s="503"/>
      <c r="Q688" s="503"/>
    </row>
    <row r="689" spans="1:17" ht="15.75" customHeight="1">
      <c r="A689" s="503"/>
      <c r="B689" s="503"/>
      <c r="C689" s="503"/>
      <c r="D689" s="503"/>
      <c r="E689" s="503"/>
      <c r="F689" s="503"/>
      <c r="G689" s="503"/>
      <c r="H689" s="503"/>
      <c r="I689" s="503"/>
      <c r="J689" s="503"/>
      <c r="K689" s="503"/>
      <c r="L689" s="503"/>
      <c r="M689" s="503"/>
      <c r="N689" s="503"/>
      <c r="O689" s="503"/>
      <c r="P689" s="503"/>
      <c r="Q689" s="503"/>
    </row>
    <row r="690" spans="1:17" ht="15.75" customHeight="1">
      <c r="A690" s="503"/>
      <c r="B690" s="503"/>
      <c r="C690" s="503"/>
      <c r="D690" s="503"/>
      <c r="E690" s="503"/>
      <c r="F690" s="503"/>
      <c r="G690" s="503"/>
      <c r="H690" s="503"/>
      <c r="I690" s="503"/>
      <c r="J690" s="503"/>
      <c r="K690" s="503"/>
      <c r="L690" s="503"/>
      <c r="M690" s="503"/>
      <c r="N690" s="503"/>
      <c r="O690" s="503"/>
      <c r="P690" s="503"/>
      <c r="Q690" s="503"/>
    </row>
    <row r="691" spans="1:17" ht="15.75" customHeight="1">
      <c r="A691" s="503"/>
      <c r="B691" s="503"/>
      <c r="C691" s="503"/>
      <c r="D691" s="503"/>
      <c r="E691" s="503"/>
      <c r="F691" s="503"/>
      <c r="G691" s="503"/>
      <c r="H691" s="503"/>
      <c r="I691" s="503"/>
      <c r="J691" s="503"/>
      <c r="K691" s="503"/>
      <c r="L691" s="503"/>
      <c r="M691" s="503"/>
      <c r="N691" s="503"/>
      <c r="O691" s="503"/>
      <c r="P691" s="503"/>
      <c r="Q691" s="503"/>
    </row>
    <row r="692" spans="1:17" ht="15.75" customHeight="1">
      <c r="A692" s="503"/>
      <c r="B692" s="503"/>
      <c r="C692" s="503"/>
      <c r="D692" s="503"/>
      <c r="E692" s="503"/>
      <c r="F692" s="503"/>
      <c r="G692" s="503"/>
      <c r="H692" s="503"/>
      <c r="I692" s="503"/>
      <c r="J692" s="503"/>
      <c r="K692" s="503"/>
      <c r="L692" s="503"/>
      <c r="M692" s="503"/>
      <c r="N692" s="503"/>
      <c r="O692" s="503"/>
      <c r="P692" s="503"/>
      <c r="Q692" s="503"/>
    </row>
    <row r="693" spans="1:17" ht="15.75" customHeight="1">
      <c r="A693" s="503"/>
      <c r="B693" s="503"/>
      <c r="C693" s="503"/>
      <c r="D693" s="503"/>
      <c r="E693" s="503"/>
      <c r="F693" s="503"/>
      <c r="G693" s="503"/>
      <c r="H693" s="503"/>
      <c r="I693" s="503"/>
      <c r="J693" s="503"/>
      <c r="K693" s="503"/>
      <c r="L693" s="503"/>
      <c r="M693" s="503"/>
      <c r="N693" s="503"/>
      <c r="O693" s="503"/>
      <c r="P693" s="503"/>
      <c r="Q693" s="503"/>
    </row>
    <row r="694" spans="1:17" ht="15.75" customHeight="1">
      <c r="A694" s="503"/>
      <c r="B694" s="503"/>
      <c r="C694" s="503"/>
      <c r="D694" s="503"/>
      <c r="E694" s="503"/>
      <c r="F694" s="503"/>
      <c r="G694" s="503"/>
      <c r="H694" s="503"/>
      <c r="I694" s="503"/>
      <c r="J694" s="503"/>
      <c r="K694" s="503"/>
      <c r="L694" s="503"/>
      <c r="M694" s="503"/>
      <c r="N694" s="503"/>
      <c r="O694" s="503"/>
      <c r="P694" s="503"/>
      <c r="Q694" s="503"/>
    </row>
    <row r="695" spans="1:17" ht="15.75" customHeight="1">
      <c r="A695" s="503"/>
      <c r="B695" s="503"/>
      <c r="C695" s="503"/>
      <c r="D695" s="503"/>
      <c r="E695" s="503"/>
      <c r="F695" s="503"/>
      <c r="G695" s="503"/>
      <c r="H695" s="503"/>
      <c r="I695" s="503"/>
      <c r="J695" s="503"/>
      <c r="K695" s="503"/>
      <c r="L695" s="503"/>
      <c r="M695" s="503"/>
      <c r="N695" s="503"/>
      <c r="O695" s="503"/>
      <c r="P695" s="503"/>
      <c r="Q695" s="503"/>
    </row>
    <row r="696" spans="1:17" ht="15.75" customHeight="1">
      <c r="A696" s="503"/>
      <c r="B696" s="503"/>
      <c r="C696" s="503"/>
      <c r="D696" s="503"/>
      <c r="E696" s="503"/>
      <c r="F696" s="503"/>
      <c r="G696" s="503"/>
      <c r="H696" s="503"/>
      <c r="I696" s="503"/>
      <c r="J696" s="503"/>
      <c r="K696" s="503"/>
      <c r="L696" s="503"/>
      <c r="M696" s="503"/>
      <c r="N696" s="503"/>
      <c r="O696" s="503"/>
      <c r="P696" s="503"/>
      <c r="Q696" s="503"/>
    </row>
    <row r="697" spans="1:17" ht="15.75" customHeight="1">
      <c r="A697" s="503"/>
      <c r="B697" s="503"/>
      <c r="C697" s="503"/>
      <c r="D697" s="503"/>
      <c r="E697" s="503"/>
      <c r="F697" s="503"/>
      <c r="G697" s="503"/>
      <c r="H697" s="503"/>
      <c r="I697" s="503"/>
      <c r="J697" s="503"/>
      <c r="K697" s="503"/>
      <c r="L697" s="503"/>
      <c r="M697" s="503"/>
      <c r="N697" s="503"/>
      <c r="O697" s="503"/>
      <c r="P697" s="503"/>
      <c r="Q697" s="503"/>
    </row>
    <row r="698" spans="1:17" ht="15.75" customHeight="1">
      <c r="A698" s="503"/>
      <c r="B698" s="503"/>
      <c r="C698" s="503"/>
      <c r="D698" s="503"/>
      <c r="E698" s="503"/>
      <c r="F698" s="503"/>
      <c r="G698" s="503"/>
      <c r="H698" s="503"/>
      <c r="I698" s="503"/>
      <c r="J698" s="503"/>
      <c r="K698" s="503"/>
      <c r="L698" s="503"/>
      <c r="M698" s="503"/>
      <c r="N698" s="503"/>
      <c r="O698" s="503"/>
      <c r="P698" s="503"/>
      <c r="Q698" s="503"/>
    </row>
    <row r="699" spans="1:17" ht="15.75" customHeight="1">
      <c r="A699" s="503"/>
      <c r="B699" s="503"/>
      <c r="C699" s="503"/>
      <c r="D699" s="503"/>
      <c r="E699" s="503"/>
      <c r="F699" s="503"/>
      <c r="G699" s="503"/>
      <c r="H699" s="503"/>
      <c r="I699" s="503"/>
      <c r="J699" s="503"/>
      <c r="K699" s="503"/>
      <c r="L699" s="503"/>
      <c r="M699" s="503"/>
      <c r="N699" s="503"/>
      <c r="O699" s="503"/>
      <c r="P699" s="503"/>
      <c r="Q699" s="503"/>
    </row>
    <row r="700" spans="1:17" ht="15.75" customHeight="1">
      <c r="A700" s="503"/>
      <c r="B700" s="503"/>
      <c r="C700" s="503"/>
      <c r="D700" s="503"/>
      <c r="E700" s="503"/>
      <c r="F700" s="503"/>
      <c r="G700" s="503"/>
      <c r="H700" s="503"/>
      <c r="I700" s="503"/>
      <c r="J700" s="503"/>
      <c r="K700" s="503"/>
      <c r="L700" s="503"/>
      <c r="M700" s="503"/>
      <c r="N700" s="503"/>
      <c r="O700" s="503"/>
      <c r="P700" s="503"/>
      <c r="Q700" s="503"/>
    </row>
    <row r="701" spans="1:17" ht="15.75" customHeight="1">
      <c r="A701" s="503"/>
      <c r="B701" s="503"/>
      <c r="C701" s="503"/>
      <c r="D701" s="503"/>
      <c r="E701" s="503"/>
      <c r="F701" s="503"/>
      <c r="G701" s="503"/>
      <c r="H701" s="503"/>
      <c r="I701" s="503"/>
      <c r="J701" s="503"/>
      <c r="K701" s="503"/>
      <c r="L701" s="503"/>
      <c r="M701" s="503"/>
      <c r="N701" s="503"/>
      <c r="O701" s="503"/>
      <c r="P701" s="503"/>
      <c r="Q701" s="503"/>
    </row>
    <row r="702" spans="1:17" ht="15.75" customHeight="1">
      <c r="A702" s="503"/>
      <c r="B702" s="503"/>
      <c r="C702" s="503"/>
      <c r="D702" s="503"/>
      <c r="E702" s="503"/>
      <c r="F702" s="503"/>
      <c r="G702" s="503"/>
      <c r="H702" s="503"/>
      <c r="I702" s="503"/>
      <c r="J702" s="503"/>
      <c r="K702" s="503"/>
      <c r="L702" s="503"/>
      <c r="M702" s="503"/>
      <c r="N702" s="503"/>
      <c r="O702" s="503"/>
      <c r="P702" s="503"/>
      <c r="Q702" s="503"/>
    </row>
    <row r="703" spans="1:17" ht="15.75" customHeight="1">
      <c r="A703" s="503"/>
      <c r="B703" s="503"/>
      <c r="C703" s="503"/>
      <c r="D703" s="503"/>
      <c r="E703" s="503"/>
      <c r="F703" s="503"/>
      <c r="G703" s="503"/>
      <c r="H703" s="503"/>
      <c r="I703" s="503"/>
      <c r="J703" s="503"/>
      <c r="K703" s="503"/>
      <c r="L703" s="503"/>
      <c r="M703" s="503"/>
      <c r="N703" s="503"/>
      <c r="O703" s="503"/>
      <c r="P703" s="503"/>
      <c r="Q703" s="503"/>
    </row>
    <row r="704" spans="1:17" ht="15.75" customHeight="1">
      <c r="A704" s="503"/>
      <c r="B704" s="503"/>
      <c r="C704" s="503"/>
      <c r="D704" s="503"/>
      <c r="E704" s="503"/>
      <c r="F704" s="503"/>
      <c r="G704" s="503"/>
      <c r="H704" s="503"/>
      <c r="I704" s="503"/>
      <c r="J704" s="503"/>
      <c r="K704" s="503"/>
      <c r="L704" s="503"/>
      <c r="M704" s="503"/>
      <c r="N704" s="503"/>
      <c r="O704" s="503"/>
      <c r="P704" s="503"/>
      <c r="Q704" s="503"/>
    </row>
    <row r="705" spans="1:17" ht="15.75" customHeight="1">
      <c r="A705" s="503"/>
      <c r="B705" s="503"/>
      <c r="C705" s="503"/>
      <c r="D705" s="503"/>
      <c r="E705" s="503"/>
      <c r="F705" s="503"/>
      <c r="G705" s="503"/>
      <c r="H705" s="503"/>
      <c r="I705" s="503"/>
      <c r="J705" s="503"/>
      <c r="K705" s="503"/>
      <c r="L705" s="503"/>
      <c r="M705" s="503"/>
      <c r="N705" s="503"/>
      <c r="O705" s="503"/>
      <c r="P705" s="503"/>
      <c r="Q705" s="503"/>
    </row>
    <row r="706" spans="1:17" ht="15.75" customHeight="1">
      <c r="A706" s="503"/>
      <c r="B706" s="503"/>
      <c r="C706" s="503"/>
      <c r="D706" s="503"/>
      <c r="E706" s="503"/>
      <c r="F706" s="503"/>
      <c r="G706" s="503"/>
      <c r="H706" s="503"/>
      <c r="I706" s="503"/>
      <c r="J706" s="503"/>
      <c r="K706" s="503"/>
      <c r="L706" s="503"/>
      <c r="M706" s="503"/>
      <c r="N706" s="503"/>
      <c r="O706" s="503"/>
      <c r="P706" s="503"/>
      <c r="Q706" s="503"/>
    </row>
    <row r="707" spans="1:17" ht="15.75" customHeight="1">
      <c r="A707" s="503"/>
      <c r="B707" s="503"/>
      <c r="C707" s="503"/>
      <c r="D707" s="503"/>
      <c r="E707" s="503"/>
      <c r="F707" s="503"/>
      <c r="G707" s="503"/>
      <c r="H707" s="503"/>
      <c r="I707" s="503"/>
      <c r="J707" s="503"/>
      <c r="K707" s="503"/>
      <c r="L707" s="503"/>
      <c r="M707" s="503"/>
      <c r="N707" s="503"/>
      <c r="O707" s="503"/>
      <c r="P707" s="503"/>
      <c r="Q707" s="503"/>
    </row>
    <row r="708" spans="1:17" ht="15.75" customHeight="1">
      <c r="A708" s="503"/>
      <c r="B708" s="503"/>
      <c r="C708" s="503"/>
      <c r="D708" s="503"/>
      <c r="E708" s="503"/>
      <c r="F708" s="503"/>
      <c r="G708" s="503"/>
      <c r="H708" s="503"/>
      <c r="I708" s="503"/>
      <c r="J708" s="503"/>
      <c r="K708" s="503"/>
      <c r="L708" s="503"/>
      <c r="M708" s="503"/>
      <c r="N708" s="503"/>
      <c r="O708" s="503"/>
      <c r="P708" s="503"/>
      <c r="Q708" s="503"/>
    </row>
    <row r="709" spans="1:17" ht="15.75" customHeight="1">
      <c r="A709" s="503"/>
      <c r="B709" s="503"/>
      <c r="C709" s="503"/>
      <c r="D709" s="503"/>
      <c r="E709" s="503"/>
      <c r="F709" s="503"/>
      <c r="G709" s="503"/>
      <c r="H709" s="503"/>
      <c r="I709" s="503"/>
      <c r="J709" s="503"/>
      <c r="K709" s="503"/>
      <c r="L709" s="503"/>
      <c r="M709" s="503"/>
      <c r="N709" s="503"/>
      <c r="O709" s="503"/>
      <c r="P709" s="503"/>
      <c r="Q709" s="503"/>
    </row>
    <row r="710" spans="1:17" ht="15.75" customHeight="1">
      <c r="A710" s="503"/>
      <c r="B710" s="503"/>
      <c r="C710" s="503"/>
      <c r="D710" s="503"/>
      <c r="E710" s="503"/>
      <c r="F710" s="503"/>
      <c r="G710" s="503"/>
      <c r="H710" s="503"/>
      <c r="I710" s="503"/>
      <c r="J710" s="503"/>
      <c r="K710" s="503"/>
      <c r="L710" s="503"/>
      <c r="M710" s="503"/>
      <c r="N710" s="503"/>
      <c r="O710" s="503"/>
      <c r="P710" s="503"/>
      <c r="Q710" s="503"/>
    </row>
    <row r="711" spans="1:17" ht="15.75" customHeight="1">
      <c r="A711" s="503"/>
      <c r="B711" s="503"/>
      <c r="C711" s="503"/>
      <c r="D711" s="503"/>
      <c r="E711" s="503"/>
      <c r="F711" s="503"/>
      <c r="G711" s="503"/>
      <c r="H711" s="503"/>
      <c r="I711" s="503"/>
      <c r="J711" s="503"/>
      <c r="K711" s="503"/>
      <c r="L711" s="503"/>
      <c r="M711" s="503"/>
      <c r="N711" s="503"/>
      <c r="O711" s="503"/>
      <c r="P711" s="503"/>
      <c r="Q711" s="503"/>
    </row>
    <row r="712" spans="1:17" ht="15.75" customHeight="1">
      <c r="A712" s="503"/>
      <c r="B712" s="503"/>
      <c r="C712" s="503"/>
      <c r="D712" s="503"/>
      <c r="E712" s="503"/>
      <c r="F712" s="503"/>
      <c r="G712" s="503"/>
      <c r="H712" s="503"/>
      <c r="I712" s="503"/>
      <c r="J712" s="503"/>
      <c r="K712" s="503"/>
      <c r="L712" s="503"/>
      <c r="M712" s="503"/>
      <c r="N712" s="503"/>
      <c r="O712" s="503"/>
      <c r="P712" s="503"/>
      <c r="Q712" s="503"/>
    </row>
    <row r="713" spans="1:17" ht="15.75" customHeight="1">
      <c r="A713" s="503"/>
      <c r="B713" s="503"/>
      <c r="C713" s="503"/>
      <c r="D713" s="503"/>
      <c r="E713" s="503"/>
      <c r="F713" s="503"/>
      <c r="G713" s="503"/>
      <c r="H713" s="503"/>
      <c r="I713" s="503"/>
      <c r="J713" s="503"/>
      <c r="K713" s="503"/>
      <c r="L713" s="503"/>
      <c r="M713" s="503"/>
      <c r="N713" s="503"/>
      <c r="O713" s="503"/>
      <c r="P713" s="503"/>
      <c r="Q713" s="503"/>
    </row>
    <row r="714" spans="1:17" ht="15.75" customHeight="1">
      <c r="A714" s="503"/>
      <c r="B714" s="503"/>
      <c r="C714" s="503"/>
      <c r="D714" s="503"/>
      <c r="E714" s="503"/>
      <c r="F714" s="503"/>
      <c r="G714" s="503"/>
      <c r="H714" s="503"/>
      <c r="I714" s="503"/>
      <c r="J714" s="503"/>
      <c r="K714" s="503"/>
      <c r="L714" s="503"/>
      <c r="M714" s="503"/>
      <c r="N714" s="503"/>
      <c r="O714" s="503"/>
      <c r="P714" s="503"/>
      <c r="Q714" s="503"/>
    </row>
    <row r="715" spans="1:17" ht="15.75" customHeight="1">
      <c r="A715" s="503"/>
      <c r="B715" s="503"/>
      <c r="C715" s="503"/>
      <c r="D715" s="503"/>
      <c r="E715" s="503"/>
      <c r="F715" s="503"/>
      <c r="G715" s="503"/>
      <c r="H715" s="503"/>
      <c r="I715" s="503"/>
      <c r="J715" s="503"/>
      <c r="K715" s="503"/>
      <c r="L715" s="503"/>
      <c r="M715" s="503"/>
      <c r="N715" s="503"/>
      <c r="O715" s="503"/>
      <c r="P715" s="503"/>
      <c r="Q715" s="503"/>
    </row>
    <row r="716" spans="1:17" ht="15.75" customHeight="1">
      <c r="A716" s="503"/>
      <c r="B716" s="503"/>
      <c r="C716" s="503"/>
      <c r="D716" s="503"/>
      <c r="E716" s="503"/>
      <c r="F716" s="503"/>
      <c r="G716" s="503"/>
      <c r="H716" s="503"/>
      <c r="I716" s="503"/>
      <c r="J716" s="503"/>
      <c r="K716" s="503"/>
      <c r="L716" s="503"/>
      <c r="M716" s="503"/>
      <c r="N716" s="503"/>
      <c r="O716" s="503"/>
      <c r="P716" s="503"/>
      <c r="Q716" s="503"/>
    </row>
    <row r="717" spans="1:17" ht="15.75" customHeight="1">
      <c r="A717" s="503"/>
      <c r="B717" s="503"/>
      <c r="C717" s="503"/>
      <c r="D717" s="503"/>
      <c r="E717" s="503"/>
      <c r="F717" s="503"/>
      <c r="G717" s="503"/>
      <c r="H717" s="503"/>
      <c r="I717" s="503"/>
      <c r="J717" s="503"/>
      <c r="K717" s="503"/>
      <c r="L717" s="503"/>
      <c r="M717" s="503"/>
      <c r="N717" s="503"/>
      <c r="O717" s="503"/>
      <c r="P717" s="503"/>
      <c r="Q717" s="503"/>
    </row>
    <row r="718" spans="1:17" ht="15.75" customHeight="1">
      <c r="A718" s="503"/>
      <c r="B718" s="503"/>
      <c r="C718" s="503"/>
      <c r="D718" s="503"/>
      <c r="E718" s="503"/>
      <c r="F718" s="503"/>
      <c r="G718" s="503"/>
      <c r="H718" s="503"/>
      <c r="I718" s="503"/>
      <c r="J718" s="503"/>
      <c r="K718" s="503"/>
      <c r="L718" s="503"/>
      <c r="M718" s="503"/>
      <c r="N718" s="503"/>
      <c r="O718" s="503"/>
      <c r="P718" s="503"/>
      <c r="Q718" s="503"/>
    </row>
    <row r="719" spans="1:17" ht="15.75" customHeight="1">
      <c r="A719" s="503"/>
      <c r="B719" s="503"/>
      <c r="C719" s="503"/>
      <c r="D719" s="503"/>
      <c r="E719" s="503"/>
      <c r="F719" s="503"/>
      <c r="G719" s="503"/>
      <c r="H719" s="503"/>
      <c r="I719" s="503"/>
      <c r="J719" s="503"/>
      <c r="K719" s="503"/>
      <c r="L719" s="503"/>
      <c r="M719" s="503"/>
      <c r="N719" s="503"/>
      <c r="O719" s="503"/>
      <c r="P719" s="503"/>
      <c r="Q719" s="503"/>
    </row>
    <row r="720" spans="1:17" ht="15.75" customHeight="1">
      <c r="A720" s="503"/>
      <c r="B720" s="503"/>
      <c r="C720" s="503"/>
      <c r="D720" s="503"/>
      <c r="E720" s="503"/>
      <c r="F720" s="503"/>
      <c r="G720" s="503"/>
      <c r="H720" s="503"/>
      <c r="I720" s="503"/>
      <c r="J720" s="503"/>
      <c r="K720" s="503"/>
      <c r="L720" s="503"/>
      <c r="M720" s="503"/>
      <c r="N720" s="503"/>
      <c r="O720" s="503"/>
      <c r="P720" s="503"/>
      <c r="Q720" s="503"/>
    </row>
    <row r="721" spans="1:17" ht="15.75" customHeight="1">
      <c r="A721" s="503"/>
      <c r="B721" s="503"/>
      <c r="C721" s="503"/>
      <c r="D721" s="503"/>
      <c r="E721" s="503"/>
      <c r="F721" s="503"/>
      <c r="G721" s="503"/>
      <c r="H721" s="503"/>
      <c r="I721" s="503"/>
      <c r="J721" s="503"/>
      <c r="K721" s="503"/>
      <c r="L721" s="503"/>
      <c r="M721" s="503"/>
      <c r="N721" s="503"/>
      <c r="O721" s="503"/>
      <c r="P721" s="503"/>
      <c r="Q721" s="503"/>
    </row>
    <row r="722" spans="1:17" ht="15.75" customHeight="1">
      <c r="A722" s="503"/>
      <c r="B722" s="503"/>
      <c r="C722" s="503"/>
      <c r="D722" s="503"/>
      <c r="E722" s="503"/>
      <c r="F722" s="503"/>
      <c r="G722" s="503"/>
      <c r="H722" s="503"/>
      <c r="I722" s="503"/>
      <c r="J722" s="503"/>
      <c r="K722" s="503"/>
      <c r="L722" s="503"/>
      <c r="M722" s="503"/>
      <c r="N722" s="503"/>
      <c r="O722" s="503"/>
      <c r="P722" s="503"/>
      <c r="Q722" s="503"/>
    </row>
    <row r="723" spans="1:17" ht="15.75" customHeight="1">
      <c r="A723" s="503"/>
      <c r="B723" s="503"/>
      <c r="C723" s="503"/>
      <c r="D723" s="503"/>
      <c r="E723" s="503"/>
      <c r="F723" s="503"/>
      <c r="G723" s="503"/>
      <c r="H723" s="503"/>
      <c r="I723" s="503"/>
      <c r="J723" s="503"/>
      <c r="K723" s="503"/>
      <c r="L723" s="503"/>
      <c r="M723" s="503"/>
      <c r="N723" s="503"/>
      <c r="O723" s="503"/>
      <c r="P723" s="503"/>
      <c r="Q723" s="503"/>
    </row>
    <row r="724" spans="1:17" ht="15.75" customHeight="1">
      <c r="A724" s="503"/>
      <c r="B724" s="503"/>
      <c r="C724" s="503"/>
      <c r="D724" s="503"/>
      <c r="E724" s="503"/>
      <c r="F724" s="503"/>
      <c r="G724" s="503"/>
      <c r="H724" s="503"/>
      <c r="I724" s="503"/>
      <c r="J724" s="503"/>
      <c r="K724" s="503"/>
      <c r="L724" s="503"/>
      <c r="M724" s="503"/>
      <c r="N724" s="503"/>
      <c r="O724" s="503"/>
      <c r="P724" s="503"/>
      <c r="Q724" s="503"/>
    </row>
    <row r="725" spans="1:17" ht="15.75" customHeight="1">
      <c r="A725" s="503"/>
      <c r="B725" s="503"/>
      <c r="C725" s="503"/>
      <c r="D725" s="503"/>
      <c r="E725" s="503"/>
      <c r="F725" s="503"/>
      <c r="G725" s="503"/>
      <c r="H725" s="503"/>
      <c r="I725" s="503"/>
      <c r="J725" s="503"/>
      <c r="K725" s="503"/>
      <c r="L725" s="503"/>
      <c r="M725" s="503"/>
      <c r="N725" s="503"/>
      <c r="O725" s="503"/>
      <c r="P725" s="503"/>
      <c r="Q725" s="503"/>
    </row>
    <row r="726" spans="1:17" ht="15.75" customHeight="1">
      <c r="A726" s="503"/>
      <c r="B726" s="503"/>
      <c r="C726" s="503"/>
      <c r="D726" s="503"/>
      <c r="E726" s="503"/>
      <c r="F726" s="503"/>
      <c r="G726" s="503"/>
      <c r="H726" s="503"/>
      <c r="I726" s="503"/>
      <c r="J726" s="503"/>
      <c r="K726" s="503"/>
      <c r="L726" s="503"/>
      <c r="M726" s="503"/>
      <c r="N726" s="503"/>
      <c r="O726" s="503"/>
      <c r="P726" s="503"/>
      <c r="Q726" s="503"/>
    </row>
    <row r="727" spans="1:17" ht="15.75" customHeight="1">
      <c r="A727" s="503"/>
      <c r="B727" s="503"/>
      <c r="C727" s="503"/>
      <c r="D727" s="503"/>
      <c r="E727" s="503"/>
      <c r="F727" s="503"/>
      <c r="G727" s="503"/>
      <c r="H727" s="503"/>
      <c r="I727" s="503"/>
      <c r="J727" s="503"/>
      <c r="K727" s="503"/>
      <c r="L727" s="503"/>
      <c r="M727" s="503"/>
      <c r="N727" s="503"/>
      <c r="O727" s="503"/>
      <c r="P727" s="503"/>
      <c r="Q727" s="503"/>
    </row>
    <row r="728" spans="1:17" ht="15.75" customHeight="1">
      <c r="A728" s="503"/>
      <c r="B728" s="503"/>
      <c r="C728" s="503"/>
      <c r="D728" s="503"/>
      <c r="E728" s="503"/>
      <c r="F728" s="503"/>
      <c r="G728" s="503"/>
      <c r="H728" s="503"/>
      <c r="I728" s="503"/>
      <c r="J728" s="503"/>
      <c r="K728" s="503"/>
      <c r="L728" s="503"/>
      <c r="M728" s="503"/>
      <c r="N728" s="503"/>
      <c r="O728" s="503"/>
      <c r="P728" s="503"/>
      <c r="Q728" s="503"/>
    </row>
    <row r="729" spans="1:17" ht="15.75" customHeight="1">
      <c r="A729" s="503"/>
      <c r="B729" s="503"/>
      <c r="C729" s="503"/>
      <c r="D729" s="503"/>
      <c r="E729" s="503"/>
      <c r="F729" s="503"/>
      <c r="G729" s="503"/>
      <c r="H729" s="503"/>
      <c r="I729" s="503"/>
      <c r="J729" s="503"/>
      <c r="K729" s="503"/>
      <c r="L729" s="503"/>
      <c r="M729" s="503"/>
      <c r="N729" s="503"/>
      <c r="O729" s="503"/>
      <c r="P729" s="503"/>
      <c r="Q729" s="503"/>
    </row>
    <row r="730" spans="1:17" ht="15.75" customHeight="1">
      <c r="A730" s="503"/>
      <c r="B730" s="503"/>
      <c r="C730" s="503"/>
      <c r="D730" s="503"/>
      <c r="E730" s="503"/>
      <c r="F730" s="503"/>
      <c r="G730" s="503"/>
      <c r="H730" s="503"/>
      <c r="I730" s="503"/>
      <c r="J730" s="503"/>
      <c r="K730" s="503"/>
      <c r="L730" s="503"/>
      <c r="M730" s="503"/>
      <c r="N730" s="503"/>
      <c r="O730" s="503"/>
      <c r="P730" s="503"/>
      <c r="Q730" s="503"/>
    </row>
    <row r="731" spans="1:17" ht="15.75" customHeight="1">
      <c r="A731" s="503"/>
      <c r="B731" s="503"/>
      <c r="C731" s="503"/>
      <c r="D731" s="503"/>
      <c r="E731" s="503"/>
      <c r="F731" s="503"/>
      <c r="G731" s="503"/>
      <c r="H731" s="503"/>
      <c r="I731" s="503"/>
      <c r="J731" s="503"/>
      <c r="K731" s="503"/>
      <c r="L731" s="503"/>
      <c r="M731" s="503"/>
      <c r="N731" s="503"/>
      <c r="O731" s="503"/>
      <c r="P731" s="503"/>
      <c r="Q731" s="503"/>
    </row>
    <row r="732" spans="1:17" ht="15.75" customHeight="1">
      <c r="A732" s="503"/>
      <c r="B732" s="503"/>
      <c r="C732" s="503"/>
      <c r="D732" s="503"/>
      <c r="E732" s="503"/>
      <c r="F732" s="503"/>
      <c r="G732" s="503"/>
      <c r="H732" s="503"/>
      <c r="I732" s="503"/>
      <c r="J732" s="503"/>
      <c r="K732" s="503"/>
      <c r="L732" s="503"/>
      <c r="M732" s="503"/>
      <c r="N732" s="503"/>
      <c r="O732" s="503"/>
      <c r="P732" s="503"/>
      <c r="Q732" s="503"/>
    </row>
    <row r="733" spans="1:17" ht="15.75" customHeight="1">
      <c r="A733" s="503"/>
      <c r="B733" s="503"/>
      <c r="C733" s="503"/>
      <c r="D733" s="503"/>
      <c r="E733" s="503"/>
      <c r="F733" s="503"/>
      <c r="G733" s="503"/>
      <c r="H733" s="503"/>
      <c r="I733" s="503"/>
      <c r="J733" s="503"/>
      <c r="K733" s="503"/>
      <c r="L733" s="503"/>
      <c r="M733" s="503"/>
      <c r="N733" s="503"/>
      <c r="O733" s="503"/>
      <c r="P733" s="503"/>
      <c r="Q733" s="503"/>
    </row>
    <row r="734" spans="1:17" ht="15.75" customHeight="1">
      <c r="A734" s="503"/>
      <c r="B734" s="503"/>
      <c r="C734" s="503"/>
      <c r="D734" s="503"/>
      <c r="E734" s="503"/>
      <c r="F734" s="503"/>
      <c r="G734" s="503"/>
      <c r="H734" s="503"/>
      <c r="I734" s="503"/>
      <c r="J734" s="503"/>
      <c r="K734" s="503"/>
      <c r="L734" s="503"/>
      <c r="M734" s="503"/>
      <c r="N734" s="503"/>
      <c r="O734" s="503"/>
      <c r="P734" s="503"/>
      <c r="Q734" s="503"/>
    </row>
    <row r="735" spans="1:17" ht="15.75" customHeight="1">
      <c r="A735" s="503"/>
      <c r="B735" s="503"/>
      <c r="C735" s="503"/>
      <c r="D735" s="503"/>
      <c r="E735" s="503"/>
      <c r="F735" s="503"/>
      <c r="G735" s="503"/>
      <c r="H735" s="503"/>
      <c r="I735" s="503"/>
      <c r="J735" s="503"/>
      <c r="K735" s="503"/>
      <c r="L735" s="503"/>
      <c r="M735" s="503"/>
      <c r="N735" s="503"/>
      <c r="O735" s="503"/>
      <c r="P735" s="503"/>
      <c r="Q735" s="503"/>
    </row>
    <row r="736" spans="1:17" ht="15.75" customHeight="1">
      <c r="A736" s="503"/>
      <c r="B736" s="503"/>
      <c r="C736" s="503"/>
      <c r="D736" s="503"/>
      <c r="E736" s="503"/>
      <c r="F736" s="503"/>
      <c r="G736" s="503"/>
      <c r="H736" s="503"/>
      <c r="I736" s="503"/>
      <c r="J736" s="503"/>
      <c r="K736" s="503"/>
      <c r="L736" s="503"/>
      <c r="M736" s="503"/>
      <c r="N736" s="503"/>
      <c r="O736" s="503"/>
      <c r="P736" s="503"/>
      <c r="Q736" s="503"/>
    </row>
    <row r="737" spans="1:17" ht="15.75" customHeight="1">
      <c r="A737" s="503"/>
      <c r="B737" s="503"/>
      <c r="C737" s="503"/>
      <c r="D737" s="503"/>
      <c r="E737" s="503"/>
      <c r="F737" s="503"/>
      <c r="G737" s="503"/>
      <c r="H737" s="503"/>
      <c r="I737" s="503"/>
      <c r="J737" s="503"/>
      <c r="K737" s="503"/>
      <c r="L737" s="503"/>
      <c r="M737" s="503"/>
      <c r="N737" s="503"/>
      <c r="O737" s="503"/>
      <c r="P737" s="503"/>
      <c r="Q737" s="503"/>
    </row>
    <row r="738" spans="1:17" ht="15.75" customHeight="1">
      <c r="A738" s="503"/>
      <c r="B738" s="503"/>
      <c r="C738" s="503"/>
      <c r="D738" s="503"/>
      <c r="E738" s="503"/>
      <c r="F738" s="503"/>
      <c r="G738" s="503"/>
      <c r="H738" s="503"/>
      <c r="I738" s="503"/>
      <c r="J738" s="503"/>
      <c r="K738" s="503"/>
      <c r="L738" s="503"/>
      <c r="M738" s="503"/>
      <c r="N738" s="503"/>
      <c r="O738" s="503"/>
      <c r="P738" s="503"/>
      <c r="Q738" s="503"/>
    </row>
    <row r="739" spans="1:17" ht="15.75" customHeight="1">
      <c r="A739" s="503"/>
      <c r="B739" s="503"/>
      <c r="C739" s="503"/>
      <c r="D739" s="503"/>
      <c r="E739" s="503"/>
      <c r="F739" s="503"/>
      <c r="G739" s="503"/>
      <c r="H739" s="503"/>
      <c r="I739" s="503"/>
      <c r="J739" s="503"/>
      <c r="K739" s="503"/>
      <c r="L739" s="503"/>
      <c r="M739" s="503"/>
      <c r="N739" s="503"/>
      <c r="O739" s="503"/>
      <c r="P739" s="503"/>
      <c r="Q739" s="503"/>
    </row>
    <row r="740" spans="1:17" ht="15.75" customHeight="1">
      <c r="A740" s="503"/>
      <c r="B740" s="503"/>
      <c r="C740" s="503"/>
      <c r="D740" s="503"/>
      <c r="E740" s="503"/>
      <c r="F740" s="503"/>
      <c r="G740" s="503"/>
      <c r="H740" s="503"/>
      <c r="I740" s="503"/>
      <c r="J740" s="503"/>
      <c r="K740" s="503"/>
      <c r="L740" s="503"/>
      <c r="M740" s="503"/>
      <c r="N740" s="503"/>
      <c r="O740" s="503"/>
      <c r="P740" s="503"/>
      <c r="Q740" s="503"/>
    </row>
    <row r="741" spans="1:17" ht="15.75" customHeight="1">
      <c r="A741" s="503"/>
      <c r="B741" s="503"/>
      <c r="C741" s="503"/>
      <c r="D741" s="503"/>
      <c r="E741" s="503"/>
      <c r="F741" s="503"/>
      <c r="G741" s="503"/>
      <c r="H741" s="503"/>
      <c r="I741" s="503"/>
      <c r="J741" s="503"/>
      <c r="K741" s="503"/>
      <c r="L741" s="503"/>
      <c r="M741" s="503"/>
      <c r="N741" s="503"/>
      <c r="O741" s="503"/>
      <c r="P741" s="503"/>
      <c r="Q741" s="503"/>
    </row>
    <row r="742" spans="1:17" ht="15.75" customHeight="1">
      <c r="A742" s="503"/>
      <c r="B742" s="503"/>
      <c r="C742" s="503"/>
      <c r="D742" s="503"/>
      <c r="E742" s="503"/>
      <c r="F742" s="503"/>
      <c r="G742" s="503"/>
      <c r="H742" s="503"/>
      <c r="I742" s="503"/>
      <c r="J742" s="503"/>
      <c r="K742" s="503"/>
      <c r="L742" s="503"/>
      <c r="M742" s="503"/>
      <c r="N742" s="503"/>
      <c r="O742" s="503"/>
      <c r="P742" s="503"/>
      <c r="Q742" s="503"/>
    </row>
    <row r="743" spans="1:17" ht="15.75" customHeight="1">
      <c r="A743" s="503"/>
      <c r="B743" s="503"/>
      <c r="C743" s="503"/>
      <c r="D743" s="503"/>
      <c r="E743" s="503"/>
      <c r="F743" s="503"/>
      <c r="G743" s="503"/>
      <c r="H743" s="503"/>
      <c r="I743" s="503"/>
      <c r="J743" s="503"/>
      <c r="K743" s="503"/>
      <c r="L743" s="503"/>
      <c r="M743" s="503"/>
      <c r="N743" s="503"/>
      <c r="O743" s="503"/>
      <c r="P743" s="503"/>
      <c r="Q743" s="503"/>
    </row>
    <row r="744" spans="1:17" ht="15.75" customHeight="1">
      <c r="A744" s="503"/>
      <c r="B744" s="503"/>
      <c r="C744" s="503"/>
      <c r="D744" s="503"/>
      <c r="E744" s="503"/>
      <c r="F744" s="503"/>
      <c r="G744" s="503"/>
      <c r="H744" s="503"/>
      <c r="I744" s="503"/>
      <c r="J744" s="503"/>
      <c r="K744" s="503"/>
      <c r="L744" s="503"/>
      <c r="M744" s="503"/>
      <c r="N744" s="503"/>
      <c r="O744" s="503"/>
      <c r="P744" s="503"/>
      <c r="Q744" s="503"/>
    </row>
    <row r="745" spans="1:17" ht="15.75" customHeight="1">
      <c r="A745" s="503"/>
      <c r="B745" s="503"/>
      <c r="C745" s="503"/>
      <c r="D745" s="503"/>
      <c r="E745" s="503"/>
      <c r="F745" s="503"/>
      <c r="G745" s="503"/>
      <c r="H745" s="503"/>
      <c r="I745" s="503"/>
      <c r="J745" s="503"/>
      <c r="K745" s="503"/>
      <c r="L745" s="503"/>
      <c r="M745" s="503"/>
      <c r="N745" s="503"/>
      <c r="O745" s="503"/>
      <c r="P745" s="503"/>
      <c r="Q745" s="503"/>
    </row>
    <row r="746" spans="1:17" ht="15.75" customHeight="1">
      <c r="A746" s="503"/>
      <c r="B746" s="503"/>
      <c r="C746" s="503"/>
      <c r="D746" s="503"/>
      <c r="E746" s="503"/>
      <c r="F746" s="503"/>
      <c r="G746" s="503"/>
      <c r="H746" s="503"/>
      <c r="I746" s="503"/>
      <c r="J746" s="503"/>
      <c r="K746" s="503"/>
      <c r="L746" s="503"/>
      <c r="M746" s="503"/>
      <c r="N746" s="503"/>
      <c r="O746" s="503"/>
      <c r="P746" s="503"/>
      <c r="Q746" s="503"/>
    </row>
    <row r="747" spans="1:17" ht="15.75" customHeight="1">
      <c r="A747" s="503"/>
      <c r="B747" s="503"/>
      <c r="C747" s="503"/>
      <c r="D747" s="503"/>
      <c r="E747" s="503"/>
      <c r="F747" s="503"/>
      <c r="G747" s="503"/>
      <c r="H747" s="503"/>
      <c r="I747" s="503"/>
      <c r="J747" s="503"/>
      <c r="K747" s="503"/>
      <c r="L747" s="503"/>
      <c r="M747" s="503"/>
      <c r="N747" s="503"/>
      <c r="O747" s="503"/>
      <c r="P747" s="503"/>
      <c r="Q747" s="503"/>
    </row>
    <row r="748" spans="1:17" ht="15.75" customHeight="1">
      <c r="A748" s="503"/>
      <c r="B748" s="503"/>
      <c r="C748" s="503"/>
      <c r="D748" s="503"/>
      <c r="E748" s="503"/>
      <c r="F748" s="503"/>
      <c r="G748" s="503"/>
      <c r="H748" s="503"/>
      <c r="I748" s="503"/>
      <c r="J748" s="503"/>
      <c r="K748" s="503"/>
      <c r="L748" s="503"/>
      <c r="M748" s="503"/>
      <c r="N748" s="503"/>
      <c r="O748" s="503"/>
      <c r="P748" s="503"/>
      <c r="Q748" s="503"/>
    </row>
    <row r="749" spans="1:17" ht="15.75" customHeight="1">
      <c r="A749" s="503"/>
      <c r="B749" s="503"/>
      <c r="C749" s="503"/>
      <c r="D749" s="503"/>
      <c r="E749" s="503"/>
      <c r="F749" s="503"/>
      <c r="G749" s="503"/>
      <c r="H749" s="503"/>
      <c r="I749" s="503"/>
      <c r="J749" s="503"/>
      <c r="K749" s="503"/>
      <c r="L749" s="503"/>
      <c r="M749" s="503"/>
      <c r="N749" s="503"/>
      <c r="O749" s="503"/>
      <c r="P749" s="503"/>
      <c r="Q749" s="503"/>
    </row>
    <row r="750" spans="1:17" ht="15.75" customHeight="1">
      <c r="A750" s="503"/>
      <c r="B750" s="503"/>
      <c r="C750" s="503"/>
      <c r="D750" s="503"/>
      <c r="E750" s="503"/>
      <c r="F750" s="503"/>
      <c r="G750" s="503"/>
      <c r="H750" s="503"/>
      <c r="I750" s="503"/>
      <c r="J750" s="503"/>
      <c r="K750" s="503"/>
      <c r="L750" s="503"/>
      <c r="M750" s="503"/>
      <c r="N750" s="503"/>
      <c r="O750" s="503"/>
      <c r="P750" s="503"/>
      <c r="Q750" s="503"/>
    </row>
    <row r="751" spans="1:17" ht="15.75" customHeight="1">
      <c r="A751" s="503"/>
      <c r="B751" s="503"/>
      <c r="C751" s="503"/>
      <c r="D751" s="503"/>
      <c r="E751" s="503"/>
      <c r="F751" s="503"/>
      <c r="G751" s="503"/>
      <c r="H751" s="503"/>
      <c r="I751" s="503"/>
      <c r="J751" s="503"/>
      <c r="K751" s="503"/>
      <c r="L751" s="503"/>
      <c r="M751" s="503"/>
      <c r="N751" s="503"/>
      <c r="O751" s="503"/>
      <c r="P751" s="503"/>
      <c r="Q751" s="503"/>
    </row>
    <row r="752" spans="1:17" ht="15.75" customHeight="1">
      <c r="A752" s="503"/>
      <c r="B752" s="503"/>
      <c r="C752" s="503"/>
      <c r="D752" s="503"/>
      <c r="E752" s="503"/>
      <c r="F752" s="503"/>
      <c r="G752" s="503"/>
      <c r="H752" s="503"/>
      <c r="I752" s="503"/>
      <c r="J752" s="503"/>
      <c r="K752" s="503"/>
      <c r="L752" s="503"/>
      <c r="M752" s="503"/>
      <c r="N752" s="503"/>
      <c r="O752" s="503"/>
      <c r="P752" s="503"/>
      <c r="Q752" s="503"/>
    </row>
    <row r="753" spans="1:17" ht="15.75" customHeight="1">
      <c r="A753" s="503"/>
      <c r="B753" s="503"/>
      <c r="C753" s="503"/>
      <c r="D753" s="503"/>
      <c r="E753" s="503"/>
      <c r="F753" s="503"/>
      <c r="G753" s="503"/>
      <c r="H753" s="503"/>
      <c r="I753" s="503"/>
      <c r="J753" s="503"/>
      <c r="K753" s="503"/>
      <c r="L753" s="503"/>
      <c r="M753" s="503"/>
      <c r="N753" s="503"/>
      <c r="O753" s="503"/>
      <c r="P753" s="503"/>
      <c r="Q753" s="503"/>
    </row>
    <row r="754" spans="1:17" ht="15.75" customHeight="1">
      <c r="A754" s="503"/>
      <c r="B754" s="503"/>
      <c r="C754" s="503"/>
      <c r="D754" s="503"/>
      <c r="E754" s="503"/>
      <c r="F754" s="503"/>
      <c r="G754" s="503"/>
      <c r="H754" s="503"/>
      <c r="I754" s="503"/>
      <c r="J754" s="503"/>
      <c r="K754" s="503"/>
      <c r="L754" s="503"/>
      <c r="M754" s="503"/>
      <c r="N754" s="503"/>
      <c r="O754" s="503"/>
      <c r="P754" s="503"/>
      <c r="Q754" s="503"/>
    </row>
    <row r="755" spans="1:17" ht="15.75" customHeight="1">
      <c r="A755" s="503"/>
      <c r="B755" s="503"/>
      <c r="C755" s="503"/>
      <c r="D755" s="503"/>
      <c r="E755" s="503"/>
      <c r="F755" s="503"/>
      <c r="G755" s="503"/>
      <c r="H755" s="503"/>
      <c r="I755" s="503"/>
      <c r="J755" s="503"/>
      <c r="K755" s="503"/>
      <c r="L755" s="503"/>
      <c r="M755" s="503"/>
      <c r="N755" s="503"/>
      <c r="O755" s="503"/>
      <c r="P755" s="503"/>
      <c r="Q755" s="503"/>
    </row>
    <row r="756" spans="1:17" ht="15.75" customHeight="1">
      <c r="A756" s="503"/>
      <c r="B756" s="503"/>
      <c r="C756" s="503"/>
      <c r="D756" s="503"/>
      <c r="E756" s="503"/>
      <c r="F756" s="503"/>
      <c r="G756" s="503"/>
      <c r="H756" s="503"/>
      <c r="I756" s="503"/>
      <c r="J756" s="503"/>
      <c r="K756" s="503"/>
      <c r="L756" s="503"/>
      <c r="M756" s="503"/>
      <c r="N756" s="503"/>
      <c r="O756" s="503"/>
      <c r="P756" s="503"/>
      <c r="Q756" s="503"/>
    </row>
    <row r="757" spans="1:17" ht="15.75" customHeight="1">
      <c r="A757" s="503"/>
      <c r="B757" s="503"/>
      <c r="C757" s="503"/>
      <c r="D757" s="503"/>
      <c r="E757" s="503"/>
      <c r="F757" s="503"/>
      <c r="G757" s="503"/>
      <c r="H757" s="503"/>
      <c r="I757" s="503"/>
      <c r="J757" s="503"/>
      <c r="K757" s="503"/>
      <c r="L757" s="503"/>
      <c r="M757" s="503"/>
      <c r="N757" s="503"/>
      <c r="O757" s="503"/>
      <c r="P757" s="503"/>
      <c r="Q757" s="503"/>
    </row>
    <row r="758" spans="1:17" ht="15.75" customHeight="1">
      <c r="A758" s="503"/>
      <c r="B758" s="503"/>
      <c r="C758" s="503"/>
      <c r="D758" s="503"/>
      <c r="E758" s="503"/>
      <c r="F758" s="503"/>
      <c r="G758" s="503"/>
      <c r="H758" s="503"/>
      <c r="I758" s="503"/>
      <c r="J758" s="503"/>
      <c r="K758" s="503"/>
      <c r="L758" s="503"/>
      <c r="M758" s="503"/>
      <c r="N758" s="503"/>
      <c r="O758" s="503"/>
      <c r="P758" s="503"/>
      <c r="Q758" s="503"/>
    </row>
    <row r="759" spans="1:17" ht="15.75" customHeight="1">
      <c r="A759" s="503"/>
      <c r="B759" s="503"/>
      <c r="C759" s="503"/>
      <c r="D759" s="503"/>
      <c r="E759" s="503"/>
      <c r="F759" s="503"/>
      <c r="G759" s="503"/>
      <c r="H759" s="503"/>
      <c r="I759" s="503"/>
      <c r="J759" s="503"/>
      <c r="K759" s="503"/>
      <c r="L759" s="503"/>
      <c r="M759" s="503"/>
      <c r="N759" s="503"/>
      <c r="O759" s="503"/>
      <c r="P759" s="503"/>
      <c r="Q759" s="503"/>
    </row>
    <row r="760" spans="1:17" ht="15.75" customHeight="1">
      <c r="A760" s="503"/>
      <c r="B760" s="503"/>
      <c r="C760" s="503"/>
      <c r="D760" s="503"/>
      <c r="E760" s="503"/>
      <c r="F760" s="503"/>
      <c r="G760" s="503"/>
      <c r="H760" s="503"/>
      <c r="I760" s="503"/>
      <c r="J760" s="503"/>
      <c r="K760" s="503"/>
      <c r="L760" s="503"/>
      <c r="M760" s="503"/>
      <c r="N760" s="503"/>
      <c r="O760" s="503"/>
      <c r="P760" s="503"/>
      <c r="Q760" s="503"/>
    </row>
    <row r="761" spans="1:17" ht="15.75" customHeight="1">
      <c r="A761" s="503"/>
      <c r="B761" s="503"/>
      <c r="C761" s="503"/>
      <c r="D761" s="503"/>
      <c r="E761" s="503"/>
      <c r="F761" s="503"/>
      <c r="G761" s="503"/>
      <c r="H761" s="503"/>
      <c r="I761" s="503"/>
      <c r="J761" s="503"/>
      <c r="K761" s="503"/>
      <c r="L761" s="503"/>
      <c r="M761" s="503"/>
      <c r="N761" s="503"/>
      <c r="O761" s="503"/>
      <c r="P761" s="503"/>
      <c r="Q761" s="503"/>
    </row>
    <row r="762" spans="1:17" ht="15.75" customHeight="1">
      <c r="A762" s="503"/>
      <c r="B762" s="503"/>
      <c r="C762" s="503"/>
      <c r="D762" s="503"/>
      <c r="E762" s="503"/>
      <c r="F762" s="503"/>
      <c r="G762" s="503"/>
      <c r="H762" s="503"/>
      <c r="I762" s="503"/>
      <c r="J762" s="503"/>
      <c r="K762" s="503"/>
      <c r="L762" s="503"/>
      <c r="M762" s="503"/>
      <c r="N762" s="503"/>
      <c r="O762" s="503"/>
      <c r="P762" s="503"/>
      <c r="Q762" s="503"/>
    </row>
    <row r="763" spans="1:17" ht="15.75" customHeight="1">
      <c r="A763" s="503"/>
      <c r="B763" s="503"/>
      <c r="C763" s="503"/>
      <c r="D763" s="503"/>
      <c r="E763" s="503"/>
      <c r="F763" s="503"/>
      <c r="G763" s="503"/>
      <c r="H763" s="503"/>
      <c r="I763" s="503"/>
      <c r="J763" s="503"/>
      <c r="K763" s="503"/>
      <c r="L763" s="503"/>
      <c r="M763" s="503"/>
      <c r="N763" s="503"/>
      <c r="O763" s="503"/>
      <c r="P763" s="503"/>
      <c r="Q763" s="503"/>
    </row>
    <row r="764" spans="1:17" ht="15.75" customHeight="1">
      <c r="A764" s="503"/>
      <c r="B764" s="503"/>
      <c r="C764" s="503"/>
      <c r="D764" s="503"/>
      <c r="E764" s="503"/>
      <c r="F764" s="503"/>
      <c r="G764" s="503"/>
      <c r="H764" s="503"/>
      <c r="I764" s="503"/>
      <c r="J764" s="503"/>
      <c r="K764" s="503"/>
      <c r="L764" s="503"/>
      <c r="M764" s="503"/>
      <c r="N764" s="503"/>
      <c r="O764" s="503"/>
      <c r="P764" s="503"/>
      <c r="Q764" s="503"/>
    </row>
    <row r="765" spans="1:17" ht="15.75" customHeight="1">
      <c r="A765" s="503"/>
      <c r="B765" s="503"/>
      <c r="C765" s="503"/>
      <c r="D765" s="503"/>
      <c r="E765" s="503"/>
      <c r="F765" s="503"/>
      <c r="G765" s="503"/>
      <c r="H765" s="503"/>
      <c r="I765" s="503"/>
      <c r="J765" s="503"/>
      <c r="K765" s="503"/>
      <c r="L765" s="503"/>
      <c r="M765" s="503"/>
      <c r="N765" s="503"/>
      <c r="O765" s="503"/>
      <c r="P765" s="503"/>
      <c r="Q765" s="503"/>
    </row>
    <row r="766" spans="1:17" ht="15.75" customHeight="1">
      <c r="A766" s="503"/>
      <c r="B766" s="503"/>
      <c r="C766" s="503"/>
      <c r="D766" s="503"/>
      <c r="E766" s="503"/>
      <c r="F766" s="503"/>
      <c r="G766" s="503"/>
      <c r="H766" s="503"/>
      <c r="I766" s="503"/>
      <c r="J766" s="503"/>
      <c r="K766" s="503"/>
      <c r="L766" s="503"/>
      <c r="M766" s="503"/>
      <c r="N766" s="503"/>
      <c r="O766" s="503"/>
      <c r="P766" s="503"/>
      <c r="Q766" s="503"/>
    </row>
    <row r="767" spans="1:17" ht="15.75" customHeight="1">
      <c r="A767" s="503"/>
      <c r="B767" s="503"/>
      <c r="C767" s="503"/>
      <c r="D767" s="503"/>
      <c r="E767" s="503"/>
      <c r="F767" s="503"/>
      <c r="G767" s="503"/>
      <c r="H767" s="503"/>
      <c r="I767" s="503"/>
      <c r="J767" s="503"/>
      <c r="K767" s="503"/>
      <c r="L767" s="503"/>
      <c r="M767" s="503"/>
      <c r="N767" s="503"/>
      <c r="O767" s="503"/>
      <c r="P767" s="503"/>
      <c r="Q767" s="503"/>
    </row>
    <row r="768" spans="1:17" ht="15.75" customHeight="1">
      <c r="A768" s="503"/>
      <c r="B768" s="503"/>
      <c r="C768" s="503"/>
      <c r="D768" s="503"/>
      <c r="E768" s="503"/>
      <c r="F768" s="503"/>
      <c r="G768" s="503"/>
      <c r="H768" s="503"/>
      <c r="I768" s="503"/>
      <c r="J768" s="503"/>
      <c r="K768" s="503"/>
      <c r="L768" s="503"/>
      <c r="M768" s="503"/>
      <c r="N768" s="503"/>
      <c r="O768" s="503"/>
      <c r="P768" s="503"/>
      <c r="Q768" s="503"/>
    </row>
    <row r="769" spans="1:17" ht="15.75" customHeight="1">
      <c r="A769" s="503"/>
      <c r="B769" s="503"/>
      <c r="C769" s="503"/>
      <c r="D769" s="503"/>
      <c r="E769" s="503"/>
      <c r="F769" s="503"/>
      <c r="G769" s="503"/>
      <c r="H769" s="503"/>
      <c r="I769" s="503"/>
      <c r="J769" s="503"/>
      <c r="K769" s="503"/>
      <c r="L769" s="503"/>
      <c r="M769" s="503"/>
      <c r="N769" s="503"/>
      <c r="O769" s="503"/>
      <c r="P769" s="503"/>
      <c r="Q769" s="503"/>
    </row>
    <row r="770" spans="1:17" ht="15.75" customHeight="1">
      <c r="A770" s="503"/>
      <c r="B770" s="503"/>
      <c r="C770" s="503"/>
      <c r="D770" s="503"/>
      <c r="E770" s="503"/>
      <c r="F770" s="503"/>
      <c r="G770" s="503"/>
      <c r="H770" s="503"/>
      <c r="I770" s="503"/>
      <c r="J770" s="503"/>
      <c r="K770" s="503"/>
      <c r="L770" s="503"/>
      <c r="M770" s="503"/>
      <c r="N770" s="503"/>
      <c r="O770" s="503"/>
      <c r="P770" s="503"/>
      <c r="Q770" s="503"/>
    </row>
    <row r="771" spans="1:17" ht="15.75" customHeight="1">
      <c r="A771" s="503"/>
      <c r="B771" s="503"/>
      <c r="C771" s="503"/>
      <c r="D771" s="503"/>
      <c r="E771" s="503"/>
      <c r="F771" s="503"/>
      <c r="G771" s="503"/>
      <c r="H771" s="503"/>
      <c r="I771" s="503"/>
      <c r="J771" s="503"/>
      <c r="K771" s="503"/>
      <c r="L771" s="503"/>
      <c r="M771" s="503"/>
      <c r="N771" s="503"/>
      <c r="O771" s="503"/>
      <c r="P771" s="503"/>
      <c r="Q771" s="503"/>
    </row>
    <row r="772" spans="1:17" ht="15.75" customHeight="1">
      <c r="A772" s="503"/>
      <c r="B772" s="503"/>
      <c r="C772" s="503"/>
      <c r="D772" s="503"/>
      <c r="E772" s="503"/>
      <c r="F772" s="503"/>
      <c r="G772" s="503"/>
      <c r="H772" s="503"/>
      <c r="I772" s="503"/>
      <c r="J772" s="503"/>
      <c r="K772" s="503"/>
      <c r="L772" s="503"/>
      <c r="M772" s="503"/>
      <c r="N772" s="503"/>
      <c r="O772" s="503"/>
      <c r="P772" s="503"/>
      <c r="Q772" s="503"/>
    </row>
    <row r="773" spans="1:17" ht="15.75" customHeight="1">
      <c r="A773" s="503"/>
      <c r="B773" s="503"/>
      <c r="C773" s="503"/>
      <c r="D773" s="503"/>
      <c r="E773" s="503"/>
      <c r="F773" s="503"/>
      <c r="G773" s="503"/>
      <c r="H773" s="503"/>
      <c r="I773" s="503"/>
      <c r="J773" s="503"/>
      <c r="K773" s="503"/>
      <c r="L773" s="503"/>
      <c r="M773" s="503"/>
      <c r="N773" s="503"/>
      <c r="O773" s="503"/>
      <c r="P773" s="503"/>
      <c r="Q773" s="503"/>
    </row>
    <row r="774" spans="1:17" ht="15.75" customHeight="1">
      <c r="A774" s="503"/>
      <c r="B774" s="503"/>
      <c r="C774" s="503"/>
      <c r="D774" s="503"/>
      <c r="E774" s="503"/>
      <c r="F774" s="503"/>
      <c r="G774" s="503"/>
      <c r="H774" s="503"/>
      <c r="I774" s="503"/>
      <c r="J774" s="503"/>
      <c r="K774" s="503"/>
      <c r="L774" s="503"/>
      <c r="M774" s="503"/>
      <c r="N774" s="503"/>
      <c r="O774" s="503"/>
      <c r="P774" s="503"/>
      <c r="Q774" s="503"/>
    </row>
    <row r="775" spans="1:17" ht="15.75" customHeight="1">
      <c r="A775" s="503"/>
      <c r="B775" s="503"/>
      <c r="C775" s="503"/>
      <c r="D775" s="503"/>
      <c r="E775" s="503"/>
      <c r="F775" s="503"/>
      <c r="G775" s="503"/>
      <c r="H775" s="503"/>
      <c r="I775" s="503"/>
      <c r="J775" s="503"/>
      <c r="K775" s="503"/>
      <c r="L775" s="503"/>
      <c r="M775" s="503"/>
      <c r="N775" s="503"/>
      <c r="O775" s="503"/>
      <c r="P775" s="503"/>
      <c r="Q775" s="503"/>
    </row>
    <row r="776" spans="1:17" ht="15.75" customHeight="1">
      <c r="A776" s="503"/>
      <c r="B776" s="503"/>
      <c r="C776" s="503"/>
      <c r="D776" s="503"/>
      <c r="E776" s="503"/>
      <c r="F776" s="503"/>
      <c r="G776" s="503"/>
      <c r="H776" s="503"/>
      <c r="I776" s="503"/>
      <c r="J776" s="503"/>
      <c r="K776" s="503"/>
      <c r="L776" s="503"/>
      <c r="M776" s="503"/>
      <c r="N776" s="503"/>
      <c r="O776" s="503"/>
      <c r="P776" s="503"/>
      <c r="Q776" s="503"/>
    </row>
    <row r="777" spans="1:17" ht="15.75" customHeight="1">
      <c r="A777" s="503"/>
      <c r="B777" s="503"/>
      <c r="C777" s="503"/>
      <c r="D777" s="503"/>
      <c r="E777" s="503"/>
      <c r="F777" s="503"/>
      <c r="G777" s="503"/>
      <c r="H777" s="503"/>
      <c r="I777" s="503"/>
      <c r="J777" s="503"/>
      <c r="K777" s="503"/>
      <c r="L777" s="503"/>
      <c r="M777" s="503"/>
      <c r="N777" s="503"/>
      <c r="O777" s="503"/>
      <c r="P777" s="503"/>
      <c r="Q777" s="503"/>
    </row>
    <row r="778" spans="1:17" ht="15.75" customHeight="1">
      <c r="A778" s="503"/>
      <c r="B778" s="503"/>
      <c r="C778" s="503"/>
      <c r="D778" s="503"/>
      <c r="E778" s="503"/>
      <c r="F778" s="503"/>
      <c r="G778" s="503"/>
      <c r="H778" s="503"/>
      <c r="I778" s="503"/>
      <c r="J778" s="503"/>
      <c r="K778" s="503"/>
      <c r="L778" s="503"/>
      <c r="M778" s="503"/>
      <c r="N778" s="503"/>
      <c r="O778" s="503"/>
      <c r="P778" s="503"/>
      <c r="Q778" s="503"/>
    </row>
    <row r="779" spans="1:17" ht="15.75" customHeight="1">
      <c r="A779" s="503"/>
      <c r="B779" s="503"/>
      <c r="C779" s="503"/>
      <c r="D779" s="503"/>
      <c r="E779" s="503"/>
      <c r="F779" s="503"/>
      <c r="G779" s="503"/>
      <c r="H779" s="503"/>
      <c r="I779" s="503"/>
      <c r="J779" s="503"/>
      <c r="K779" s="503"/>
      <c r="L779" s="503"/>
      <c r="M779" s="503"/>
      <c r="N779" s="503"/>
      <c r="O779" s="503"/>
      <c r="P779" s="503"/>
      <c r="Q779" s="503"/>
    </row>
    <row r="780" spans="1:17" ht="15.75" customHeight="1">
      <c r="A780" s="503"/>
      <c r="B780" s="503"/>
      <c r="C780" s="503"/>
      <c r="D780" s="503"/>
      <c r="E780" s="503"/>
      <c r="F780" s="503"/>
      <c r="G780" s="503"/>
      <c r="H780" s="503"/>
      <c r="I780" s="503"/>
      <c r="J780" s="503"/>
      <c r="K780" s="503"/>
      <c r="L780" s="503"/>
      <c r="M780" s="503"/>
      <c r="N780" s="503"/>
      <c r="O780" s="503"/>
      <c r="P780" s="503"/>
      <c r="Q780" s="503"/>
    </row>
    <row r="781" spans="1:17" ht="15.75" customHeight="1">
      <c r="A781" s="503"/>
      <c r="B781" s="503"/>
      <c r="C781" s="503"/>
      <c r="D781" s="503"/>
      <c r="E781" s="503"/>
      <c r="F781" s="503"/>
      <c r="G781" s="503"/>
      <c r="H781" s="503"/>
      <c r="I781" s="503"/>
      <c r="J781" s="503"/>
      <c r="K781" s="503"/>
      <c r="L781" s="503"/>
      <c r="M781" s="503"/>
      <c r="N781" s="503"/>
      <c r="O781" s="503"/>
      <c r="P781" s="503"/>
      <c r="Q781" s="503"/>
    </row>
    <row r="782" spans="1:17" ht="15.75" customHeight="1">
      <c r="A782" s="503"/>
      <c r="B782" s="503"/>
      <c r="C782" s="503"/>
      <c r="D782" s="503"/>
      <c r="E782" s="503"/>
      <c r="F782" s="503"/>
      <c r="G782" s="503"/>
      <c r="H782" s="503"/>
      <c r="I782" s="503"/>
      <c r="J782" s="503"/>
      <c r="K782" s="503"/>
      <c r="L782" s="503"/>
      <c r="M782" s="503"/>
      <c r="N782" s="503"/>
      <c r="O782" s="503"/>
      <c r="P782" s="503"/>
      <c r="Q782" s="503"/>
    </row>
    <row r="783" spans="1:17" ht="15.75" customHeight="1">
      <c r="A783" s="503"/>
      <c r="B783" s="503"/>
      <c r="C783" s="503"/>
      <c r="D783" s="503"/>
      <c r="E783" s="503"/>
      <c r="F783" s="503"/>
      <c r="G783" s="503"/>
      <c r="H783" s="503"/>
      <c r="I783" s="503"/>
      <c r="J783" s="503"/>
      <c r="K783" s="503"/>
      <c r="L783" s="503"/>
      <c r="M783" s="503"/>
      <c r="N783" s="503"/>
      <c r="O783" s="503"/>
      <c r="P783" s="503"/>
      <c r="Q783" s="503"/>
    </row>
    <row r="784" spans="1:17" ht="15.75" customHeight="1">
      <c r="A784" s="503"/>
      <c r="B784" s="503"/>
      <c r="C784" s="503"/>
      <c r="D784" s="503"/>
      <c r="E784" s="503"/>
      <c r="F784" s="503"/>
      <c r="G784" s="503"/>
      <c r="H784" s="503"/>
      <c r="I784" s="503"/>
      <c r="J784" s="503"/>
      <c r="K784" s="503"/>
      <c r="L784" s="503"/>
      <c r="M784" s="503"/>
      <c r="N784" s="503"/>
      <c r="O784" s="503"/>
      <c r="P784" s="503"/>
      <c r="Q784" s="503"/>
    </row>
    <row r="785" spans="1:17" ht="15.75" customHeight="1">
      <c r="A785" s="503"/>
      <c r="B785" s="503"/>
      <c r="C785" s="503"/>
      <c r="D785" s="503"/>
      <c r="E785" s="503"/>
      <c r="F785" s="503"/>
      <c r="G785" s="503"/>
      <c r="H785" s="503"/>
      <c r="I785" s="503"/>
      <c r="J785" s="503"/>
      <c r="K785" s="503"/>
      <c r="L785" s="503"/>
      <c r="M785" s="503"/>
      <c r="N785" s="503"/>
      <c r="O785" s="503"/>
      <c r="P785" s="503"/>
      <c r="Q785" s="503"/>
    </row>
    <row r="786" spans="1:17" ht="15.75" customHeight="1">
      <c r="A786" s="503"/>
      <c r="B786" s="503"/>
      <c r="C786" s="503"/>
      <c r="D786" s="503"/>
      <c r="E786" s="503"/>
      <c r="F786" s="503"/>
      <c r="G786" s="503"/>
      <c r="H786" s="503"/>
      <c r="I786" s="503"/>
      <c r="J786" s="503"/>
      <c r="K786" s="503"/>
      <c r="L786" s="503"/>
      <c r="M786" s="503"/>
      <c r="N786" s="503"/>
      <c r="O786" s="503"/>
      <c r="P786" s="503"/>
      <c r="Q786" s="503"/>
    </row>
    <row r="787" spans="1:17" ht="15.75" customHeight="1">
      <c r="A787" s="503"/>
      <c r="B787" s="503"/>
      <c r="C787" s="503"/>
      <c r="D787" s="503"/>
      <c r="E787" s="503"/>
      <c r="F787" s="503"/>
      <c r="G787" s="503"/>
      <c r="H787" s="503"/>
      <c r="I787" s="503"/>
      <c r="J787" s="503"/>
      <c r="K787" s="503"/>
      <c r="L787" s="503"/>
      <c r="M787" s="503"/>
      <c r="N787" s="503"/>
      <c r="O787" s="503"/>
      <c r="P787" s="503"/>
      <c r="Q787" s="503"/>
    </row>
    <row r="788" spans="1:17" ht="15.75" customHeight="1">
      <c r="A788" s="503"/>
      <c r="B788" s="503"/>
      <c r="C788" s="503"/>
      <c r="D788" s="503"/>
      <c r="E788" s="503"/>
      <c r="F788" s="503"/>
      <c r="G788" s="503"/>
      <c r="H788" s="503"/>
      <c r="I788" s="503"/>
      <c r="J788" s="503"/>
      <c r="K788" s="503"/>
      <c r="L788" s="503"/>
      <c r="M788" s="503"/>
      <c r="N788" s="503"/>
      <c r="O788" s="503"/>
      <c r="P788" s="503"/>
      <c r="Q788" s="503"/>
    </row>
    <row r="789" spans="1:17" ht="15.75" customHeight="1">
      <c r="A789" s="503"/>
      <c r="B789" s="503"/>
      <c r="C789" s="503"/>
      <c r="D789" s="503"/>
      <c r="E789" s="503"/>
      <c r="F789" s="503"/>
      <c r="G789" s="503"/>
      <c r="H789" s="503"/>
      <c r="I789" s="503"/>
      <c r="J789" s="503"/>
      <c r="K789" s="503"/>
      <c r="L789" s="503"/>
      <c r="M789" s="503"/>
      <c r="N789" s="503"/>
      <c r="O789" s="503"/>
      <c r="P789" s="503"/>
      <c r="Q789" s="503"/>
    </row>
    <row r="790" spans="1:17" ht="15.75" customHeight="1">
      <c r="A790" s="503"/>
      <c r="B790" s="503"/>
      <c r="C790" s="503"/>
      <c r="D790" s="503"/>
      <c r="E790" s="503"/>
      <c r="F790" s="503"/>
      <c r="G790" s="503"/>
      <c r="H790" s="503"/>
      <c r="I790" s="503"/>
      <c r="J790" s="503"/>
      <c r="K790" s="503"/>
      <c r="L790" s="503"/>
      <c r="M790" s="503"/>
      <c r="N790" s="503"/>
      <c r="O790" s="503"/>
      <c r="P790" s="503"/>
      <c r="Q790" s="503"/>
    </row>
    <row r="791" spans="1:17" ht="15.75" customHeight="1">
      <c r="A791" s="503"/>
      <c r="B791" s="503"/>
      <c r="C791" s="503"/>
      <c r="D791" s="503"/>
      <c r="E791" s="503"/>
      <c r="F791" s="503"/>
      <c r="G791" s="503"/>
      <c r="H791" s="503"/>
      <c r="I791" s="503"/>
      <c r="J791" s="503"/>
      <c r="K791" s="503"/>
      <c r="L791" s="503"/>
      <c r="M791" s="503"/>
      <c r="N791" s="503"/>
      <c r="O791" s="503"/>
      <c r="P791" s="503"/>
      <c r="Q791" s="503"/>
    </row>
    <row r="792" spans="1:17" ht="15.75" customHeight="1">
      <c r="A792" s="503"/>
      <c r="B792" s="503"/>
      <c r="C792" s="503"/>
      <c r="D792" s="503"/>
      <c r="E792" s="503"/>
      <c r="F792" s="503"/>
      <c r="G792" s="503"/>
      <c r="H792" s="503"/>
      <c r="I792" s="503"/>
      <c r="J792" s="503"/>
      <c r="K792" s="503"/>
      <c r="L792" s="503"/>
      <c r="M792" s="503"/>
      <c r="N792" s="503"/>
      <c r="O792" s="503"/>
      <c r="P792" s="503"/>
      <c r="Q792" s="503"/>
    </row>
    <row r="793" spans="1:17" ht="15.75" customHeight="1">
      <c r="A793" s="503"/>
      <c r="B793" s="503"/>
      <c r="C793" s="503"/>
      <c r="D793" s="503"/>
      <c r="E793" s="503"/>
      <c r="F793" s="503"/>
      <c r="G793" s="503"/>
      <c r="H793" s="503"/>
      <c r="I793" s="503"/>
      <c r="J793" s="503"/>
      <c r="K793" s="503"/>
      <c r="L793" s="503"/>
      <c r="M793" s="503"/>
      <c r="N793" s="503"/>
      <c r="O793" s="503"/>
      <c r="P793" s="503"/>
      <c r="Q793" s="503"/>
    </row>
    <row r="794" spans="1:17" ht="15.75" customHeight="1">
      <c r="A794" s="503"/>
      <c r="B794" s="503"/>
      <c r="C794" s="503"/>
      <c r="D794" s="503"/>
      <c r="E794" s="503"/>
      <c r="F794" s="503"/>
      <c r="G794" s="503"/>
      <c r="H794" s="503"/>
      <c r="I794" s="503"/>
      <c r="J794" s="503"/>
      <c r="K794" s="503"/>
      <c r="L794" s="503"/>
      <c r="M794" s="503"/>
      <c r="N794" s="503"/>
      <c r="O794" s="503"/>
      <c r="P794" s="503"/>
      <c r="Q794" s="503"/>
    </row>
    <row r="795" spans="1:17" ht="15.75" customHeight="1">
      <c r="A795" s="503"/>
      <c r="B795" s="503"/>
      <c r="C795" s="503"/>
      <c r="D795" s="503"/>
      <c r="E795" s="503"/>
      <c r="F795" s="503"/>
      <c r="G795" s="503"/>
      <c r="H795" s="503"/>
      <c r="I795" s="503"/>
      <c r="J795" s="503"/>
      <c r="K795" s="503"/>
      <c r="L795" s="503"/>
      <c r="M795" s="503"/>
      <c r="N795" s="503"/>
      <c r="O795" s="503"/>
      <c r="P795" s="503"/>
      <c r="Q795" s="503"/>
    </row>
    <row r="796" spans="1:17" ht="15.75" customHeight="1">
      <c r="A796" s="503"/>
      <c r="B796" s="503"/>
      <c r="C796" s="503"/>
      <c r="D796" s="503"/>
      <c r="E796" s="503"/>
      <c r="F796" s="503"/>
      <c r="G796" s="503"/>
      <c r="H796" s="503"/>
      <c r="I796" s="503"/>
      <c r="J796" s="503"/>
      <c r="K796" s="503"/>
      <c r="L796" s="503"/>
      <c r="M796" s="503"/>
      <c r="N796" s="503"/>
      <c r="O796" s="503"/>
      <c r="P796" s="503"/>
      <c r="Q796" s="503"/>
    </row>
    <row r="797" spans="1:17" ht="15.75" customHeight="1">
      <c r="A797" s="503"/>
      <c r="B797" s="503"/>
      <c r="C797" s="503"/>
      <c r="D797" s="503"/>
      <c r="E797" s="503"/>
      <c r="F797" s="503"/>
      <c r="G797" s="503"/>
      <c r="H797" s="503"/>
      <c r="I797" s="503"/>
      <c r="J797" s="503"/>
      <c r="K797" s="503"/>
      <c r="L797" s="503"/>
      <c r="M797" s="503"/>
      <c r="N797" s="503"/>
      <c r="O797" s="503"/>
      <c r="P797" s="503"/>
      <c r="Q797" s="503"/>
    </row>
    <row r="798" spans="1:17" ht="15.75" customHeight="1">
      <c r="A798" s="503"/>
      <c r="B798" s="503"/>
      <c r="C798" s="503"/>
      <c r="D798" s="503"/>
      <c r="E798" s="503"/>
      <c r="F798" s="503"/>
      <c r="G798" s="503"/>
      <c r="H798" s="503"/>
      <c r="I798" s="503"/>
      <c r="J798" s="503"/>
      <c r="K798" s="503"/>
      <c r="L798" s="503"/>
      <c r="M798" s="503"/>
      <c r="N798" s="503"/>
      <c r="O798" s="503"/>
      <c r="P798" s="503"/>
      <c r="Q798" s="503"/>
    </row>
    <row r="799" spans="1:17" ht="15.75" customHeight="1">
      <c r="A799" s="503"/>
      <c r="B799" s="503"/>
      <c r="C799" s="503"/>
      <c r="D799" s="503"/>
      <c r="E799" s="503"/>
      <c r="F799" s="503"/>
      <c r="G799" s="503"/>
      <c r="H799" s="503"/>
      <c r="I799" s="503"/>
      <c r="J799" s="503"/>
      <c r="K799" s="503"/>
      <c r="L799" s="503"/>
      <c r="M799" s="503"/>
      <c r="N799" s="503"/>
      <c r="O799" s="503"/>
      <c r="P799" s="503"/>
      <c r="Q799" s="503"/>
    </row>
    <row r="800" spans="1:17" ht="15.75" customHeight="1">
      <c r="A800" s="503"/>
      <c r="B800" s="503"/>
      <c r="C800" s="503"/>
      <c r="D800" s="503"/>
      <c r="E800" s="503"/>
      <c r="F800" s="503"/>
      <c r="G800" s="503"/>
      <c r="H800" s="503"/>
      <c r="I800" s="503"/>
      <c r="J800" s="503"/>
      <c r="K800" s="503"/>
      <c r="L800" s="503"/>
      <c r="M800" s="503"/>
      <c r="N800" s="503"/>
      <c r="O800" s="503"/>
      <c r="P800" s="503"/>
      <c r="Q800" s="503"/>
    </row>
    <row r="801" spans="1:17" ht="15.75" customHeight="1">
      <c r="A801" s="503"/>
      <c r="B801" s="503"/>
      <c r="C801" s="503"/>
      <c r="D801" s="503"/>
      <c r="E801" s="503"/>
      <c r="F801" s="503"/>
      <c r="G801" s="503"/>
      <c r="H801" s="503"/>
      <c r="I801" s="503"/>
      <c r="J801" s="503"/>
      <c r="K801" s="503"/>
      <c r="L801" s="503"/>
      <c r="M801" s="503"/>
      <c r="N801" s="503"/>
      <c r="O801" s="503"/>
      <c r="P801" s="503"/>
      <c r="Q801" s="503"/>
    </row>
    <row r="802" spans="1:17" ht="15.75" customHeight="1">
      <c r="A802" s="503"/>
      <c r="B802" s="503"/>
      <c r="C802" s="503"/>
      <c r="D802" s="503"/>
      <c r="E802" s="503"/>
      <c r="F802" s="503"/>
      <c r="G802" s="503"/>
      <c r="H802" s="503"/>
      <c r="I802" s="503"/>
      <c r="J802" s="503"/>
      <c r="K802" s="503"/>
      <c r="L802" s="503"/>
      <c r="M802" s="503"/>
      <c r="N802" s="503"/>
      <c r="O802" s="503"/>
      <c r="P802" s="503"/>
      <c r="Q802" s="503"/>
    </row>
    <row r="803" spans="1:17" ht="15.75" customHeight="1">
      <c r="A803" s="503"/>
      <c r="B803" s="503"/>
      <c r="C803" s="503"/>
      <c r="D803" s="503"/>
      <c r="E803" s="503"/>
      <c r="F803" s="503"/>
      <c r="G803" s="503"/>
      <c r="H803" s="503"/>
      <c r="I803" s="503"/>
      <c r="J803" s="503"/>
      <c r="K803" s="503"/>
      <c r="L803" s="503"/>
      <c r="M803" s="503"/>
      <c r="N803" s="503"/>
      <c r="O803" s="503"/>
      <c r="P803" s="503"/>
      <c r="Q803" s="503"/>
    </row>
    <row r="804" spans="1:17" ht="15.75" customHeight="1">
      <c r="A804" s="503"/>
      <c r="B804" s="503"/>
      <c r="C804" s="503"/>
      <c r="D804" s="503"/>
      <c r="E804" s="503"/>
      <c r="F804" s="503"/>
      <c r="G804" s="503"/>
      <c r="H804" s="503"/>
      <c r="I804" s="503"/>
      <c r="J804" s="503"/>
      <c r="K804" s="503"/>
      <c r="L804" s="503"/>
      <c r="M804" s="503"/>
      <c r="N804" s="503"/>
      <c r="O804" s="503"/>
      <c r="P804" s="503"/>
      <c r="Q804" s="503"/>
    </row>
    <row r="805" spans="1:17" ht="15.75" customHeight="1">
      <c r="A805" s="503"/>
      <c r="B805" s="503"/>
      <c r="C805" s="503"/>
      <c r="D805" s="503"/>
      <c r="E805" s="503"/>
      <c r="F805" s="503"/>
      <c r="G805" s="503"/>
      <c r="H805" s="503"/>
      <c r="I805" s="503"/>
      <c r="J805" s="503"/>
      <c r="K805" s="503"/>
      <c r="L805" s="503"/>
      <c r="M805" s="503"/>
      <c r="N805" s="503"/>
      <c r="O805" s="503"/>
      <c r="P805" s="503"/>
      <c r="Q805" s="503"/>
    </row>
    <row r="806" spans="1:17" ht="15.75" customHeight="1">
      <c r="A806" s="503"/>
      <c r="B806" s="503"/>
      <c r="C806" s="503"/>
      <c r="D806" s="503"/>
      <c r="E806" s="503"/>
      <c r="F806" s="503"/>
      <c r="G806" s="503"/>
      <c r="H806" s="503"/>
      <c r="I806" s="503"/>
      <c r="J806" s="503"/>
      <c r="K806" s="503"/>
      <c r="L806" s="503"/>
      <c r="M806" s="503"/>
      <c r="N806" s="503"/>
      <c r="O806" s="503"/>
      <c r="P806" s="503"/>
      <c r="Q806" s="503"/>
    </row>
    <row r="807" spans="1:17" ht="15.75" customHeight="1">
      <c r="A807" s="503"/>
      <c r="B807" s="503"/>
      <c r="C807" s="503"/>
      <c r="D807" s="503"/>
      <c r="E807" s="503"/>
      <c r="F807" s="503"/>
      <c r="G807" s="503"/>
      <c r="H807" s="503"/>
      <c r="I807" s="503"/>
      <c r="J807" s="503"/>
      <c r="K807" s="503"/>
      <c r="L807" s="503"/>
      <c r="M807" s="503"/>
      <c r="N807" s="503"/>
      <c r="O807" s="503"/>
      <c r="P807" s="503"/>
      <c r="Q807" s="503"/>
    </row>
    <row r="808" spans="1:17" ht="15.75" customHeight="1">
      <c r="A808" s="503"/>
      <c r="B808" s="503"/>
      <c r="C808" s="503"/>
      <c r="D808" s="503"/>
      <c r="E808" s="503"/>
      <c r="F808" s="503"/>
      <c r="G808" s="503"/>
      <c r="H808" s="503"/>
      <c r="I808" s="503"/>
      <c r="J808" s="503"/>
      <c r="K808" s="503"/>
      <c r="L808" s="503"/>
      <c r="M808" s="503"/>
      <c r="N808" s="503"/>
      <c r="O808" s="503"/>
      <c r="P808" s="503"/>
      <c r="Q808" s="503"/>
    </row>
    <row r="809" spans="1:17" ht="15.75" customHeight="1">
      <c r="A809" s="503"/>
      <c r="B809" s="503"/>
      <c r="C809" s="503"/>
      <c r="D809" s="503"/>
      <c r="E809" s="503"/>
      <c r="F809" s="503"/>
      <c r="G809" s="503"/>
      <c r="H809" s="503"/>
      <c r="I809" s="503"/>
      <c r="J809" s="503"/>
      <c r="K809" s="503"/>
      <c r="L809" s="503"/>
      <c r="M809" s="503"/>
      <c r="N809" s="503"/>
      <c r="O809" s="503"/>
      <c r="P809" s="503"/>
      <c r="Q809" s="503"/>
    </row>
    <row r="810" spans="1:17" ht="15.75" customHeight="1">
      <c r="A810" s="503"/>
      <c r="B810" s="503"/>
      <c r="C810" s="503"/>
      <c r="D810" s="503"/>
      <c r="E810" s="503"/>
      <c r="F810" s="503"/>
      <c r="G810" s="503"/>
      <c r="H810" s="503"/>
      <c r="I810" s="503"/>
      <c r="J810" s="503"/>
      <c r="K810" s="503"/>
      <c r="L810" s="503"/>
      <c r="M810" s="503"/>
      <c r="N810" s="503"/>
      <c r="O810" s="503"/>
      <c r="P810" s="503"/>
      <c r="Q810" s="503"/>
    </row>
    <row r="811" spans="1:17" ht="15.75" customHeight="1">
      <c r="A811" s="503"/>
      <c r="B811" s="503"/>
      <c r="C811" s="503"/>
      <c r="D811" s="503"/>
      <c r="E811" s="503"/>
      <c r="F811" s="503"/>
      <c r="G811" s="503"/>
      <c r="H811" s="503"/>
      <c r="I811" s="503"/>
      <c r="J811" s="503"/>
      <c r="K811" s="503"/>
      <c r="L811" s="503"/>
      <c r="M811" s="503"/>
      <c r="N811" s="503"/>
      <c r="O811" s="503"/>
      <c r="P811" s="503"/>
      <c r="Q811" s="503"/>
    </row>
    <row r="812" spans="1:17" ht="15.75" customHeight="1">
      <c r="A812" s="503"/>
      <c r="B812" s="503"/>
      <c r="C812" s="503"/>
      <c r="D812" s="503"/>
      <c r="E812" s="503"/>
      <c r="F812" s="503"/>
      <c r="G812" s="503"/>
      <c r="H812" s="503"/>
      <c r="I812" s="503"/>
      <c r="J812" s="503"/>
      <c r="K812" s="503"/>
      <c r="L812" s="503"/>
      <c r="M812" s="503"/>
      <c r="N812" s="503"/>
      <c r="O812" s="503"/>
      <c r="P812" s="503"/>
      <c r="Q812" s="503"/>
    </row>
    <row r="813" spans="1:17" ht="15.75" customHeight="1">
      <c r="A813" s="503"/>
      <c r="B813" s="503"/>
      <c r="C813" s="503"/>
      <c r="D813" s="503"/>
      <c r="E813" s="503"/>
      <c r="F813" s="503"/>
      <c r="G813" s="503"/>
      <c r="H813" s="503"/>
      <c r="I813" s="503"/>
      <c r="J813" s="503"/>
      <c r="K813" s="503"/>
      <c r="L813" s="503"/>
      <c r="M813" s="503"/>
      <c r="N813" s="503"/>
      <c r="O813" s="503"/>
      <c r="P813" s="503"/>
      <c r="Q813" s="503"/>
    </row>
    <row r="814" spans="1:17" ht="15.75" customHeight="1">
      <c r="A814" s="503"/>
      <c r="B814" s="503"/>
      <c r="C814" s="503"/>
      <c r="D814" s="503"/>
      <c r="E814" s="503"/>
      <c r="F814" s="503"/>
      <c r="G814" s="503"/>
      <c r="H814" s="503"/>
      <c r="I814" s="503"/>
      <c r="J814" s="503"/>
      <c r="K814" s="503"/>
      <c r="L814" s="503"/>
      <c r="M814" s="503"/>
      <c r="N814" s="503"/>
      <c r="O814" s="503"/>
      <c r="P814" s="503"/>
      <c r="Q814" s="503"/>
    </row>
    <row r="815" spans="1:17" ht="15.75" customHeight="1">
      <c r="A815" s="503"/>
      <c r="B815" s="503"/>
      <c r="C815" s="503"/>
      <c r="D815" s="503"/>
      <c r="E815" s="503"/>
      <c r="F815" s="503"/>
      <c r="G815" s="503"/>
      <c r="H815" s="503"/>
      <c r="I815" s="503"/>
      <c r="J815" s="503"/>
      <c r="K815" s="503"/>
      <c r="L815" s="503"/>
      <c r="M815" s="503"/>
      <c r="N815" s="503"/>
      <c r="O815" s="503"/>
      <c r="P815" s="503"/>
      <c r="Q815" s="503"/>
    </row>
    <row r="816" spans="1:17" ht="15.75" customHeight="1">
      <c r="A816" s="503"/>
      <c r="B816" s="503"/>
      <c r="C816" s="503"/>
      <c r="D816" s="503"/>
      <c r="E816" s="503"/>
      <c r="F816" s="503"/>
      <c r="G816" s="503"/>
      <c r="H816" s="503"/>
      <c r="I816" s="503"/>
      <c r="J816" s="503"/>
      <c r="K816" s="503"/>
      <c r="L816" s="503"/>
      <c r="M816" s="503"/>
      <c r="N816" s="503"/>
      <c r="O816" s="503"/>
      <c r="P816" s="503"/>
      <c r="Q816" s="503"/>
    </row>
    <row r="817" spans="1:17" ht="15.75" customHeight="1">
      <c r="A817" s="503"/>
      <c r="B817" s="503"/>
      <c r="C817" s="503"/>
      <c r="D817" s="503"/>
      <c r="E817" s="503"/>
      <c r="F817" s="503"/>
      <c r="G817" s="503"/>
      <c r="H817" s="503"/>
      <c r="I817" s="503"/>
      <c r="J817" s="503"/>
      <c r="K817" s="503"/>
      <c r="L817" s="503"/>
      <c r="M817" s="503"/>
      <c r="N817" s="503"/>
      <c r="O817" s="503"/>
      <c r="P817" s="503"/>
      <c r="Q817" s="503"/>
    </row>
    <row r="818" spans="1:17" ht="15.75" customHeight="1">
      <c r="A818" s="503"/>
      <c r="B818" s="503"/>
      <c r="C818" s="503"/>
      <c r="D818" s="503"/>
      <c r="E818" s="503"/>
      <c r="F818" s="503"/>
      <c r="G818" s="503"/>
      <c r="H818" s="503"/>
      <c r="I818" s="503"/>
      <c r="J818" s="503"/>
      <c r="K818" s="503"/>
      <c r="L818" s="503"/>
      <c r="M818" s="503"/>
      <c r="N818" s="503"/>
      <c r="O818" s="503"/>
      <c r="P818" s="503"/>
      <c r="Q818" s="503"/>
    </row>
    <row r="819" spans="1:17" ht="15.75" customHeight="1">
      <c r="A819" s="503"/>
      <c r="B819" s="503"/>
      <c r="C819" s="503"/>
      <c r="D819" s="503"/>
      <c r="E819" s="503"/>
      <c r="F819" s="503"/>
      <c r="G819" s="503"/>
      <c r="H819" s="503"/>
      <c r="I819" s="503"/>
      <c r="J819" s="503"/>
      <c r="K819" s="503"/>
      <c r="L819" s="503"/>
      <c r="M819" s="503"/>
      <c r="N819" s="503"/>
      <c r="O819" s="503"/>
      <c r="P819" s="503"/>
      <c r="Q819" s="503"/>
    </row>
    <row r="820" spans="1:17" ht="15.75" customHeight="1">
      <c r="A820" s="503"/>
      <c r="B820" s="503"/>
      <c r="C820" s="503"/>
      <c r="D820" s="503"/>
      <c r="E820" s="503"/>
      <c r="F820" s="503"/>
      <c r="G820" s="503"/>
      <c r="H820" s="503"/>
      <c r="I820" s="503"/>
      <c r="J820" s="503"/>
      <c r="K820" s="503"/>
      <c r="L820" s="503"/>
      <c r="M820" s="503"/>
      <c r="N820" s="503"/>
      <c r="O820" s="503"/>
      <c r="P820" s="503"/>
      <c r="Q820" s="503"/>
    </row>
    <row r="821" spans="1:17" ht="15.75" customHeight="1">
      <c r="A821" s="503"/>
      <c r="B821" s="503"/>
      <c r="C821" s="503"/>
      <c r="D821" s="503"/>
      <c r="E821" s="503"/>
      <c r="F821" s="503"/>
      <c r="G821" s="503"/>
      <c r="H821" s="503"/>
      <c r="I821" s="503"/>
      <c r="J821" s="503"/>
      <c r="K821" s="503"/>
      <c r="L821" s="503"/>
      <c r="M821" s="503"/>
      <c r="N821" s="503"/>
      <c r="O821" s="503"/>
      <c r="P821" s="503"/>
      <c r="Q821" s="503"/>
    </row>
    <row r="822" spans="1:17" ht="15.75" customHeight="1">
      <c r="A822" s="503"/>
      <c r="B822" s="503"/>
      <c r="C822" s="503"/>
      <c r="D822" s="503"/>
      <c r="E822" s="503"/>
      <c r="F822" s="503"/>
      <c r="G822" s="503"/>
      <c r="H822" s="503"/>
      <c r="I822" s="503"/>
      <c r="J822" s="503"/>
      <c r="K822" s="503"/>
      <c r="L822" s="503"/>
      <c r="M822" s="503"/>
      <c r="N822" s="503"/>
      <c r="O822" s="503"/>
      <c r="P822" s="503"/>
      <c r="Q822" s="503"/>
    </row>
    <row r="823" spans="1:17" ht="15.75" customHeight="1">
      <c r="A823" s="503"/>
      <c r="B823" s="503"/>
      <c r="C823" s="503"/>
      <c r="D823" s="503"/>
      <c r="E823" s="503"/>
      <c r="F823" s="503"/>
      <c r="G823" s="503"/>
      <c r="H823" s="503"/>
      <c r="I823" s="503"/>
      <c r="J823" s="503"/>
      <c r="K823" s="503"/>
      <c r="L823" s="503"/>
      <c r="M823" s="503"/>
      <c r="N823" s="503"/>
      <c r="O823" s="503"/>
      <c r="P823" s="503"/>
      <c r="Q823" s="503"/>
    </row>
    <row r="824" spans="1:17" ht="15.75" customHeight="1">
      <c r="A824" s="503"/>
      <c r="B824" s="503"/>
      <c r="C824" s="503"/>
      <c r="D824" s="503"/>
      <c r="E824" s="503"/>
      <c r="F824" s="503"/>
      <c r="G824" s="503"/>
      <c r="H824" s="503"/>
      <c r="I824" s="503"/>
      <c r="J824" s="503"/>
      <c r="K824" s="503"/>
      <c r="L824" s="503"/>
      <c r="M824" s="503"/>
      <c r="N824" s="503"/>
      <c r="O824" s="503"/>
      <c r="P824" s="503"/>
      <c r="Q824" s="503"/>
    </row>
    <row r="825" spans="1:17" ht="15.75" customHeight="1">
      <c r="A825" s="503"/>
      <c r="B825" s="503"/>
      <c r="C825" s="503"/>
      <c r="D825" s="503"/>
      <c r="E825" s="503"/>
      <c r="F825" s="503"/>
      <c r="G825" s="503"/>
      <c r="H825" s="503"/>
      <c r="I825" s="503"/>
      <c r="J825" s="503"/>
      <c r="K825" s="503"/>
      <c r="L825" s="503"/>
      <c r="M825" s="503"/>
      <c r="N825" s="503"/>
      <c r="O825" s="503"/>
      <c r="P825" s="503"/>
      <c r="Q825" s="503"/>
    </row>
    <row r="826" spans="1:17" ht="15.75" customHeight="1">
      <c r="A826" s="503"/>
      <c r="B826" s="503"/>
      <c r="C826" s="503"/>
      <c r="D826" s="503"/>
      <c r="E826" s="503"/>
      <c r="F826" s="503"/>
      <c r="G826" s="503"/>
      <c r="H826" s="503"/>
      <c r="I826" s="503"/>
      <c r="J826" s="503"/>
      <c r="K826" s="503"/>
      <c r="L826" s="503"/>
      <c r="M826" s="503"/>
      <c r="N826" s="503"/>
      <c r="O826" s="503"/>
      <c r="P826" s="503"/>
      <c r="Q826" s="503"/>
    </row>
    <row r="827" spans="1:17" ht="15.75" customHeight="1">
      <c r="A827" s="503"/>
      <c r="B827" s="503"/>
      <c r="C827" s="503"/>
      <c r="D827" s="503"/>
      <c r="E827" s="503"/>
      <c r="F827" s="503"/>
      <c r="G827" s="503"/>
      <c r="H827" s="503"/>
      <c r="I827" s="503"/>
      <c r="J827" s="503"/>
      <c r="K827" s="503"/>
      <c r="L827" s="503"/>
      <c r="M827" s="503"/>
      <c r="N827" s="503"/>
      <c r="O827" s="503"/>
      <c r="P827" s="503"/>
      <c r="Q827" s="503"/>
    </row>
    <row r="828" spans="1:17" ht="15.75" customHeight="1">
      <c r="A828" s="503"/>
      <c r="B828" s="503"/>
      <c r="C828" s="503"/>
      <c r="D828" s="503"/>
      <c r="E828" s="503"/>
      <c r="F828" s="503"/>
      <c r="G828" s="503"/>
      <c r="H828" s="503"/>
      <c r="I828" s="503"/>
      <c r="J828" s="503"/>
      <c r="K828" s="503"/>
      <c r="L828" s="503"/>
      <c r="M828" s="503"/>
      <c r="N828" s="503"/>
      <c r="O828" s="503"/>
      <c r="P828" s="503"/>
      <c r="Q828" s="503"/>
    </row>
    <row r="829" spans="1:17" ht="15.75" customHeight="1">
      <c r="A829" s="503"/>
      <c r="B829" s="503"/>
      <c r="C829" s="503"/>
      <c r="D829" s="503"/>
      <c r="E829" s="503"/>
      <c r="F829" s="503"/>
      <c r="G829" s="503"/>
      <c r="H829" s="503"/>
      <c r="I829" s="503"/>
      <c r="J829" s="503"/>
      <c r="K829" s="503"/>
      <c r="L829" s="503"/>
      <c r="M829" s="503"/>
      <c r="N829" s="503"/>
      <c r="O829" s="503"/>
      <c r="P829" s="503"/>
      <c r="Q829" s="503"/>
    </row>
    <row r="830" spans="1:17" ht="15.75" customHeight="1">
      <c r="A830" s="503"/>
      <c r="B830" s="503"/>
      <c r="C830" s="503"/>
      <c r="D830" s="503"/>
      <c r="E830" s="503"/>
      <c r="F830" s="503"/>
      <c r="G830" s="503"/>
      <c r="H830" s="503"/>
      <c r="I830" s="503"/>
      <c r="J830" s="503"/>
      <c r="K830" s="503"/>
      <c r="L830" s="503"/>
      <c r="M830" s="503"/>
      <c r="N830" s="503"/>
      <c r="O830" s="503"/>
      <c r="P830" s="503"/>
      <c r="Q830" s="503"/>
    </row>
    <row r="831" spans="1:17" ht="15.75" customHeight="1">
      <c r="A831" s="503"/>
      <c r="B831" s="503"/>
      <c r="C831" s="503"/>
      <c r="D831" s="503"/>
      <c r="E831" s="503"/>
      <c r="F831" s="503"/>
      <c r="G831" s="503"/>
      <c r="H831" s="503"/>
      <c r="I831" s="503"/>
      <c r="J831" s="503"/>
      <c r="K831" s="503"/>
      <c r="L831" s="503"/>
      <c r="M831" s="503"/>
      <c r="N831" s="503"/>
      <c r="O831" s="503"/>
      <c r="P831" s="503"/>
      <c r="Q831" s="503"/>
    </row>
    <row r="832" spans="1:17" ht="15.75" customHeight="1">
      <c r="A832" s="503"/>
      <c r="B832" s="503"/>
      <c r="C832" s="503"/>
      <c r="D832" s="503"/>
      <c r="E832" s="503"/>
      <c r="F832" s="503"/>
      <c r="G832" s="503"/>
      <c r="H832" s="503"/>
      <c r="I832" s="503"/>
      <c r="J832" s="503"/>
      <c r="K832" s="503"/>
      <c r="L832" s="503"/>
      <c r="M832" s="503"/>
      <c r="N832" s="503"/>
      <c r="O832" s="503"/>
      <c r="P832" s="503"/>
      <c r="Q832" s="503"/>
    </row>
    <row r="833" spans="1:17" ht="15.75" customHeight="1">
      <c r="A833" s="503"/>
      <c r="B833" s="503"/>
      <c r="C833" s="503"/>
      <c r="D833" s="503"/>
      <c r="E833" s="503"/>
      <c r="F833" s="503"/>
      <c r="G833" s="503"/>
      <c r="H833" s="503"/>
      <c r="I833" s="503"/>
      <c r="J833" s="503"/>
      <c r="K833" s="503"/>
      <c r="L833" s="503"/>
      <c r="M833" s="503"/>
      <c r="N833" s="503"/>
      <c r="O833" s="503"/>
      <c r="P833" s="503"/>
      <c r="Q833" s="503"/>
    </row>
    <row r="834" spans="1:17" ht="15.75" customHeight="1">
      <c r="A834" s="503"/>
      <c r="B834" s="503"/>
      <c r="C834" s="503"/>
      <c r="D834" s="503"/>
      <c r="E834" s="503"/>
      <c r="F834" s="503"/>
      <c r="G834" s="503"/>
      <c r="H834" s="503"/>
      <c r="I834" s="503"/>
      <c r="J834" s="503"/>
      <c r="K834" s="503"/>
      <c r="L834" s="503"/>
      <c r="M834" s="503"/>
      <c r="N834" s="503"/>
      <c r="O834" s="503"/>
      <c r="P834" s="503"/>
      <c r="Q834" s="503"/>
    </row>
    <row r="835" spans="1:17" ht="15.75" customHeight="1">
      <c r="A835" s="503"/>
      <c r="B835" s="503"/>
      <c r="C835" s="503"/>
      <c r="D835" s="503"/>
      <c r="E835" s="503"/>
      <c r="F835" s="503"/>
      <c r="G835" s="503"/>
      <c r="H835" s="503"/>
      <c r="I835" s="503"/>
      <c r="J835" s="503"/>
      <c r="K835" s="503"/>
      <c r="L835" s="503"/>
      <c r="M835" s="503"/>
      <c r="N835" s="503"/>
      <c r="O835" s="503"/>
      <c r="P835" s="503"/>
      <c r="Q835" s="503"/>
    </row>
    <row r="836" spans="1:17" ht="15.75" customHeight="1">
      <c r="A836" s="503"/>
      <c r="B836" s="503"/>
      <c r="C836" s="503"/>
      <c r="D836" s="503"/>
      <c r="E836" s="503"/>
      <c r="F836" s="503"/>
      <c r="G836" s="503"/>
      <c r="H836" s="503"/>
      <c r="I836" s="503"/>
      <c r="J836" s="503"/>
      <c r="K836" s="503"/>
      <c r="L836" s="503"/>
      <c r="M836" s="503"/>
      <c r="N836" s="503"/>
      <c r="O836" s="503"/>
      <c r="P836" s="503"/>
      <c r="Q836" s="503"/>
    </row>
    <row r="837" spans="1:17" ht="15.75" customHeight="1">
      <c r="A837" s="503"/>
      <c r="B837" s="503"/>
      <c r="C837" s="503"/>
      <c r="D837" s="503"/>
      <c r="E837" s="503"/>
      <c r="F837" s="503"/>
      <c r="G837" s="503"/>
      <c r="H837" s="503"/>
      <c r="I837" s="503"/>
      <c r="J837" s="503"/>
      <c r="K837" s="503"/>
      <c r="L837" s="503"/>
      <c r="M837" s="503"/>
      <c r="N837" s="503"/>
      <c r="O837" s="503"/>
      <c r="P837" s="503"/>
      <c r="Q837" s="503"/>
    </row>
    <row r="838" spans="1:17" ht="15.75" customHeight="1">
      <c r="A838" s="503"/>
      <c r="B838" s="503"/>
      <c r="C838" s="503"/>
      <c r="D838" s="503"/>
      <c r="E838" s="503"/>
      <c r="F838" s="503"/>
      <c r="G838" s="503"/>
      <c r="H838" s="503"/>
      <c r="I838" s="503"/>
      <c r="J838" s="503"/>
      <c r="K838" s="503"/>
      <c r="L838" s="503"/>
      <c r="M838" s="503"/>
      <c r="N838" s="503"/>
      <c r="O838" s="503"/>
      <c r="P838" s="503"/>
      <c r="Q838" s="503"/>
    </row>
    <row r="839" spans="1:17" ht="15.75" customHeight="1">
      <c r="A839" s="503"/>
      <c r="B839" s="503"/>
      <c r="C839" s="503"/>
      <c r="D839" s="503"/>
      <c r="E839" s="503"/>
      <c r="F839" s="503"/>
      <c r="G839" s="503"/>
      <c r="H839" s="503"/>
      <c r="I839" s="503"/>
      <c r="J839" s="503"/>
      <c r="K839" s="503"/>
      <c r="L839" s="503"/>
      <c r="M839" s="503"/>
      <c r="N839" s="503"/>
      <c r="O839" s="503"/>
      <c r="P839" s="503"/>
      <c r="Q839" s="503"/>
    </row>
    <row r="840" spans="1:17" ht="15.75" customHeight="1">
      <c r="A840" s="503"/>
      <c r="B840" s="503"/>
      <c r="C840" s="503"/>
      <c r="D840" s="503"/>
      <c r="E840" s="503"/>
      <c r="F840" s="503"/>
      <c r="G840" s="503"/>
      <c r="H840" s="503"/>
      <c r="I840" s="503"/>
      <c r="J840" s="503"/>
      <c r="K840" s="503"/>
      <c r="L840" s="503"/>
      <c r="M840" s="503"/>
      <c r="N840" s="503"/>
      <c r="O840" s="503"/>
      <c r="P840" s="503"/>
      <c r="Q840" s="503"/>
    </row>
    <row r="841" spans="1:17" ht="15.75" customHeight="1">
      <c r="A841" s="503"/>
      <c r="B841" s="503"/>
      <c r="C841" s="503"/>
      <c r="D841" s="503"/>
      <c r="E841" s="503"/>
      <c r="F841" s="503"/>
      <c r="G841" s="503"/>
      <c r="H841" s="503"/>
      <c r="I841" s="503"/>
      <c r="J841" s="503"/>
      <c r="K841" s="503"/>
      <c r="L841" s="503"/>
      <c r="M841" s="503"/>
      <c r="N841" s="503"/>
      <c r="O841" s="503"/>
      <c r="P841" s="503"/>
      <c r="Q841" s="503"/>
    </row>
    <row r="842" spans="1:17" ht="15.75" customHeight="1">
      <c r="A842" s="503"/>
      <c r="B842" s="503"/>
      <c r="C842" s="503"/>
      <c r="D842" s="503"/>
      <c r="E842" s="503"/>
      <c r="F842" s="503"/>
      <c r="G842" s="503"/>
      <c r="H842" s="503"/>
      <c r="I842" s="503"/>
      <c r="J842" s="503"/>
      <c r="K842" s="503"/>
      <c r="L842" s="503"/>
      <c r="M842" s="503"/>
      <c r="N842" s="503"/>
      <c r="O842" s="503"/>
      <c r="P842" s="503"/>
      <c r="Q842" s="503"/>
    </row>
    <row r="843" spans="1:17" ht="15.75" customHeight="1">
      <c r="A843" s="503"/>
      <c r="B843" s="503"/>
      <c r="C843" s="503"/>
      <c r="D843" s="503"/>
      <c r="E843" s="503"/>
      <c r="F843" s="503"/>
      <c r="G843" s="503"/>
      <c r="H843" s="503"/>
      <c r="I843" s="503"/>
      <c r="J843" s="503"/>
      <c r="K843" s="503"/>
      <c r="L843" s="503"/>
      <c r="M843" s="503"/>
      <c r="N843" s="503"/>
      <c r="O843" s="503"/>
      <c r="P843" s="503"/>
      <c r="Q843" s="503"/>
    </row>
    <row r="844" spans="1:17" ht="15.75" customHeight="1">
      <c r="A844" s="503"/>
      <c r="B844" s="503"/>
      <c r="C844" s="503"/>
      <c r="D844" s="503"/>
      <c r="E844" s="503"/>
      <c r="F844" s="503"/>
      <c r="G844" s="503"/>
      <c r="H844" s="503"/>
      <c r="I844" s="503"/>
      <c r="J844" s="503"/>
      <c r="K844" s="503"/>
      <c r="L844" s="503"/>
      <c r="M844" s="503"/>
      <c r="N844" s="503"/>
      <c r="O844" s="503"/>
      <c r="P844" s="503"/>
      <c r="Q844" s="503"/>
    </row>
    <row r="845" spans="1:17" ht="15.75" customHeight="1">
      <c r="A845" s="503"/>
      <c r="B845" s="503"/>
      <c r="C845" s="503"/>
      <c r="D845" s="503"/>
      <c r="E845" s="503"/>
      <c r="F845" s="503"/>
      <c r="G845" s="503"/>
      <c r="H845" s="503"/>
      <c r="I845" s="503"/>
      <c r="J845" s="503"/>
      <c r="K845" s="503"/>
      <c r="L845" s="503"/>
      <c r="M845" s="503"/>
      <c r="N845" s="503"/>
      <c r="O845" s="503"/>
      <c r="P845" s="503"/>
      <c r="Q845" s="503"/>
    </row>
    <row r="846" spans="1:17" ht="15.75" customHeight="1">
      <c r="A846" s="503"/>
      <c r="B846" s="503"/>
      <c r="C846" s="503"/>
      <c r="D846" s="503"/>
      <c r="E846" s="503"/>
      <c r="F846" s="503"/>
      <c r="G846" s="503"/>
      <c r="H846" s="503"/>
      <c r="I846" s="503"/>
      <c r="J846" s="503"/>
      <c r="K846" s="503"/>
      <c r="L846" s="503"/>
      <c r="M846" s="503"/>
      <c r="N846" s="503"/>
      <c r="O846" s="503"/>
      <c r="P846" s="503"/>
      <c r="Q846" s="503"/>
    </row>
    <row r="847" spans="1:17" ht="15.75" customHeight="1">
      <c r="A847" s="503"/>
      <c r="B847" s="503"/>
      <c r="C847" s="503"/>
      <c r="D847" s="503"/>
      <c r="E847" s="503"/>
      <c r="F847" s="503"/>
      <c r="G847" s="503"/>
      <c r="H847" s="503"/>
      <c r="I847" s="503"/>
      <c r="J847" s="503"/>
      <c r="K847" s="503"/>
      <c r="L847" s="503"/>
      <c r="M847" s="503"/>
      <c r="N847" s="503"/>
      <c r="O847" s="503"/>
      <c r="P847" s="503"/>
      <c r="Q847" s="503"/>
    </row>
    <row r="848" spans="1:17" ht="15.75" customHeight="1">
      <c r="A848" s="503"/>
      <c r="B848" s="503"/>
      <c r="C848" s="503"/>
      <c r="D848" s="503"/>
      <c r="E848" s="503"/>
      <c r="F848" s="503"/>
      <c r="G848" s="503"/>
      <c r="H848" s="503"/>
      <c r="I848" s="503"/>
      <c r="J848" s="503"/>
      <c r="K848" s="503"/>
      <c r="L848" s="503"/>
      <c r="M848" s="503"/>
      <c r="N848" s="503"/>
      <c r="O848" s="503"/>
      <c r="P848" s="503"/>
      <c r="Q848" s="503"/>
    </row>
    <row r="849" spans="1:17" ht="15.75" customHeight="1">
      <c r="A849" s="503"/>
      <c r="B849" s="503"/>
      <c r="C849" s="503"/>
      <c r="D849" s="503"/>
      <c r="E849" s="503"/>
      <c r="F849" s="503"/>
      <c r="G849" s="503"/>
      <c r="H849" s="503"/>
      <c r="I849" s="503"/>
      <c r="J849" s="503"/>
      <c r="K849" s="503"/>
      <c r="L849" s="503"/>
      <c r="M849" s="503"/>
      <c r="N849" s="503"/>
      <c r="O849" s="503"/>
      <c r="P849" s="503"/>
      <c r="Q849" s="503"/>
    </row>
    <row r="850" spans="1:17" ht="15.75" customHeight="1">
      <c r="A850" s="503"/>
      <c r="B850" s="503"/>
      <c r="C850" s="503"/>
      <c r="D850" s="503"/>
      <c r="E850" s="503"/>
      <c r="F850" s="503"/>
      <c r="G850" s="503"/>
      <c r="H850" s="503"/>
      <c r="I850" s="503"/>
      <c r="J850" s="503"/>
      <c r="K850" s="503"/>
      <c r="L850" s="503"/>
      <c r="M850" s="503"/>
      <c r="N850" s="503"/>
      <c r="O850" s="503"/>
      <c r="P850" s="503"/>
      <c r="Q850" s="503"/>
    </row>
    <row r="851" spans="1:17" ht="15.75" customHeight="1">
      <c r="A851" s="503"/>
      <c r="B851" s="503"/>
      <c r="C851" s="503"/>
      <c r="D851" s="503"/>
      <c r="E851" s="503"/>
      <c r="F851" s="503"/>
      <c r="G851" s="503"/>
      <c r="H851" s="503"/>
      <c r="I851" s="503"/>
      <c r="J851" s="503"/>
      <c r="K851" s="503"/>
      <c r="L851" s="503"/>
      <c r="M851" s="503"/>
      <c r="N851" s="503"/>
      <c r="O851" s="503"/>
      <c r="P851" s="503"/>
      <c r="Q851" s="503"/>
    </row>
    <row r="852" spans="1:17" ht="15.75" customHeight="1">
      <c r="A852" s="503"/>
      <c r="B852" s="503"/>
      <c r="C852" s="503"/>
      <c r="D852" s="503"/>
      <c r="E852" s="503"/>
      <c r="F852" s="503"/>
      <c r="G852" s="503"/>
      <c r="H852" s="503"/>
      <c r="I852" s="503"/>
      <c r="J852" s="503"/>
      <c r="K852" s="503"/>
      <c r="L852" s="503"/>
      <c r="M852" s="503"/>
      <c r="N852" s="503"/>
      <c r="O852" s="503"/>
      <c r="P852" s="503"/>
      <c r="Q852" s="503"/>
    </row>
    <row r="853" spans="1:17" ht="15.75" customHeight="1">
      <c r="A853" s="503"/>
      <c r="B853" s="503"/>
      <c r="C853" s="503"/>
      <c r="D853" s="503"/>
      <c r="E853" s="503"/>
      <c r="F853" s="503"/>
      <c r="G853" s="503"/>
      <c r="H853" s="503"/>
      <c r="I853" s="503"/>
      <c r="J853" s="503"/>
      <c r="K853" s="503"/>
      <c r="L853" s="503"/>
      <c r="M853" s="503"/>
      <c r="N853" s="503"/>
      <c r="O853" s="503"/>
      <c r="P853" s="503"/>
      <c r="Q853" s="503"/>
    </row>
    <row r="854" spans="1:17" ht="15.75" customHeight="1">
      <c r="A854" s="503"/>
      <c r="B854" s="503"/>
      <c r="C854" s="503"/>
      <c r="D854" s="503"/>
      <c r="E854" s="503"/>
      <c r="F854" s="503"/>
      <c r="G854" s="503"/>
      <c r="H854" s="503"/>
      <c r="I854" s="503"/>
      <c r="J854" s="503"/>
      <c r="K854" s="503"/>
      <c r="L854" s="503"/>
      <c r="M854" s="503"/>
      <c r="N854" s="503"/>
      <c r="O854" s="503"/>
      <c r="P854" s="503"/>
      <c r="Q854" s="503"/>
    </row>
    <row r="855" spans="1:17" ht="15.75" customHeight="1">
      <c r="A855" s="503"/>
      <c r="B855" s="503"/>
      <c r="C855" s="503"/>
      <c r="D855" s="503"/>
      <c r="E855" s="503"/>
      <c r="F855" s="503"/>
      <c r="G855" s="503"/>
      <c r="H855" s="503"/>
      <c r="I855" s="503"/>
      <c r="J855" s="503"/>
      <c r="K855" s="503"/>
      <c r="L855" s="503"/>
      <c r="M855" s="503"/>
      <c r="N855" s="503"/>
      <c r="O855" s="503"/>
      <c r="P855" s="503"/>
      <c r="Q855" s="503"/>
    </row>
    <row r="856" spans="1:17" ht="15.75" customHeight="1">
      <c r="A856" s="503"/>
      <c r="B856" s="503"/>
      <c r="C856" s="503"/>
      <c r="D856" s="503"/>
      <c r="E856" s="503"/>
      <c r="F856" s="503"/>
      <c r="G856" s="503"/>
      <c r="H856" s="503"/>
      <c r="I856" s="503"/>
      <c r="J856" s="503"/>
      <c r="K856" s="503"/>
      <c r="L856" s="503"/>
      <c r="M856" s="503"/>
      <c r="N856" s="503"/>
      <c r="O856" s="503"/>
      <c r="P856" s="503"/>
      <c r="Q856" s="503"/>
    </row>
    <row r="857" spans="1:17" ht="15.75" customHeight="1">
      <c r="A857" s="503"/>
      <c r="B857" s="503"/>
      <c r="C857" s="503"/>
      <c r="D857" s="503"/>
      <c r="E857" s="503"/>
      <c r="F857" s="503"/>
      <c r="G857" s="503"/>
      <c r="H857" s="503"/>
      <c r="I857" s="503"/>
      <c r="J857" s="503"/>
      <c r="K857" s="503"/>
      <c r="L857" s="503"/>
      <c r="M857" s="503"/>
      <c r="N857" s="503"/>
      <c r="O857" s="503"/>
      <c r="P857" s="503"/>
      <c r="Q857" s="503"/>
    </row>
    <row r="858" spans="1:17" ht="15.75" customHeight="1">
      <c r="A858" s="503"/>
      <c r="B858" s="503"/>
      <c r="C858" s="503"/>
      <c r="D858" s="503"/>
      <c r="E858" s="503"/>
      <c r="F858" s="503"/>
      <c r="G858" s="503"/>
      <c r="H858" s="503"/>
      <c r="I858" s="503"/>
      <c r="J858" s="503"/>
      <c r="K858" s="503"/>
      <c r="L858" s="503"/>
      <c r="M858" s="503"/>
      <c r="N858" s="503"/>
      <c r="O858" s="503"/>
      <c r="P858" s="503"/>
      <c r="Q858" s="503"/>
    </row>
    <row r="859" spans="1:17" ht="15.75" customHeight="1">
      <c r="A859" s="503"/>
      <c r="B859" s="503"/>
      <c r="C859" s="503"/>
      <c r="D859" s="503"/>
      <c r="E859" s="503"/>
      <c r="F859" s="503"/>
      <c r="G859" s="503"/>
      <c r="H859" s="503"/>
      <c r="I859" s="503"/>
      <c r="J859" s="503"/>
      <c r="K859" s="503"/>
      <c r="L859" s="503"/>
      <c r="M859" s="503"/>
      <c r="N859" s="503"/>
      <c r="O859" s="503"/>
      <c r="P859" s="503"/>
      <c r="Q859" s="503"/>
    </row>
    <row r="860" spans="1:17" ht="15.75" customHeight="1">
      <c r="A860" s="503"/>
      <c r="B860" s="503"/>
      <c r="C860" s="503"/>
      <c r="D860" s="503"/>
      <c r="E860" s="503"/>
      <c r="F860" s="503"/>
      <c r="G860" s="503"/>
      <c r="H860" s="503"/>
      <c r="I860" s="503"/>
      <c r="J860" s="503"/>
      <c r="K860" s="503"/>
      <c r="L860" s="503"/>
      <c r="M860" s="503"/>
      <c r="N860" s="503"/>
      <c r="O860" s="503"/>
      <c r="P860" s="503"/>
      <c r="Q860" s="503"/>
    </row>
    <row r="861" spans="1:17" ht="15.75" customHeight="1">
      <c r="A861" s="503"/>
      <c r="B861" s="503"/>
      <c r="C861" s="503"/>
      <c r="D861" s="503"/>
      <c r="E861" s="503"/>
      <c r="F861" s="503"/>
      <c r="G861" s="503"/>
      <c r="H861" s="503"/>
      <c r="I861" s="503"/>
      <c r="J861" s="503"/>
      <c r="K861" s="503"/>
      <c r="L861" s="503"/>
      <c r="M861" s="503"/>
      <c r="N861" s="503"/>
      <c r="O861" s="503"/>
      <c r="P861" s="503"/>
      <c r="Q861" s="503"/>
    </row>
    <row r="862" spans="1:17" ht="15.75" customHeight="1">
      <c r="A862" s="503"/>
      <c r="B862" s="503"/>
      <c r="C862" s="503"/>
      <c r="D862" s="503"/>
      <c r="E862" s="503"/>
      <c r="F862" s="503"/>
      <c r="G862" s="503"/>
      <c r="H862" s="503"/>
      <c r="I862" s="503"/>
      <c r="J862" s="503"/>
      <c r="K862" s="503"/>
      <c r="L862" s="503"/>
      <c r="M862" s="503"/>
      <c r="N862" s="503"/>
      <c r="O862" s="503"/>
      <c r="P862" s="503"/>
      <c r="Q862" s="503"/>
    </row>
    <row r="863" spans="1:17" ht="15.75" customHeight="1">
      <c r="A863" s="503"/>
      <c r="B863" s="503"/>
      <c r="C863" s="503"/>
      <c r="D863" s="503"/>
      <c r="E863" s="503"/>
      <c r="F863" s="503"/>
      <c r="G863" s="503"/>
      <c r="H863" s="503"/>
      <c r="I863" s="503"/>
      <c r="J863" s="503"/>
      <c r="K863" s="503"/>
      <c r="L863" s="503"/>
      <c r="M863" s="503"/>
      <c r="N863" s="503"/>
      <c r="O863" s="503"/>
      <c r="P863" s="503"/>
      <c r="Q863" s="503"/>
    </row>
    <row r="864" spans="1:17" ht="15.75" customHeight="1">
      <c r="A864" s="503"/>
      <c r="B864" s="503"/>
      <c r="C864" s="503"/>
      <c r="D864" s="503"/>
      <c r="E864" s="503"/>
      <c r="F864" s="503"/>
      <c r="G864" s="503"/>
      <c r="H864" s="503"/>
      <c r="I864" s="503"/>
      <c r="J864" s="503"/>
      <c r="K864" s="503"/>
      <c r="L864" s="503"/>
      <c r="M864" s="503"/>
      <c r="N864" s="503"/>
      <c r="O864" s="503"/>
      <c r="P864" s="503"/>
      <c r="Q864" s="503"/>
    </row>
    <row r="865" spans="1:17" ht="15.75" customHeight="1">
      <c r="A865" s="503"/>
      <c r="B865" s="503"/>
      <c r="C865" s="503"/>
      <c r="D865" s="503"/>
      <c r="E865" s="503"/>
      <c r="F865" s="503"/>
      <c r="G865" s="503"/>
      <c r="H865" s="503"/>
      <c r="I865" s="503"/>
      <c r="J865" s="503"/>
      <c r="K865" s="503"/>
      <c r="L865" s="503"/>
      <c r="M865" s="503"/>
      <c r="N865" s="503"/>
      <c r="O865" s="503"/>
      <c r="P865" s="503"/>
      <c r="Q865" s="503"/>
    </row>
    <row r="866" spans="1:17" ht="15.75" customHeight="1">
      <c r="A866" s="503"/>
      <c r="B866" s="503"/>
      <c r="C866" s="503"/>
      <c r="D866" s="503"/>
      <c r="E866" s="503"/>
      <c r="F866" s="503"/>
      <c r="G866" s="503"/>
      <c r="H866" s="503"/>
      <c r="I866" s="503"/>
      <c r="J866" s="503"/>
      <c r="K866" s="503"/>
      <c r="L866" s="503"/>
      <c r="M866" s="503"/>
      <c r="N866" s="503"/>
      <c r="O866" s="503"/>
      <c r="P866" s="503"/>
      <c r="Q866" s="503"/>
    </row>
    <row r="867" spans="1:17" ht="15.75" customHeight="1">
      <c r="A867" s="503"/>
      <c r="B867" s="503"/>
      <c r="C867" s="503"/>
      <c r="D867" s="503"/>
      <c r="E867" s="503"/>
      <c r="F867" s="503"/>
      <c r="G867" s="503"/>
      <c r="H867" s="503"/>
      <c r="I867" s="503"/>
      <c r="J867" s="503"/>
      <c r="K867" s="503"/>
      <c r="L867" s="503"/>
      <c r="M867" s="503"/>
      <c r="N867" s="503"/>
      <c r="O867" s="503"/>
      <c r="P867" s="503"/>
      <c r="Q867" s="503"/>
    </row>
    <row r="868" spans="1:17" ht="15.75" customHeight="1">
      <c r="A868" s="503"/>
      <c r="B868" s="503"/>
      <c r="C868" s="503"/>
      <c r="D868" s="503"/>
      <c r="E868" s="503"/>
      <c r="F868" s="503"/>
      <c r="G868" s="503"/>
      <c r="H868" s="503"/>
      <c r="I868" s="503"/>
      <c r="J868" s="503"/>
      <c r="K868" s="503"/>
      <c r="L868" s="503"/>
      <c r="M868" s="503"/>
      <c r="N868" s="503"/>
      <c r="O868" s="503"/>
      <c r="P868" s="503"/>
      <c r="Q868" s="503"/>
    </row>
    <row r="869" spans="1:17" ht="15.75" customHeight="1">
      <c r="A869" s="503"/>
      <c r="B869" s="503"/>
      <c r="C869" s="503"/>
      <c r="D869" s="503"/>
      <c r="E869" s="503"/>
      <c r="F869" s="503"/>
      <c r="G869" s="503"/>
      <c r="H869" s="503"/>
      <c r="I869" s="503"/>
      <c r="J869" s="503"/>
      <c r="K869" s="503"/>
      <c r="L869" s="503"/>
      <c r="M869" s="503"/>
      <c r="N869" s="503"/>
      <c r="O869" s="503"/>
      <c r="P869" s="503"/>
      <c r="Q869" s="503"/>
    </row>
    <row r="870" spans="1:17" ht="15.75" customHeight="1">
      <c r="A870" s="503"/>
      <c r="B870" s="503"/>
      <c r="C870" s="503"/>
      <c r="D870" s="503"/>
      <c r="E870" s="503"/>
      <c r="F870" s="503"/>
      <c r="G870" s="503"/>
      <c r="H870" s="503"/>
      <c r="I870" s="503"/>
      <c r="J870" s="503"/>
      <c r="K870" s="503"/>
      <c r="L870" s="503"/>
      <c r="M870" s="503"/>
      <c r="N870" s="503"/>
      <c r="O870" s="503"/>
      <c r="P870" s="503"/>
      <c r="Q870" s="503"/>
    </row>
    <row r="871" spans="1:17" ht="15.75" customHeight="1">
      <c r="A871" s="503"/>
      <c r="B871" s="503"/>
      <c r="C871" s="503"/>
      <c r="D871" s="503"/>
      <c r="E871" s="503"/>
      <c r="F871" s="503"/>
      <c r="G871" s="503"/>
      <c r="H871" s="503"/>
      <c r="I871" s="503"/>
      <c r="J871" s="503"/>
      <c r="K871" s="503"/>
      <c r="L871" s="503"/>
      <c r="M871" s="503"/>
      <c r="N871" s="503"/>
      <c r="O871" s="503"/>
      <c r="P871" s="503"/>
      <c r="Q871" s="503"/>
    </row>
    <row r="872" spans="1:17" ht="15.75" customHeight="1">
      <c r="A872" s="503"/>
      <c r="B872" s="503"/>
      <c r="C872" s="503"/>
      <c r="D872" s="503"/>
      <c r="E872" s="503"/>
      <c r="F872" s="503"/>
      <c r="G872" s="503"/>
      <c r="H872" s="503"/>
      <c r="I872" s="503"/>
      <c r="J872" s="503"/>
      <c r="K872" s="503"/>
      <c r="L872" s="503"/>
      <c r="M872" s="503"/>
      <c r="N872" s="503"/>
      <c r="O872" s="503"/>
      <c r="P872" s="503"/>
      <c r="Q872" s="503"/>
    </row>
    <row r="873" spans="1:17" ht="15.75" customHeight="1">
      <c r="A873" s="503"/>
      <c r="B873" s="503"/>
      <c r="C873" s="503"/>
      <c r="D873" s="503"/>
      <c r="E873" s="503"/>
      <c r="F873" s="503"/>
      <c r="G873" s="503"/>
      <c r="H873" s="503"/>
      <c r="I873" s="503"/>
      <c r="J873" s="503"/>
      <c r="K873" s="503"/>
      <c r="L873" s="503"/>
      <c r="M873" s="503"/>
      <c r="N873" s="503"/>
      <c r="O873" s="503"/>
      <c r="P873" s="503"/>
      <c r="Q873" s="503"/>
    </row>
    <row r="874" spans="1:17" ht="15.75" customHeight="1">
      <c r="A874" s="503"/>
      <c r="B874" s="503"/>
      <c r="C874" s="503"/>
      <c r="D874" s="503"/>
      <c r="E874" s="503"/>
      <c r="F874" s="503"/>
      <c r="G874" s="503"/>
      <c r="H874" s="503"/>
      <c r="I874" s="503"/>
      <c r="J874" s="503"/>
      <c r="K874" s="503"/>
      <c r="L874" s="503"/>
      <c r="M874" s="503"/>
      <c r="N874" s="503"/>
      <c r="O874" s="503"/>
      <c r="P874" s="503"/>
      <c r="Q874" s="503"/>
    </row>
    <row r="875" spans="1:17" ht="15.75" customHeight="1">
      <c r="A875" s="503"/>
      <c r="B875" s="503"/>
      <c r="C875" s="503"/>
      <c r="D875" s="503"/>
      <c r="E875" s="503"/>
      <c r="F875" s="503"/>
      <c r="G875" s="503"/>
      <c r="H875" s="503"/>
      <c r="I875" s="503"/>
      <c r="J875" s="503"/>
      <c r="K875" s="503"/>
      <c r="L875" s="503"/>
      <c r="M875" s="503"/>
      <c r="N875" s="503"/>
      <c r="O875" s="503"/>
      <c r="P875" s="503"/>
      <c r="Q875" s="503"/>
    </row>
    <row r="876" spans="1:17" ht="15.75" customHeight="1">
      <c r="A876" s="503"/>
      <c r="B876" s="503"/>
      <c r="C876" s="503"/>
      <c r="D876" s="503"/>
      <c r="E876" s="503"/>
      <c r="F876" s="503"/>
      <c r="G876" s="503"/>
      <c r="H876" s="503"/>
      <c r="I876" s="503"/>
      <c r="J876" s="503"/>
      <c r="K876" s="503"/>
      <c r="L876" s="503"/>
      <c r="M876" s="503"/>
      <c r="N876" s="503"/>
      <c r="O876" s="503"/>
      <c r="P876" s="503"/>
      <c r="Q876" s="503"/>
    </row>
    <row r="877" spans="1:17" ht="15.75" customHeight="1">
      <c r="A877" s="503"/>
      <c r="B877" s="503"/>
      <c r="C877" s="503"/>
      <c r="D877" s="503"/>
      <c r="E877" s="503"/>
      <c r="F877" s="503"/>
      <c r="G877" s="503"/>
      <c r="H877" s="503"/>
      <c r="I877" s="503"/>
      <c r="J877" s="503"/>
      <c r="K877" s="503"/>
      <c r="L877" s="503"/>
      <c r="M877" s="503"/>
      <c r="N877" s="503"/>
      <c r="O877" s="503"/>
      <c r="P877" s="503"/>
      <c r="Q877" s="503"/>
    </row>
    <row r="878" spans="1:17" ht="15.75" customHeight="1">
      <c r="A878" s="503"/>
      <c r="B878" s="503"/>
      <c r="C878" s="503"/>
      <c r="D878" s="503"/>
      <c r="E878" s="503"/>
      <c r="F878" s="503"/>
      <c r="G878" s="503"/>
      <c r="H878" s="503"/>
      <c r="I878" s="503"/>
      <c r="J878" s="503"/>
      <c r="K878" s="503"/>
      <c r="L878" s="503"/>
      <c r="M878" s="503"/>
      <c r="N878" s="503"/>
      <c r="O878" s="503"/>
      <c r="P878" s="503"/>
      <c r="Q878" s="503"/>
    </row>
    <row r="879" spans="1:17" ht="15.75" customHeight="1">
      <c r="A879" s="503"/>
      <c r="B879" s="503"/>
      <c r="C879" s="503"/>
      <c r="D879" s="503"/>
      <c r="E879" s="503"/>
      <c r="F879" s="503"/>
      <c r="G879" s="503"/>
      <c r="H879" s="503"/>
      <c r="I879" s="503"/>
      <c r="J879" s="503"/>
      <c r="K879" s="503"/>
      <c r="L879" s="503"/>
      <c r="M879" s="503"/>
      <c r="N879" s="503"/>
      <c r="O879" s="503"/>
      <c r="P879" s="503"/>
      <c r="Q879" s="503"/>
    </row>
    <row r="880" spans="1:17" ht="15.75" customHeight="1">
      <c r="A880" s="503"/>
      <c r="B880" s="503"/>
      <c r="C880" s="503"/>
      <c r="D880" s="503"/>
      <c r="E880" s="503"/>
      <c r="F880" s="503"/>
      <c r="G880" s="503"/>
      <c r="H880" s="503"/>
      <c r="I880" s="503"/>
      <c r="J880" s="503"/>
      <c r="K880" s="503"/>
      <c r="L880" s="503"/>
      <c r="M880" s="503"/>
      <c r="N880" s="503"/>
      <c r="O880" s="503"/>
      <c r="P880" s="503"/>
      <c r="Q880" s="503"/>
    </row>
    <row r="881" spans="1:17" ht="15.75" customHeight="1">
      <c r="A881" s="503"/>
      <c r="B881" s="503"/>
      <c r="C881" s="503"/>
      <c r="D881" s="503"/>
      <c r="E881" s="503"/>
      <c r="F881" s="503"/>
      <c r="G881" s="503"/>
      <c r="H881" s="503"/>
      <c r="I881" s="503"/>
      <c r="J881" s="503"/>
      <c r="K881" s="503"/>
      <c r="L881" s="503"/>
      <c r="M881" s="503"/>
      <c r="N881" s="503"/>
      <c r="O881" s="503"/>
      <c r="P881" s="503"/>
      <c r="Q881" s="503"/>
    </row>
    <row r="882" spans="1:17" ht="15.75" customHeight="1">
      <c r="A882" s="503"/>
      <c r="B882" s="503"/>
      <c r="C882" s="503"/>
      <c r="D882" s="503"/>
      <c r="E882" s="503"/>
      <c r="F882" s="503"/>
      <c r="G882" s="503"/>
      <c r="H882" s="503"/>
      <c r="I882" s="503"/>
      <c r="J882" s="503"/>
      <c r="K882" s="503"/>
      <c r="L882" s="503"/>
      <c r="M882" s="503"/>
      <c r="N882" s="503"/>
      <c r="O882" s="503"/>
      <c r="P882" s="503"/>
      <c r="Q882" s="503"/>
    </row>
    <row r="883" spans="1:17" ht="15.75" customHeight="1">
      <c r="A883" s="503"/>
      <c r="B883" s="503"/>
      <c r="C883" s="503"/>
      <c r="D883" s="503"/>
      <c r="E883" s="503"/>
      <c r="F883" s="503"/>
      <c r="G883" s="503"/>
      <c r="H883" s="503"/>
      <c r="I883" s="503"/>
      <c r="J883" s="503"/>
      <c r="K883" s="503"/>
      <c r="L883" s="503"/>
      <c r="M883" s="503"/>
      <c r="N883" s="503"/>
      <c r="O883" s="503"/>
      <c r="P883" s="503"/>
      <c r="Q883" s="503"/>
    </row>
    <row r="884" spans="1:17" ht="15.75" customHeight="1">
      <c r="A884" s="503"/>
      <c r="B884" s="503"/>
      <c r="C884" s="503"/>
      <c r="D884" s="503"/>
      <c r="E884" s="503"/>
      <c r="F884" s="503"/>
      <c r="G884" s="503"/>
      <c r="H884" s="503"/>
      <c r="I884" s="503"/>
      <c r="J884" s="503"/>
      <c r="K884" s="503"/>
      <c r="L884" s="503"/>
      <c r="M884" s="503"/>
      <c r="N884" s="503"/>
      <c r="O884" s="503"/>
      <c r="P884" s="503"/>
      <c r="Q884" s="503"/>
    </row>
    <row r="885" spans="1:17" ht="15.75" customHeight="1">
      <c r="A885" s="503"/>
      <c r="B885" s="503"/>
      <c r="C885" s="503"/>
      <c r="D885" s="503"/>
      <c r="E885" s="503"/>
      <c r="F885" s="503"/>
      <c r="G885" s="503"/>
      <c r="H885" s="503"/>
      <c r="I885" s="503"/>
      <c r="J885" s="503"/>
      <c r="K885" s="503"/>
      <c r="L885" s="503"/>
      <c r="M885" s="503"/>
      <c r="N885" s="503"/>
      <c r="O885" s="503"/>
      <c r="P885" s="503"/>
      <c r="Q885" s="503"/>
    </row>
    <row r="886" spans="1:17" ht="15.75" customHeight="1">
      <c r="A886" s="503"/>
      <c r="B886" s="503"/>
      <c r="C886" s="503"/>
      <c r="D886" s="503"/>
      <c r="E886" s="503"/>
      <c r="F886" s="503"/>
      <c r="G886" s="503"/>
      <c r="H886" s="503"/>
      <c r="I886" s="503"/>
      <c r="J886" s="503"/>
      <c r="K886" s="503"/>
      <c r="L886" s="503"/>
      <c r="M886" s="503"/>
      <c r="N886" s="503"/>
      <c r="O886" s="503"/>
      <c r="P886" s="503"/>
      <c r="Q886" s="503"/>
    </row>
    <row r="887" spans="1:17" ht="15.75" customHeight="1">
      <c r="A887" s="503"/>
      <c r="B887" s="503"/>
      <c r="C887" s="503"/>
      <c r="D887" s="503"/>
      <c r="E887" s="503"/>
      <c r="F887" s="503"/>
      <c r="G887" s="503"/>
      <c r="H887" s="503"/>
      <c r="I887" s="503"/>
      <c r="J887" s="503"/>
      <c r="K887" s="503"/>
      <c r="L887" s="503"/>
      <c r="M887" s="503"/>
      <c r="N887" s="503"/>
      <c r="O887" s="503"/>
      <c r="P887" s="503"/>
      <c r="Q887" s="503"/>
    </row>
    <row r="888" spans="1:17" ht="15.75" customHeight="1">
      <c r="A888" s="503"/>
      <c r="B888" s="503"/>
      <c r="C888" s="503"/>
      <c r="D888" s="503"/>
      <c r="E888" s="503"/>
      <c r="F888" s="503"/>
      <c r="G888" s="503"/>
      <c r="H888" s="503"/>
      <c r="I888" s="503"/>
      <c r="J888" s="503"/>
      <c r="K888" s="503"/>
      <c r="L888" s="503"/>
      <c r="M888" s="503"/>
      <c r="N888" s="503"/>
      <c r="O888" s="503"/>
      <c r="P888" s="503"/>
      <c r="Q888" s="503"/>
    </row>
    <row r="889" spans="1:17" ht="15.75" customHeight="1">
      <c r="A889" s="503"/>
      <c r="B889" s="503"/>
      <c r="C889" s="503"/>
      <c r="D889" s="503"/>
      <c r="E889" s="503"/>
      <c r="F889" s="503"/>
      <c r="G889" s="503"/>
      <c r="H889" s="503"/>
      <c r="I889" s="503"/>
      <c r="J889" s="503"/>
      <c r="K889" s="503"/>
      <c r="L889" s="503"/>
      <c r="M889" s="503"/>
      <c r="N889" s="503"/>
      <c r="O889" s="503"/>
      <c r="P889" s="503"/>
      <c r="Q889" s="503"/>
    </row>
    <row r="890" spans="1:17" ht="15.75" customHeight="1">
      <c r="A890" s="503"/>
      <c r="B890" s="503"/>
      <c r="C890" s="503"/>
      <c r="D890" s="503"/>
      <c r="E890" s="503"/>
      <c r="F890" s="503"/>
      <c r="G890" s="503"/>
      <c r="H890" s="503"/>
      <c r="I890" s="503"/>
      <c r="J890" s="503"/>
      <c r="K890" s="503"/>
      <c r="L890" s="503"/>
      <c r="M890" s="503"/>
      <c r="N890" s="503"/>
      <c r="O890" s="503"/>
      <c r="P890" s="503"/>
      <c r="Q890" s="503"/>
    </row>
    <row r="891" spans="1:17" ht="15.75" customHeight="1">
      <c r="A891" s="503"/>
      <c r="B891" s="503"/>
      <c r="C891" s="503"/>
      <c r="D891" s="503"/>
      <c r="E891" s="503"/>
      <c r="F891" s="503"/>
      <c r="G891" s="503"/>
      <c r="H891" s="503"/>
      <c r="I891" s="503"/>
      <c r="J891" s="503"/>
      <c r="K891" s="503"/>
      <c r="L891" s="503"/>
      <c r="M891" s="503"/>
      <c r="N891" s="503"/>
      <c r="O891" s="503"/>
      <c r="P891" s="503"/>
      <c r="Q891" s="503"/>
    </row>
    <row r="892" spans="1:17" ht="15.75" customHeight="1">
      <c r="A892" s="503"/>
      <c r="B892" s="503"/>
      <c r="C892" s="503"/>
      <c r="D892" s="503"/>
      <c r="E892" s="503"/>
      <c r="F892" s="503"/>
      <c r="G892" s="503"/>
      <c r="H892" s="503"/>
      <c r="I892" s="503"/>
      <c r="J892" s="503"/>
      <c r="K892" s="503"/>
      <c r="L892" s="503"/>
      <c r="M892" s="503"/>
      <c r="N892" s="503"/>
      <c r="O892" s="503"/>
      <c r="P892" s="503"/>
      <c r="Q892" s="503"/>
    </row>
    <row r="893" spans="1:17" ht="15.75" customHeight="1">
      <c r="A893" s="503"/>
      <c r="B893" s="503"/>
      <c r="C893" s="503"/>
      <c r="D893" s="503"/>
      <c r="E893" s="503"/>
      <c r="F893" s="503"/>
      <c r="G893" s="503"/>
      <c r="H893" s="503"/>
      <c r="I893" s="503"/>
      <c r="J893" s="503"/>
      <c r="K893" s="503"/>
      <c r="L893" s="503"/>
      <c r="M893" s="503"/>
      <c r="N893" s="503"/>
      <c r="O893" s="503"/>
      <c r="P893" s="503"/>
      <c r="Q893" s="503"/>
    </row>
    <row r="894" spans="1:17" ht="15.75" customHeight="1">
      <c r="A894" s="503"/>
      <c r="B894" s="503"/>
      <c r="C894" s="503"/>
      <c r="D894" s="503"/>
      <c r="E894" s="503"/>
      <c r="F894" s="503"/>
      <c r="G894" s="503"/>
      <c r="H894" s="503"/>
      <c r="I894" s="503"/>
      <c r="J894" s="503"/>
      <c r="K894" s="503"/>
      <c r="L894" s="503"/>
      <c r="M894" s="503"/>
      <c r="N894" s="503"/>
      <c r="O894" s="503"/>
      <c r="P894" s="503"/>
      <c r="Q894" s="503"/>
    </row>
    <row r="895" spans="1:17" ht="15.75" customHeight="1">
      <c r="A895" s="503"/>
      <c r="B895" s="503"/>
      <c r="C895" s="503"/>
      <c r="D895" s="503"/>
      <c r="E895" s="503"/>
      <c r="F895" s="503"/>
      <c r="G895" s="503"/>
      <c r="H895" s="503"/>
      <c r="I895" s="503"/>
      <c r="J895" s="503"/>
      <c r="K895" s="503"/>
      <c r="L895" s="503"/>
      <c r="M895" s="503"/>
      <c r="N895" s="503"/>
      <c r="O895" s="503"/>
      <c r="P895" s="503"/>
      <c r="Q895" s="503"/>
    </row>
    <row r="896" spans="1:17" ht="15.75" customHeight="1">
      <c r="A896" s="503"/>
      <c r="B896" s="503"/>
      <c r="C896" s="503"/>
      <c r="D896" s="503"/>
      <c r="E896" s="503"/>
      <c r="F896" s="503"/>
      <c r="G896" s="503"/>
      <c r="H896" s="503"/>
      <c r="I896" s="503"/>
      <c r="J896" s="503"/>
      <c r="K896" s="503"/>
      <c r="L896" s="503"/>
      <c r="M896" s="503"/>
      <c r="N896" s="503"/>
      <c r="O896" s="503"/>
      <c r="P896" s="503"/>
      <c r="Q896" s="503"/>
    </row>
    <row r="897" spans="1:17" ht="15.75" customHeight="1">
      <c r="A897" s="503"/>
      <c r="B897" s="503"/>
      <c r="C897" s="503"/>
      <c r="D897" s="503"/>
      <c r="E897" s="503"/>
      <c r="F897" s="503"/>
      <c r="G897" s="503"/>
      <c r="H897" s="503"/>
      <c r="I897" s="503"/>
      <c r="J897" s="503"/>
      <c r="K897" s="503"/>
      <c r="L897" s="503"/>
      <c r="M897" s="503"/>
      <c r="N897" s="503"/>
      <c r="O897" s="503"/>
      <c r="P897" s="503"/>
      <c r="Q897" s="503"/>
    </row>
    <row r="898" spans="1:17" ht="15.75" customHeight="1">
      <c r="A898" s="503"/>
      <c r="B898" s="503"/>
      <c r="C898" s="503"/>
      <c r="D898" s="503"/>
      <c r="E898" s="503"/>
      <c r="F898" s="503"/>
      <c r="G898" s="503"/>
      <c r="H898" s="503"/>
      <c r="I898" s="503"/>
      <c r="J898" s="503"/>
      <c r="K898" s="503"/>
      <c r="L898" s="503"/>
      <c r="M898" s="503"/>
      <c r="N898" s="503"/>
      <c r="O898" s="503"/>
      <c r="P898" s="503"/>
      <c r="Q898" s="503"/>
    </row>
    <row r="899" spans="1:17" ht="15.75" customHeight="1">
      <c r="A899" s="503"/>
      <c r="B899" s="503"/>
      <c r="C899" s="503"/>
      <c r="D899" s="503"/>
      <c r="E899" s="503"/>
      <c r="F899" s="503"/>
      <c r="G899" s="503"/>
      <c r="H899" s="503"/>
      <c r="I899" s="503"/>
      <c r="J899" s="503"/>
      <c r="K899" s="503"/>
      <c r="L899" s="503"/>
      <c r="M899" s="503"/>
      <c r="N899" s="503"/>
      <c r="O899" s="503"/>
      <c r="P899" s="503"/>
      <c r="Q899" s="503"/>
    </row>
    <row r="900" spans="1:17" ht="15.75" customHeight="1">
      <c r="A900" s="503"/>
      <c r="B900" s="503"/>
      <c r="C900" s="503"/>
      <c r="D900" s="503"/>
      <c r="E900" s="503"/>
      <c r="F900" s="503"/>
      <c r="G900" s="503"/>
      <c r="H900" s="503"/>
      <c r="I900" s="503"/>
      <c r="J900" s="503"/>
      <c r="K900" s="503"/>
      <c r="L900" s="503"/>
      <c r="M900" s="503"/>
      <c r="N900" s="503"/>
      <c r="O900" s="503"/>
      <c r="P900" s="503"/>
      <c r="Q900" s="503"/>
    </row>
    <row r="901" spans="1:17" ht="15.75" customHeight="1">
      <c r="A901" s="503"/>
      <c r="B901" s="503"/>
      <c r="C901" s="503"/>
      <c r="D901" s="503"/>
      <c r="E901" s="503"/>
      <c r="F901" s="503"/>
      <c r="G901" s="503"/>
      <c r="H901" s="503"/>
      <c r="I901" s="503"/>
      <c r="J901" s="503"/>
      <c r="K901" s="503"/>
      <c r="L901" s="503"/>
      <c r="M901" s="503"/>
      <c r="N901" s="503"/>
      <c r="O901" s="503"/>
      <c r="P901" s="503"/>
      <c r="Q901" s="503"/>
    </row>
    <row r="902" spans="1:17" ht="15.75" customHeight="1">
      <c r="A902" s="503"/>
      <c r="B902" s="503"/>
      <c r="C902" s="503"/>
      <c r="D902" s="503"/>
      <c r="E902" s="503"/>
      <c r="F902" s="503"/>
      <c r="G902" s="503"/>
      <c r="H902" s="503"/>
      <c r="I902" s="503"/>
      <c r="J902" s="503"/>
      <c r="K902" s="503"/>
      <c r="L902" s="503"/>
      <c r="M902" s="503"/>
      <c r="N902" s="503"/>
      <c r="O902" s="503"/>
      <c r="P902" s="503"/>
      <c r="Q902" s="503"/>
    </row>
    <row r="903" spans="1:17" ht="15.75" customHeight="1">
      <c r="A903" s="503"/>
      <c r="B903" s="503"/>
      <c r="C903" s="503"/>
      <c r="D903" s="503"/>
      <c r="E903" s="503"/>
      <c r="F903" s="503"/>
      <c r="G903" s="503"/>
      <c r="H903" s="503"/>
      <c r="I903" s="503"/>
      <c r="J903" s="503"/>
      <c r="K903" s="503"/>
      <c r="L903" s="503"/>
      <c r="M903" s="503"/>
      <c r="N903" s="503"/>
      <c r="O903" s="503"/>
      <c r="P903" s="503"/>
      <c r="Q903" s="503"/>
    </row>
    <row r="904" spans="1:17" ht="15.75" customHeight="1">
      <c r="A904" s="503"/>
      <c r="B904" s="503"/>
      <c r="C904" s="503"/>
      <c r="D904" s="503"/>
      <c r="E904" s="503"/>
      <c r="F904" s="503"/>
      <c r="G904" s="503"/>
      <c r="H904" s="503"/>
      <c r="I904" s="503"/>
      <c r="J904" s="503"/>
      <c r="K904" s="503"/>
      <c r="L904" s="503"/>
      <c r="M904" s="503"/>
      <c r="N904" s="503"/>
      <c r="O904" s="503"/>
      <c r="P904" s="503"/>
      <c r="Q904" s="503"/>
    </row>
    <row r="905" spans="1:17" ht="15.75" customHeight="1">
      <c r="A905" s="503"/>
      <c r="B905" s="503"/>
      <c r="C905" s="503"/>
      <c r="D905" s="503"/>
      <c r="E905" s="503"/>
      <c r="F905" s="503"/>
      <c r="G905" s="503"/>
      <c r="H905" s="503"/>
      <c r="I905" s="503"/>
      <c r="J905" s="503"/>
      <c r="K905" s="503"/>
      <c r="L905" s="503"/>
      <c r="M905" s="503"/>
      <c r="N905" s="503"/>
      <c r="O905" s="503"/>
      <c r="P905" s="503"/>
      <c r="Q905" s="503"/>
    </row>
    <row r="906" spans="1:17" ht="15.75" customHeight="1">
      <c r="A906" s="503"/>
      <c r="B906" s="503"/>
      <c r="C906" s="503"/>
      <c r="D906" s="503"/>
      <c r="E906" s="503"/>
      <c r="F906" s="503"/>
      <c r="G906" s="503"/>
      <c r="H906" s="503"/>
      <c r="I906" s="503"/>
      <c r="J906" s="503"/>
      <c r="K906" s="503"/>
      <c r="L906" s="503"/>
      <c r="M906" s="503"/>
      <c r="N906" s="503"/>
      <c r="O906" s="503"/>
      <c r="P906" s="503"/>
      <c r="Q906" s="503"/>
    </row>
    <row r="907" spans="1:17" ht="15.75" customHeight="1">
      <c r="A907" s="503"/>
      <c r="B907" s="503"/>
      <c r="C907" s="503"/>
      <c r="D907" s="503"/>
      <c r="E907" s="503"/>
      <c r="F907" s="503"/>
      <c r="G907" s="503"/>
      <c r="H907" s="503"/>
      <c r="I907" s="503"/>
      <c r="J907" s="503"/>
      <c r="K907" s="503"/>
      <c r="L907" s="503"/>
      <c r="M907" s="503"/>
      <c r="N907" s="503"/>
      <c r="O907" s="503"/>
      <c r="P907" s="503"/>
      <c r="Q907" s="503"/>
    </row>
    <row r="908" spans="1:17" ht="15.75" customHeight="1">
      <c r="A908" s="503"/>
      <c r="B908" s="503"/>
      <c r="C908" s="503"/>
      <c r="D908" s="503"/>
      <c r="E908" s="503"/>
      <c r="F908" s="503"/>
      <c r="G908" s="503"/>
      <c r="H908" s="503"/>
      <c r="I908" s="503"/>
      <c r="J908" s="503"/>
      <c r="K908" s="503"/>
      <c r="L908" s="503"/>
      <c r="M908" s="503"/>
      <c r="N908" s="503"/>
      <c r="O908" s="503"/>
      <c r="P908" s="503"/>
      <c r="Q908" s="503"/>
    </row>
    <row r="909" spans="1:17" ht="15.75" customHeight="1">
      <c r="A909" s="503"/>
      <c r="B909" s="503"/>
      <c r="C909" s="503"/>
      <c r="D909" s="503"/>
      <c r="E909" s="503"/>
      <c r="F909" s="503"/>
      <c r="G909" s="503"/>
      <c r="H909" s="503"/>
      <c r="I909" s="503"/>
      <c r="J909" s="503"/>
      <c r="K909" s="503"/>
      <c r="L909" s="503"/>
      <c r="M909" s="503"/>
      <c r="N909" s="503"/>
      <c r="O909" s="503"/>
      <c r="P909" s="503"/>
      <c r="Q909" s="503"/>
    </row>
    <row r="910" spans="1:17" ht="15.75" customHeight="1">
      <c r="A910" s="503"/>
      <c r="B910" s="503"/>
      <c r="C910" s="503"/>
      <c r="D910" s="503"/>
      <c r="E910" s="503"/>
      <c r="F910" s="503"/>
      <c r="G910" s="503"/>
      <c r="H910" s="503"/>
      <c r="I910" s="503"/>
      <c r="J910" s="503"/>
      <c r="K910" s="503"/>
      <c r="L910" s="503"/>
      <c r="M910" s="503"/>
      <c r="N910" s="503"/>
      <c r="O910" s="503"/>
      <c r="P910" s="503"/>
      <c r="Q910" s="503"/>
    </row>
    <row r="911" spans="1:17" ht="15.75" customHeight="1">
      <c r="A911" s="503"/>
      <c r="B911" s="503"/>
      <c r="C911" s="503"/>
      <c r="D911" s="503"/>
      <c r="E911" s="503"/>
      <c r="F911" s="503"/>
      <c r="G911" s="503"/>
      <c r="H911" s="503"/>
      <c r="I911" s="503"/>
      <c r="J911" s="503"/>
      <c r="K911" s="503"/>
      <c r="L911" s="503"/>
      <c r="M911" s="503"/>
      <c r="N911" s="503"/>
      <c r="O911" s="503"/>
      <c r="P911" s="503"/>
      <c r="Q911" s="503"/>
    </row>
    <row r="912" spans="1:17" ht="15.75" customHeight="1">
      <c r="A912" s="503"/>
      <c r="B912" s="503"/>
      <c r="C912" s="503"/>
      <c r="D912" s="503"/>
      <c r="E912" s="503"/>
      <c r="F912" s="503"/>
      <c r="G912" s="503"/>
      <c r="H912" s="503"/>
      <c r="I912" s="503"/>
      <c r="J912" s="503"/>
      <c r="K912" s="503"/>
      <c r="L912" s="503"/>
      <c r="M912" s="503"/>
      <c r="N912" s="503"/>
      <c r="O912" s="503"/>
      <c r="P912" s="503"/>
      <c r="Q912" s="503"/>
    </row>
    <row r="913" spans="1:17" ht="15.75" customHeight="1">
      <c r="A913" s="503"/>
      <c r="B913" s="503"/>
      <c r="C913" s="503"/>
      <c r="D913" s="503"/>
      <c r="E913" s="503"/>
      <c r="F913" s="503"/>
      <c r="G913" s="503"/>
      <c r="H913" s="503"/>
      <c r="I913" s="503"/>
      <c r="J913" s="503"/>
      <c r="K913" s="503"/>
      <c r="L913" s="503"/>
      <c r="M913" s="503"/>
      <c r="N913" s="503"/>
      <c r="O913" s="503"/>
      <c r="P913" s="503"/>
      <c r="Q913" s="503"/>
    </row>
    <row r="914" spans="1:17" ht="15.75" customHeight="1">
      <c r="A914" s="503"/>
      <c r="B914" s="503"/>
      <c r="C914" s="503"/>
      <c r="D914" s="503"/>
      <c r="E914" s="503"/>
      <c r="F914" s="503"/>
      <c r="G914" s="503"/>
      <c r="H914" s="503"/>
      <c r="I914" s="503"/>
      <c r="J914" s="503"/>
      <c r="K914" s="503"/>
      <c r="L914" s="503"/>
      <c r="M914" s="503"/>
      <c r="N914" s="503"/>
      <c r="O914" s="503"/>
      <c r="P914" s="503"/>
      <c r="Q914" s="503"/>
    </row>
    <row r="915" spans="1:17" ht="15.75" customHeight="1">
      <c r="A915" s="503"/>
      <c r="B915" s="503"/>
      <c r="C915" s="503"/>
      <c r="D915" s="503"/>
      <c r="E915" s="503"/>
      <c r="F915" s="503"/>
      <c r="G915" s="503"/>
      <c r="H915" s="503"/>
      <c r="I915" s="503"/>
      <c r="J915" s="503"/>
      <c r="K915" s="503"/>
      <c r="L915" s="503"/>
      <c r="M915" s="503"/>
      <c r="N915" s="503"/>
      <c r="O915" s="503"/>
      <c r="P915" s="503"/>
      <c r="Q915" s="503"/>
    </row>
    <row r="916" spans="1:17" ht="15.75" customHeight="1">
      <c r="A916" s="503"/>
      <c r="B916" s="503"/>
      <c r="C916" s="503"/>
      <c r="D916" s="503"/>
      <c r="E916" s="503"/>
      <c r="F916" s="503"/>
      <c r="G916" s="503"/>
      <c r="H916" s="503"/>
      <c r="I916" s="503"/>
      <c r="J916" s="503"/>
      <c r="K916" s="503"/>
      <c r="L916" s="503"/>
      <c r="M916" s="503"/>
      <c r="N916" s="503"/>
      <c r="O916" s="503"/>
      <c r="P916" s="503"/>
      <c r="Q916" s="503"/>
    </row>
    <row r="917" spans="1:17" ht="15.75" customHeight="1">
      <c r="A917" s="503"/>
      <c r="B917" s="503"/>
      <c r="C917" s="503"/>
      <c r="D917" s="503"/>
      <c r="E917" s="503"/>
      <c r="F917" s="503"/>
      <c r="G917" s="503"/>
      <c r="H917" s="503"/>
      <c r="I917" s="503"/>
      <c r="J917" s="503"/>
      <c r="K917" s="503"/>
      <c r="L917" s="503"/>
      <c r="M917" s="503"/>
      <c r="N917" s="503"/>
      <c r="O917" s="503"/>
      <c r="P917" s="503"/>
      <c r="Q917" s="503"/>
    </row>
    <row r="918" spans="1:17" ht="15.75" customHeight="1">
      <c r="A918" s="503"/>
      <c r="B918" s="503"/>
      <c r="C918" s="503"/>
      <c r="D918" s="503"/>
      <c r="E918" s="503"/>
      <c r="F918" s="503"/>
      <c r="G918" s="503"/>
      <c r="H918" s="503"/>
      <c r="I918" s="503"/>
      <c r="J918" s="503"/>
      <c r="K918" s="503"/>
      <c r="L918" s="503"/>
      <c r="M918" s="503"/>
      <c r="N918" s="503"/>
      <c r="O918" s="503"/>
      <c r="P918" s="503"/>
      <c r="Q918" s="503"/>
    </row>
    <row r="919" spans="1:17" ht="15.75" customHeight="1">
      <c r="A919" s="503"/>
      <c r="B919" s="503"/>
      <c r="C919" s="503"/>
      <c r="D919" s="503"/>
      <c r="E919" s="503"/>
      <c r="F919" s="503"/>
      <c r="G919" s="503"/>
      <c r="H919" s="503"/>
      <c r="I919" s="503"/>
      <c r="J919" s="503"/>
      <c r="K919" s="503"/>
      <c r="L919" s="503"/>
      <c r="M919" s="503"/>
      <c r="N919" s="503"/>
      <c r="O919" s="503"/>
      <c r="P919" s="503"/>
      <c r="Q919" s="503"/>
    </row>
    <row r="920" spans="1:17" ht="15.75" customHeight="1">
      <c r="A920" s="503"/>
      <c r="B920" s="503"/>
      <c r="C920" s="503"/>
      <c r="D920" s="503"/>
      <c r="E920" s="503"/>
      <c r="F920" s="503"/>
      <c r="G920" s="503"/>
      <c r="H920" s="503"/>
      <c r="I920" s="503"/>
      <c r="J920" s="503"/>
      <c r="K920" s="503"/>
      <c r="L920" s="503"/>
      <c r="M920" s="503"/>
      <c r="N920" s="503"/>
      <c r="O920" s="503"/>
      <c r="P920" s="503"/>
      <c r="Q920" s="503"/>
    </row>
    <row r="921" spans="1:17" ht="15.75" customHeight="1">
      <c r="A921" s="503"/>
      <c r="B921" s="503"/>
      <c r="C921" s="503"/>
      <c r="D921" s="503"/>
      <c r="E921" s="503"/>
      <c r="F921" s="503"/>
      <c r="G921" s="503"/>
      <c r="H921" s="503"/>
      <c r="I921" s="503"/>
      <c r="J921" s="503"/>
      <c r="K921" s="503"/>
      <c r="L921" s="503"/>
      <c r="M921" s="503"/>
      <c r="N921" s="503"/>
      <c r="O921" s="503"/>
      <c r="P921" s="503"/>
      <c r="Q921" s="503"/>
    </row>
    <row r="922" spans="1:17" ht="15.75" customHeight="1">
      <c r="A922" s="503"/>
      <c r="B922" s="503"/>
      <c r="C922" s="503"/>
      <c r="D922" s="503"/>
      <c r="E922" s="503"/>
      <c r="F922" s="503"/>
      <c r="G922" s="503"/>
      <c r="H922" s="503"/>
      <c r="I922" s="503"/>
      <c r="J922" s="503"/>
      <c r="K922" s="503"/>
      <c r="L922" s="503"/>
      <c r="M922" s="503"/>
      <c r="N922" s="503"/>
      <c r="O922" s="503"/>
      <c r="P922" s="503"/>
      <c r="Q922" s="503"/>
    </row>
    <row r="923" spans="1:17" ht="15.75" customHeight="1">
      <c r="A923" s="503"/>
      <c r="B923" s="503"/>
      <c r="C923" s="503"/>
      <c r="D923" s="503"/>
      <c r="E923" s="503"/>
      <c r="F923" s="503"/>
      <c r="G923" s="503"/>
      <c r="H923" s="503"/>
      <c r="I923" s="503"/>
      <c r="J923" s="503"/>
      <c r="K923" s="503"/>
      <c r="L923" s="503"/>
      <c r="M923" s="503"/>
      <c r="N923" s="503"/>
      <c r="O923" s="503"/>
      <c r="P923" s="503"/>
      <c r="Q923" s="503"/>
    </row>
    <row r="924" spans="1:17" ht="15.75" customHeight="1">
      <c r="A924" s="503"/>
      <c r="B924" s="503"/>
      <c r="C924" s="503"/>
      <c r="D924" s="503"/>
      <c r="E924" s="503"/>
      <c r="F924" s="503"/>
      <c r="G924" s="503"/>
      <c r="H924" s="503"/>
      <c r="I924" s="503"/>
      <c r="J924" s="503"/>
      <c r="K924" s="503"/>
      <c r="L924" s="503"/>
      <c r="M924" s="503"/>
      <c r="N924" s="503"/>
      <c r="O924" s="503"/>
      <c r="P924" s="503"/>
      <c r="Q924" s="503"/>
    </row>
    <row r="925" spans="1:17" ht="15.75" customHeight="1">
      <c r="A925" s="503"/>
      <c r="B925" s="503"/>
      <c r="C925" s="503"/>
      <c r="D925" s="503"/>
      <c r="E925" s="503"/>
      <c r="F925" s="503"/>
      <c r="G925" s="503"/>
      <c r="H925" s="503"/>
      <c r="I925" s="503"/>
      <c r="J925" s="503"/>
      <c r="K925" s="503"/>
      <c r="L925" s="503"/>
      <c r="M925" s="503"/>
      <c r="N925" s="503"/>
      <c r="O925" s="503"/>
      <c r="P925" s="503"/>
      <c r="Q925" s="503"/>
    </row>
    <row r="926" spans="1:17" ht="15.75" customHeight="1">
      <c r="A926" s="503"/>
      <c r="B926" s="503"/>
      <c r="C926" s="503"/>
      <c r="D926" s="503"/>
      <c r="E926" s="503"/>
      <c r="F926" s="503"/>
      <c r="G926" s="503"/>
      <c r="H926" s="503"/>
      <c r="I926" s="503"/>
      <c r="J926" s="503"/>
      <c r="K926" s="503"/>
      <c r="L926" s="503"/>
      <c r="M926" s="503"/>
      <c r="N926" s="503"/>
      <c r="O926" s="503"/>
      <c r="P926" s="503"/>
      <c r="Q926" s="503"/>
    </row>
    <row r="927" spans="1:17" ht="15.75" customHeight="1">
      <c r="A927" s="503"/>
      <c r="B927" s="503"/>
      <c r="C927" s="503"/>
      <c r="D927" s="503"/>
      <c r="E927" s="503"/>
      <c r="F927" s="503"/>
      <c r="G927" s="503"/>
      <c r="H927" s="503"/>
      <c r="I927" s="503"/>
      <c r="J927" s="503"/>
      <c r="K927" s="503"/>
      <c r="L927" s="503"/>
      <c r="M927" s="503"/>
      <c r="N927" s="503"/>
      <c r="O927" s="503"/>
      <c r="P927" s="503"/>
      <c r="Q927" s="503"/>
    </row>
    <row r="928" spans="1:17" ht="15.75" customHeight="1">
      <c r="A928" s="503"/>
      <c r="B928" s="503"/>
      <c r="C928" s="503"/>
      <c r="D928" s="503"/>
      <c r="E928" s="503"/>
      <c r="F928" s="503"/>
      <c r="G928" s="503"/>
      <c r="H928" s="503"/>
      <c r="I928" s="503"/>
      <c r="J928" s="503"/>
      <c r="K928" s="503"/>
      <c r="L928" s="503"/>
      <c r="M928" s="503"/>
      <c r="N928" s="503"/>
      <c r="O928" s="503"/>
      <c r="P928" s="503"/>
      <c r="Q928" s="503"/>
    </row>
    <row r="929" spans="1:17" ht="15.75" customHeight="1">
      <c r="A929" s="503"/>
      <c r="B929" s="503"/>
      <c r="C929" s="503"/>
      <c r="D929" s="503"/>
      <c r="E929" s="503"/>
      <c r="F929" s="503"/>
      <c r="G929" s="503"/>
      <c r="H929" s="503"/>
      <c r="I929" s="503"/>
      <c r="J929" s="503"/>
      <c r="K929" s="503"/>
      <c r="L929" s="503"/>
      <c r="M929" s="503"/>
      <c r="N929" s="503"/>
      <c r="O929" s="503"/>
      <c r="P929" s="503"/>
      <c r="Q929" s="503"/>
    </row>
    <row r="930" spans="1:17" ht="15.75" customHeight="1">
      <c r="A930" s="503"/>
      <c r="B930" s="503"/>
      <c r="C930" s="503"/>
      <c r="D930" s="503"/>
      <c r="E930" s="503"/>
      <c r="F930" s="503"/>
      <c r="G930" s="503"/>
      <c r="H930" s="503"/>
      <c r="I930" s="503"/>
      <c r="J930" s="503"/>
      <c r="K930" s="503"/>
      <c r="L930" s="503"/>
      <c r="M930" s="503"/>
      <c r="N930" s="503"/>
      <c r="O930" s="503"/>
      <c r="P930" s="503"/>
      <c r="Q930" s="503"/>
    </row>
    <row r="931" spans="1:17" ht="15.75" customHeight="1">
      <c r="A931" s="503"/>
      <c r="B931" s="503"/>
      <c r="C931" s="503"/>
      <c r="D931" s="503"/>
      <c r="E931" s="503"/>
      <c r="F931" s="503"/>
      <c r="G931" s="503"/>
      <c r="H931" s="503"/>
      <c r="I931" s="503"/>
      <c r="J931" s="503"/>
      <c r="K931" s="503"/>
      <c r="L931" s="503"/>
      <c r="M931" s="503"/>
      <c r="N931" s="503"/>
      <c r="O931" s="503"/>
      <c r="P931" s="503"/>
      <c r="Q931" s="503"/>
    </row>
    <row r="932" spans="1:17" ht="15.75" customHeight="1">
      <c r="A932" s="503"/>
      <c r="B932" s="503"/>
      <c r="C932" s="503"/>
      <c r="D932" s="503"/>
      <c r="E932" s="503"/>
      <c r="F932" s="503"/>
      <c r="G932" s="503"/>
      <c r="H932" s="503"/>
      <c r="I932" s="503"/>
      <c r="J932" s="503"/>
      <c r="K932" s="503"/>
      <c r="L932" s="503"/>
      <c r="M932" s="503"/>
      <c r="N932" s="503"/>
      <c r="O932" s="503"/>
      <c r="P932" s="503"/>
      <c r="Q932" s="503"/>
    </row>
    <row r="933" spans="1:17" ht="15.75" customHeight="1">
      <c r="A933" s="503"/>
      <c r="B933" s="503"/>
      <c r="C933" s="503"/>
      <c r="D933" s="503"/>
      <c r="E933" s="503"/>
      <c r="F933" s="503"/>
      <c r="G933" s="503"/>
      <c r="H933" s="503"/>
      <c r="I933" s="503"/>
      <c r="J933" s="503"/>
      <c r="K933" s="503"/>
      <c r="L933" s="503"/>
      <c r="M933" s="503"/>
      <c r="N933" s="503"/>
      <c r="O933" s="503"/>
      <c r="P933" s="503"/>
      <c r="Q933" s="503"/>
    </row>
    <row r="934" spans="1:17" ht="15.75" customHeight="1">
      <c r="A934" s="503"/>
      <c r="B934" s="503"/>
      <c r="C934" s="503"/>
      <c r="D934" s="503"/>
      <c r="E934" s="503"/>
      <c r="F934" s="503"/>
      <c r="G934" s="503"/>
      <c r="H934" s="503"/>
      <c r="I934" s="503"/>
      <c r="J934" s="503"/>
      <c r="K934" s="503"/>
      <c r="L934" s="503"/>
      <c r="M934" s="503"/>
      <c r="N934" s="503"/>
      <c r="O934" s="503"/>
      <c r="P934" s="503"/>
      <c r="Q934" s="503"/>
    </row>
    <row r="935" spans="1:17" ht="15.75" customHeight="1">
      <c r="A935" s="503"/>
      <c r="B935" s="503"/>
      <c r="C935" s="503"/>
      <c r="D935" s="503"/>
      <c r="E935" s="503"/>
      <c r="F935" s="503"/>
      <c r="G935" s="503"/>
      <c r="H935" s="503"/>
      <c r="I935" s="503"/>
      <c r="J935" s="503"/>
      <c r="K935" s="503"/>
      <c r="L935" s="503"/>
      <c r="M935" s="503"/>
      <c r="N935" s="503"/>
      <c r="O935" s="503"/>
      <c r="P935" s="503"/>
      <c r="Q935" s="503"/>
    </row>
    <row r="936" spans="1:17" ht="15.75" customHeight="1">
      <c r="A936" s="503"/>
      <c r="B936" s="503"/>
      <c r="C936" s="503"/>
      <c r="D936" s="503"/>
      <c r="E936" s="503"/>
      <c r="F936" s="503"/>
      <c r="G936" s="503"/>
      <c r="H936" s="503"/>
      <c r="I936" s="503"/>
      <c r="J936" s="503"/>
      <c r="K936" s="503"/>
      <c r="L936" s="503"/>
      <c r="M936" s="503"/>
      <c r="N936" s="503"/>
      <c r="O936" s="503"/>
      <c r="P936" s="503"/>
      <c r="Q936" s="503"/>
    </row>
    <row r="937" spans="1:17" ht="15.75" customHeight="1">
      <c r="A937" s="503"/>
      <c r="B937" s="503"/>
      <c r="C937" s="503"/>
      <c r="D937" s="503"/>
      <c r="E937" s="503"/>
      <c r="F937" s="503"/>
      <c r="G937" s="503"/>
      <c r="H937" s="503"/>
      <c r="I937" s="503"/>
      <c r="J937" s="503"/>
      <c r="K937" s="503"/>
      <c r="L937" s="503"/>
      <c r="M937" s="503"/>
      <c r="N937" s="503"/>
      <c r="O937" s="503"/>
      <c r="P937" s="503"/>
      <c r="Q937" s="503"/>
    </row>
    <row r="938" spans="1:17" ht="15.75" customHeight="1">
      <c r="A938" s="503"/>
      <c r="B938" s="503"/>
      <c r="C938" s="503"/>
      <c r="D938" s="503"/>
      <c r="E938" s="503"/>
      <c r="F938" s="503"/>
      <c r="G938" s="503"/>
      <c r="H938" s="503"/>
      <c r="I938" s="503"/>
      <c r="J938" s="503"/>
      <c r="K938" s="503"/>
      <c r="L938" s="503"/>
      <c r="M938" s="503"/>
      <c r="N938" s="503"/>
      <c r="O938" s="503"/>
      <c r="P938" s="503"/>
      <c r="Q938" s="503"/>
    </row>
    <row r="939" spans="1:17" ht="15.75" customHeight="1">
      <c r="A939" s="503"/>
      <c r="B939" s="503"/>
      <c r="C939" s="503"/>
      <c r="D939" s="503"/>
      <c r="E939" s="503"/>
      <c r="F939" s="503"/>
      <c r="G939" s="503"/>
      <c r="H939" s="503"/>
      <c r="I939" s="503"/>
      <c r="J939" s="503"/>
      <c r="K939" s="503"/>
      <c r="L939" s="503"/>
      <c r="M939" s="503"/>
      <c r="N939" s="503"/>
      <c r="O939" s="503"/>
      <c r="P939" s="503"/>
      <c r="Q939" s="503"/>
    </row>
    <row r="940" spans="1:17" ht="15.75" customHeight="1">
      <c r="A940" s="503"/>
      <c r="B940" s="503"/>
      <c r="C940" s="503"/>
      <c r="D940" s="503"/>
      <c r="E940" s="503"/>
      <c r="F940" s="503"/>
      <c r="G940" s="503"/>
      <c r="H940" s="503"/>
      <c r="I940" s="503"/>
      <c r="J940" s="503"/>
      <c r="K940" s="503"/>
      <c r="L940" s="503"/>
      <c r="M940" s="503"/>
      <c r="N940" s="503"/>
      <c r="O940" s="503"/>
      <c r="P940" s="503"/>
      <c r="Q940" s="503"/>
    </row>
    <row r="941" spans="1:17" ht="15.75" customHeight="1">
      <c r="A941" s="503"/>
      <c r="B941" s="503"/>
      <c r="C941" s="503"/>
      <c r="D941" s="503"/>
      <c r="E941" s="503"/>
      <c r="F941" s="503"/>
      <c r="G941" s="503"/>
      <c r="H941" s="503"/>
      <c r="I941" s="503"/>
      <c r="J941" s="503"/>
      <c r="K941" s="503"/>
      <c r="L941" s="503"/>
      <c r="M941" s="503"/>
      <c r="N941" s="503"/>
      <c r="O941" s="503"/>
      <c r="P941" s="503"/>
      <c r="Q941" s="503"/>
    </row>
    <row r="942" spans="1:17" ht="15.75" customHeight="1">
      <c r="A942" s="503"/>
      <c r="B942" s="503"/>
      <c r="C942" s="503"/>
      <c r="D942" s="503"/>
      <c r="E942" s="503"/>
      <c r="F942" s="503"/>
      <c r="G942" s="503"/>
      <c r="H942" s="503"/>
      <c r="I942" s="503"/>
      <c r="J942" s="503"/>
      <c r="K942" s="503"/>
      <c r="L942" s="503"/>
      <c r="M942" s="503"/>
      <c r="N942" s="503"/>
      <c r="O942" s="503"/>
      <c r="P942" s="503"/>
      <c r="Q942" s="503"/>
    </row>
    <row r="943" spans="1:17" ht="15.75" customHeight="1">
      <c r="A943" s="503"/>
      <c r="B943" s="503"/>
      <c r="C943" s="503"/>
      <c r="D943" s="503"/>
      <c r="E943" s="503"/>
      <c r="F943" s="503"/>
      <c r="G943" s="503"/>
      <c r="H943" s="503"/>
      <c r="I943" s="503"/>
      <c r="J943" s="503"/>
      <c r="K943" s="503"/>
      <c r="L943" s="503"/>
      <c r="M943" s="503"/>
      <c r="N943" s="503"/>
      <c r="O943" s="503"/>
      <c r="P943" s="503"/>
      <c r="Q943" s="503"/>
    </row>
    <row r="944" spans="1:17" ht="15.75" customHeight="1">
      <c r="A944" s="503"/>
      <c r="B944" s="503"/>
      <c r="C944" s="503"/>
      <c r="D944" s="503"/>
      <c r="E944" s="503"/>
      <c r="F944" s="503"/>
      <c r="G944" s="503"/>
      <c r="H944" s="503"/>
      <c r="I944" s="503"/>
      <c r="J944" s="503"/>
      <c r="K944" s="503"/>
      <c r="L944" s="503"/>
      <c r="M944" s="503"/>
      <c r="N944" s="503"/>
      <c r="O944" s="503"/>
      <c r="P944" s="503"/>
      <c r="Q944" s="503"/>
    </row>
    <row r="945" spans="1:17" ht="15.75" customHeight="1">
      <c r="A945" s="503"/>
      <c r="B945" s="503"/>
      <c r="C945" s="503"/>
      <c r="D945" s="503"/>
      <c r="E945" s="503"/>
      <c r="F945" s="503"/>
      <c r="G945" s="503"/>
      <c r="H945" s="503"/>
      <c r="I945" s="503"/>
      <c r="J945" s="503"/>
      <c r="K945" s="503"/>
      <c r="L945" s="503"/>
      <c r="M945" s="503"/>
      <c r="N945" s="503"/>
      <c r="O945" s="503"/>
      <c r="P945" s="503"/>
      <c r="Q945" s="503"/>
    </row>
    <row r="946" spans="1:17" ht="15.75" customHeight="1">
      <c r="A946" s="503"/>
      <c r="B946" s="503"/>
      <c r="C946" s="503"/>
      <c r="D946" s="503"/>
      <c r="E946" s="503"/>
      <c r="F946" s="503"/>
      <c r="G946" s="503"/>
      <c r="H946" s="503"/>
      <c r="I946" s="503"/>
      <c r="J946" s="503"/>
      <c r="K946" s="503"/>
      <c r="L946" s="503"/>
      <c r="M946" s="503"/>
      <c r="N946" s="503"/>
      <c r="O946" s="503"/>
      <c r="P946" s="503"/>
      <c r="Q946" s="503"/>
    </row>
    <row r="947" spans="1:17" ht="15.75" customHeight="1">
      <c r="A947" s="503"/>
      <c r="B947" s="503"/>
      <c r="C947" s="503"/>
      <c r="D947" s="503"/>
      <c r="E947" s="503"/>
      <c r="F947" s="503"/>
      <c r="G947" s="503"/>
      <c r="H947" s="503"/>
      <c r="I947" s="503"/>
      <c r="J947" s="503"/>
      <c r="K947" s="503"/>
      <c r="L947" s="503"/>
      <c r="M947" s="503"/>
      <c r="N947" s="503"/>
      <c r="O947" s="503"/>
      <c r="P947" s="503"/>
      <c r="Q947" s="503"/>
    </row>
    <row r="948" spans="1:17" ht="15.75" customHeight="1">
      <c r="A948" s="503"/>
      <c r="B948" s="503"/>
      <c r="C948" s="503"/>
      <c r="D948" s="503"/>
      <c r="E948" s="503"/>
      <c r="F948" s="503"/>
      <c r="G948" s="503"/>
      <c r="H948" s="503"/>
      <c r="I948" s="503"/>
      <c r="J948" s="503"/>
      <c r="K948" s="503"/>
      <c r="L948" s="503"/>
      <c r="M948" s="503"/>
      <c r="N948" s="503"/>
      <c r="O948" s="503"/>
      <c r="P948" s="503"/>
      <c r="Q948" s="503"/>
    </row>
    <row r="949" spans="1:17" ht="15.75" customHeight="1">
      <c r="A949" s="503"/>
      <c r="B949" s="503"/>
      <c r="C949" s="503"/>
      <c r="D949" s="503"/>
      <c r="E949" s="503"/>
      <c r="F949" s="503"/>
      <c r="G949" s="503"/>
      <c r="H949" s="503"/>
      <c r="I949" s="503"/>
      <c r="J949" s="503"/>
      <c r="K949" s="503"/>
      <c r="L949" s="503"/>
      <c r="M949" s="503"/>
      <c r="N949" s="503"/>
      <c r="O949" s="503"/>
      <c r="P949" s="503"/>
      <c r="Q949" s="503"/>
    </row>
    <row r="950" spans="1:17" ht="15.75" customHeight="1">
      <c r="A950" s="503"/>
      <c r="B950" s="503"/>
      <c r="C950" s="503"/>
      <c r="D950" s="503"/>
      <c r="E950" s="503"/>
      <c r="F950" s="503"/>
      <c r="G950" s="503"/>
      <c r="H950" s="503"/>
      <c r="I950" s="503"/>
      <c r="J950" s="503"/>
      <c r="K950" s="503"/>
      <c r="L950" s="503"/>
      <c r="M950" s="503"/>
      <c r="N950" s="503"/>
      <c r="O950" s="503"/>
      <c r="P950" s="503"/>
      <c r="Q950" s="503"/>
    </row>
    <row r="951" spans="1:17" ht="15.75" customHeight="1">
      <c r="A951" s="503"/>
      <c r="B951" s="503"/>
      <c r="C951" s="503"/>
      <c r="D951" s="503"/>
      <c r="E951" s="503"/>
      <c r="F951" s="503"/>
      <c r="G951" s="503"/>
      <c r="H951" s="503"/>
      <c r="I951" s="503"/>
      <c r="J951" s="503"/>
      <c r="K951" s="503"/>
      <c r="L951" s="503"/>
      <c r="M951" s="503"/>
      <c r="N951" s="503"/>
      <c r="O951" s="503"/>
      <c r="P951" s="503"/>
      <c r="Q951" s="503"/>
    </row>
    <row r="952" spans="1:17" ht="15.75" customHeight="1">
      <c r="A952" s="503"/>
      <c r="B952" s="503"/>
      <c r="C952" s="503"/>
      <c r="D952" s="503"/>
      <c r="E952" s="503"/>
      <c r="F952" s="503"/>
      <c r="G952" s="503"/>
      <c r="H952" s="503"/>
      <c r="I952" s="503"/>
      <c r="J952" s="503"/>
      <c r="K952" s="503"/>
      <c r="L952" s="503"/>
      <c r="M952" s="503"/>
      <c r="N952" s="503"/>
      <c r="O952" s="503"/>
      <c r="P952" s="503"/>
      <c r="Q952" s="503"/>
    </row>
    <row r="953" spans="1:17" ht="15.75" customHeight="1">
      <c r="A953" s="503"/>
      <c r="B953" s="503"/>
      <c r="C953" s="503"/>
      <c r="D953" s="503"/>
      <c r="E953" s="503"/>
      <c r="F953" s="503"/>
      <c r="G953" s="503"/>
      <c r="H953" s="503"/>
      <c r="I953" s="503"/>
      <c r="J953" s="503"/>
      <c r="K953" s="503"/>
      <c r="L953" s="503"/>
      <c r="M953" s="503"/>
      <c r="N953" s="503"/>
      <c r="O953" s="503"/>
      <c r="P953" s="503"/>
      <c r="Q953" s="503"/>
    </row>
    <row r="954" spans="1:17" ht="15.75" customHeight="1">
      <c r="A954" s="503"/>
      <c r="B954" s="503"/>
      <c r="C954" s="503"/>
      <c r="D954" s="503"/>
      <c r="E954" s="503"/>
      <c r="F954" s="503"/>
      <c r="G954" s="503"/>
      <c r="H954" s="503"/>
      <c r="I954" s="503"/>
      <c r="J954" s="503"/>
      <c r="K954" s="503"/>
      <c r="L954" s="503"/>
      <c r="M954" s="503"/>
      <c r="N954" s="503"/>
      <c r="O954" s="503"/>
      <c r="P954" s="503"/>
      <c r="Q954" s="503"/>
    </row>
    <row r="955" spans="1:17" ht="15.75" customHeight="1">
      <c r="A955" s="503"/>
      <c r="B955" s="503"/>
      <c r="C955" s="503"/>
      <c r="D955" s="503"/>
      <c r="E955" s="503"/>
      <c r="F955" s="503"/>
      <c r="G955" s="503"/>
      <c r="H955" s="503"/>
      <c r="I955" s="503"/>
      <c r="J955" s="503"/>
      <c r="K955" s="503"/>
      <c r="L955" s="503"/>
      <c r="M955" s="503"/>
      <c r="N955" s="503"/>
      <c r="O955" s="503"/>
      <c r="P955" s="503"/>
      <c r="Q955" s="503"/>
    </row>
    <row r="956" spans="1:17" ht="15.75" customHeight="1">
      <c r="A956" s="503"/>
      <c r="B956" s="503"/>
      <c r="C956" s="503"/>
      <c r="D956" s="503"/>
      <c r="E956" s="503"/>
      <c r="F956" s="503"/>
      <c r="G956" s="503"/>
      <c r="H956" s="503"/>
      <c r="I956" s="503"/>
      <c r="J956" s="503"/>
      <c r="K956" s="503"/>
      <c r="L956" s="503"/>
      <c r="M956" s="503"/>
      <c r="N956" s="503"/>
      <c r="O956" s="503"/>
      <c r="P956" s="503"/>
      <c r="Q956" s="503"/>
    </row>
    <row r="957" spans="1:17" ht="15.75" customHeight="1">
      <c r="A957" s="503"/>
      <c r="B957" s="503"/>
      <c r="C957" s="503"/>
      <c r="D957" s="503"/>
      <c r="E957" s="503"/>
      <c r="F957" s="503"/>
      <c r="G957" s="503"/>
      <c r="H957" s="503"/>
      <c r="I957" s="503"/>
      <c r="J957" s="503"/>
      <c r="K957" s="503"/>
      <c r="L957" s="503"/>
      <c r="M957" s="503"/>
      <c r="N957" s="503"/>
      <c r="O957" s="503"/>
      <c r="P957" s="503"/>
      <c r="Q957" s="503"/>
    </row>
    <row r="958" spans="1:17" ht="15.75" customHeight="1">
      <c r="A958" s="503"/>
      <c r="B958" s="503"/>
      <c r="C958" s="503"/>
      <c r="D958" s="503"/>
      <c r="E958" s="503"/>
      <c r="F958" s="503"/>
      <c r="G958" s="503"/>
      <c r="H958" s="503"/>
      <c r="I958" s="503"/>
      <c r="J958" s="503"/>
      <c r="K958" s="503"/>
      <c r="L958" s="503"/>
      <c r="M958" s="503"/>
      <c r="N958" s="503"/>
      <c r="O958" s="503"/>
      <c r="P958" s="503"/>
      <c r="Q958" s="503"/>
    </row>
    <row r="959" spans="1:17" ht="15.75" customHeight="1">
      <c r="A959" s="503"/>
      <c r="B959" s="503"/>
      <c r="C959" s="503"/>
      <c r="D959" s="503"/>
      <c r="E959" s="503"/>
      <c r="F959" s="503"/>
      <c r="G959" s="503"/>
      <c r="H959" s="503"/>
      <c r="I959" s="503"/>
      <c r="J959" s="503"/>
      <c r="K959" s="503"/>
      <c r="L959" s="503"/>
      <c r="M959" s="503"/>
      <c r="N959" s="503"/>
      <c r="O959" s="503"/>
      <c r="P959" s="503"/>
      <c r="Q959" s="503"/>
    </row>
    <row r="960" spans="1:17" ht="15.75" customHeight="1">
      <c r="A960" s="503"/>
      <c r="B960" s="503"/>
      <c r="C960" s="503"/>
      <c r="D960" s="503"/>
      <c r="E960" s="503"/>
      <c r="F960" s="503"/>
      <c r="G960" s="503"/>
      <c r="H960" s="503"/>
      <c r="I960" s="503"/>
      <c r="J960" s="503"/>
      <c r="K960" s="503"/>
      <c r="L960" s="503"/>
      <c r="M960" s="503"/>
      <c r="N960" s="503"/>
      <c r="O960" s="503"/>
      <c r="P960" s="503"/>
      <c r="Q960" s="503"/>
    </row>
    <row r="961" spans="1:17" ht="15.75" customHeight="1">
      <c r="A961" s="503"/>
      <c r="B961" s="503"/>
      <c r="C961" s="503"/>
      <c r="D961" s="503"/>
      <c r="E961" s="503"/>
      <c r="F961" s="503"/>
      <c r="G961" s="503"/>
      <c r="H961" s="503"/>
      <c r="I961" s="503"/>
      <c r="J961" s="503"/>
      <c r="K961" s="503"/>
      <c r="L961" s="503"/>
      <c r="M961" s="503"/>
      <c r="N961" s="503"/>
      <c r="O961" s="503"/>
      <c r="P961" s="503"/>
      <c r="Q961" s="503"/>
    </row>
    <row r="962" spans="1:17" ht="15.75" customHeight="1">
      <c r="A962" s="503"/>
      <c r="B962" s="503"/>
      <c r="C962" s="503"/>
      <c r="D962" s="503"/>
      <c r="E962" s="503"/>
      <c r="F962" s="503"/>
      <c r="G962" s="503"/>
      <c r="H962" s="503"/>
      <c r="I962" s="503"/>
      <c r="J962" s="503"/>
      <c r="K962" s="503"/>
      <c r="L962" s="503"/>
      <c r="M962" s="503"/>
      <c r="N962" s="503"/>
      <c r="O962" s="503"/>
      <c r="P962" s="503"/>
      <c r="Q962" s="503"/>
    </row>
    <row r="963" spans="1:17" ht="15.75" customHeight="1">
      <c r="A963" s="503"/>
      <c r="B963" s="503"/>
      <c r="C963" s="503"/>
      <c r="D963" s="503"/>
      <c r="E963" s="503"/>
      <c r="F963" s="503"/>
      <c r="G963" s="503"/>
      <c r="H963" s="503"/>
      <c r="I963" s="503"/>
      <c r="J963" s="503"/>
      <c r="K963" s="503"/>
      <c r="L963" s="503"/>
      <c r="M963" s="503"/>
      <c r="N963" s="503"/>
      <c r="O963" s="503"/>
      <c r="P963" s="503"/>
      <c r="Q963" s="503"/>
    </row>
    <row r="964" spans="1:17" ht="15.75" customHeight="1">
      <c r="A964" s="503"/>
      <c r="B964" s="503"/>
      <c r="C964" s="503"/>
      <c r="D964" s="503"/>
      <c r="E964" s="503"/>
      <c r="F964" s="503"/>
      <c r="G964" s="503"/>
      <c r="H964" s="503"/>
      <c r="I964" s="503"/>
      <c r="J964" s="503"/>
      <c r="K964" s="503"/>
      <c r="L964" s="503"/>
      <c r="M964" s="503"/>
      <c r="N964" s="503"/>
      <c r="O964" s="503"/>
      <c r="P964" s="503"/>
      <c r="Q964" s="503"/>
    </row>
    <row r="965" spans="1:17" ht="15.75" customHeight="1">
      <c r="A965" s="503"/>
      <c r="B965" s="503"/>
      <c r="C965" s="503"/>
      <c r="D965" s="503"/>
      <c r="E965" s="503"/>
      <c r="F965" s="503"/>
      <c r="G965" s="503"/>
      <c r="H965" s="503"/>
      <c r="I965" s="503"/>
      <c r="J965" s="503"/>
      <c r="K965" s="503"/>
      <c r="L965" s="503"/>
      <c r="M965" s="503"/>
      <c r="N965" s="503"/>
      <c r="O965" s="503"/>
      <c r="P965" s="503"/>
      <c r="Q965" s="503"/>
    </row>
    <row r="966" spans="1:17" ht="15.75" customHeight="1">
      <c r="A966" s="503"/>
      <c r="B966" s="503"/>
      <c r="C966" s="503"/>
      <c r="D966" s="503"/>
      <c r="E966" s="503"/>
      <c r="F966" s="503"/>
      <c r="G966" s="503"/>
      <c r="H966" s="503"/>
      <c r="I966" s="503"/>
      <c r="J966" s="503"/>
      <c r="K966" s="503"/>
      <c r="L966" s="503"/>
      <c r="M966" s="503"/>
      <c r="N966" s="503"/>
      <c r="O966" s="503"/>
      <c r="P966" s="503"/>
      <c r="Q966" s="503"/>
    </row>
    <row r="967" spans="1:17" ht="15.75" customHeight="1">
      <c r="A967" s="503"/>
      <c r="B967" s="503"/>
      <c r="C967" s="503"/>
      <c r="D967" s="503"/>
      <c r="E967" s="503"/>
      <c r="F967" s="503"/>
      <c r="G967" s="503"/>
      <c r="H967" s="503"/>
      <c r="I967" s="503"/>
      <c r="J967" s="503"/>
      <c r="K967" s="503"/>
      <c r="L967" s="503"/>
      <c r="M967" s="503"/>
      <c r="N967" s="503"/>
      <c r="O967" s="503"/>
      <c r="P967" s="503"/>
      <c r="Q967" s="503"/>
    </row>
    <row r="968" spans="1:17" ht="15.75" customHeight="1">
      <c r="A968" s="503"/>
      <c r="B968" s="503"/>
      <c r="C968" s="503"/>
      <c r="D968" s="503"/>
      <c r="E968" s="503"/>
      <c r="F968" s="503"/>
      <c r="G968" s="503"/>
      <c r="H968" s="503"/>
      <c r="I968" s="503"/>
      <c r="J968" s="503"/>
      <c r="K968" s="503"/>
      <c r="L968" s="503"/>
      <c r="M968" s="503"/>
      <c r="N968" s="503"/>
      <c r="O968" s="503"/>
      <c r="P968" s="503"/>
      <c r="Q968" s="503"/>
    </row>
    <row r="969" spans="1:17" ht="15.75" customHeight="1">
      <c r="A969" s="503"/>
      <c r="B969" s="503"/>
      <c r="C969" s="503"/>
      <c r="D969" s="503"/>
      <c r="E969" s="503"/>
      <c r="F969" s="503"/>
      <c r="G969" s="503"/>
      <c r="H969" s="503"/>
      <c r="I969" s="503"/>
      <c r="J969" s="503"/>
      <c r="K969" s="503"/>
      <c r="L969" s="503"/>
      <c r="M969" s="503"/>
      <c r="N969" s="503"/>
      <c r="O969" s="503"/>
      <c r="P969" s="503"/>
      <c r="Q969" s="503"/>
    </row>
    <row r="970" spans="1:17" ht="15.75" customHeight="1">
      <c r="A970" s="503"/>
      <c r="B970" s="503"/>
      <c r="C970" s="503"/>
      <c r="D970" s="503"/>
      <c r="E970" s="503"/>
      <c r="F970" s="503"/>
      <c r="G970" s="503"/>
      <c r="H970" s="503"/>
      <c r="I970" s="503"/>
      <c r="J970" s="503"/>
      <c r="K970" s="503"/>
      <c r="L970" s="503"/>
      <c r="M970" s="503"/>
      <c r="N970" s="503"/>
      <c r="O970" s="503"/>
      <c r="P970" s="503"/>
      <c r="Q970" s="503"/>
    </row>
    <row r="971" spans="1:17" ht="15.75" customHeight="1">
      <c r="A971" s="503"/>
      <c r="B971" s="503"/>
      <c r="C971" s="503"/>
      <c r="D971" s="503"/>
      <c r="E971" s="503"/>
      <c r="F971" s="503"/>
      <c r="G971" s="503"/>
      <c r="H971" s="503"/>
      <c r="I971" s="503"/>
      <c r="J971" s="503"/>
      <c r="K971" s="503"/>
      <c r="L971" s="503"/>
      <c r="M971" s="503"/>
      <c r="N971" s="503"/>
      <c r="O971" s="503"/>
      <c r="P971" s="503"/>
      <c r="Q971" s="503"/>
    </row>
    <row r="972" spans="1:17" ht="15.75" customHeight="1">
      <c r="A972" s="503"/>
      <c r="B972" s="503"/>
      <c r="C972" s="503"/>
      <c r="D972" s="503"/>
      <c r="E972" s="503"/>
      <c r="F972" s="503"/>
      <c r="G972" s="503"/>
      <c r="H972" s="503"/>
      <c r="I972" s="503"/>
      <c r="J972" s="503"/>
      <c r="K972" s="503"/>
      <c r="L972" s="503"/>
      <c r="M972" s="503"/>
      <c r="N972" s="503"/>
      <c r="O972" s="503"/>
      <c r="P972" s="503"/>
      <c r="Q972" s="503"/>
    </row>
    <row r="973" spans="1:17" ht="15.75" customHeight="1">
      <c r="A973" s="503"/>
      <c r="B973" s="503"/>
      <c r="C973" s="503"/>
      <c r="D973" s="503"/>
      <c r="E973" s="503"/>
      <c r="F973" s="503"/>
      <c r="G973" s="503"/>
      <c r="H973" s="503"/>
      <c r="I973" s="503"/>
      <c r="J973" s="503"/>
      <c r="K973" s="503"/>
      <c r="L973" s="503"/>
      <c r="M973" s="503"/>
      <c r="N973" s="503"/>
      <c r="O973" s="503"/>
      <c r="P973" s="503"/>
      <c r="Q973" s="503"/>
    </row>
    <row r="974" spans="1:17" ht="15.75" customHeight="1">
      <c r="A974" s="503"/>
      <c r="B974" s="503"/>
      <c r="C974" s="503"/>
      <c r="D974" s="503"/>
      <c r="E974" s="503"/>
      <c r="F974" s="503"/>
      <c r="G974" s="503"/>
      <c r="H974" s="503"/>
      <c r="I974" s="503"/>
      <c r="J974" s="503"/>
      <c r="K974" s="503"/>
      <c r="L974" s="503"/>
      <c r="M974" s="503"/>
      <c r="N974" s="503"/>
      <c r="O974" s="503"/>
      <c r="P974" s="503"/>
      <c r="Q974" s="503"/>
    </row>
    <row r="975" spans="1:17" ht="15.75" customHeight="1">
      <c r="A975" s="503"/>
      <c r="B975" s="503"/>
      <c r="C975" s="503"/>
      <c r="D975" s="503"/>
      <c r="E975" s="503"/>
      <c r="F975" s="503"/>
      <c r="G975" s="503"/>
      <c r="H975" s="503"/>
      <c r="I975" s="503"/>
      <c r="J975" s="503"/>
      <c r="K975" s="503"/>
      <c r="L975" s="503"/>
      <c r="M975" s="503"/>
      <c r="N975" s="503"/>
      <c r="O975" s="503"/>
      <c r="P975" s="503"/>
      <c r="Q975" s="503"/>
    </row>
    <row r="976" spans="1:17" ht="15.75" customHeight="1">
      <c r="A976" s="503"/>
      <c r="B976" s="503"/>
      <c r="C976" s="503"/>
      <c r="D976" s="503"/>
      <c r="E976" s="503"/>
      <c r="F976" s="503"/>
      <c r="G976" s="503"/>
      <c r="H976" s="503"/>
      <c r="I976" s="503"/>
      <c r="J976" s="503"/>
      <c r="K976" s="503"/>
      <c r="L976" s="503"/>
      <c r="M976" s="503"/>
      <c r="N976" s="503"/>
      <c r="O976" s="503"/>
      <c r="P976" s="503"/>
      <c r="Q976" s="503"/>
    </row>
    <row r="977" spans="1:17" ht="15.75" customHeight="1">
      <c r="A977" s="503"/>
      <c r="B977" s="503"/>
      <c r="C977" s="503"/>
      <c r="D977" s="503"/>
      <c r="E977" s="503"/>
      <c r="F977" s="503"/>
      <c r="G977" s="503"/>
      <c r="H977" s="503"/>
      <c r="I977" s="503"/>
      <c r="J977" s="503"/>
      <c r="K977" s="503"/>
      <c r="L977" s="503"/>
      <c r="M977" s="503"/>
      <c r="N977" s="503"/>
      <c r="O977" s="503"/>
      <c r="P977" s="503"/>
      <c r="Q977" s="503"/>
    </row>
    <row r="978" spans="1:17" ht="15.75" customHeight="1">
      <c r="A978" s="503"/>
      <c r="B978" s="503"/>
      <c r="C978" s="503"/>
      <c r="D978" s="503"/>
      <c r="E978" s="503"/>
      <c r="F978" s="503"/>
      <c r="G978" s="503"/>
      <c r="H978" s="503"/>
      <c r="I978" s="503"/>
      <c r="J978" s="503"/>
      <c r="K978" s="503"/>
      <c r="L978" s="503"/>
      <c r="M978" s="503"/>
      <c r="N978" s="503"/>
      <c r="O978" s="503"/>
      <c r="P978" s="503"/>
      <c r="Q978" s="503"/>
    </row>
    <row r="979" spans="1:17" ht="15.75" customHeight="1">
      <c r="A979" s="503"/>
      <c r="B979" s="503"/>
      <c r="C979" s="503"/>
      <c r="D979" s="503"/>
      <c r="E979" s="503"/>
      <c r="F979" s="503"/>
      <c r="G979" s="503"/>
      <c r="H979" s="503"/>
      <c r="I979" s="503"/>
      <c r="J979" s="503"/>
      <c r="K979" s="503"/>
      <c r="L979" s="503"/>
      <c r="M979" s="503"/>
      <c r="N979" s="503"/>
      <c r="O979" s="503"/>
      <c r="P979" s="503"/>
      <c r="Q979" s="503"/>
    </row>
    <row r="980" spans="1:17" ht="15.75" customHeight="1">
      <c r="A980" s="503"/>
      <c r="B980" s="503"/>
      <c r="C980" s="503"/>
      <c r="D980" s="503"/>
      <c r="E980" s="503"/>
      <c r="F980" s="503"/>
      <c r="G980" s="503"/>
      <c r="H980" s="503"/>
      <c r="I980" s="503"/>
      <c r="J980" s="503"/>
      <c r="K980" s="503"/>
      <c r="L980" s="503"/>
      <c r="M980" s="503"/>
      <c r="N980" s="503"/>
      <c r="O980" s="503"/>
      <c r="P980" s="503"/>
      <c r="Q980" s="503"/>
    </row>
    <row r="981" spans="1:17" ht="15.75" customHeight="1">
      <c r="A981" s="503"/>
      <c r="B981" s="503"/>
      <c r="C981" s="503"/>
      <c r="D981" s="503"/>
      <c r="E981" s="503"/>
      <c r="F981" s="503"/>
      <c r="G981" s="503"/>
      <c r="H981" s="503"/>
      <c r="I981" s="503"/>
      <c r="J981" s="503"/>
      <c r="K981" s="503"/>
      <c r="L981" s="503"/>
      <c r="M981" s="503"/>
      <c r="N981" s="503"/>
      <c r="O981" s="503"/>
      <c r="P981" s="503"/>
      <c r="Q981" s="503"/>
    </row>
    <row r="982" spans="1:17" ht="15.75" customHeight="1">
      <c r="A982" s="503"/>
      <c r="B982" s="503"/>
      <c r="C982" s="503"/>
      <c r="D982" s="503"/>
      <c r="E982" s="503"/>
      <c r="F982" s="503"/>
      <c r="G982" s="503"/>
      <c r="H982" s="503"/>
      <c r="I982" s="503"/>
      <c r="J982" s="503"/>
      <c r="K982" s="503"/>
      <c r="L982" s="503"/>
      <c r="M982" s="503"/>
      <c r="N982" s="503"/>
      <c r="O982" s="503"/>
      <c r="P982" s="503"/>
      <c r="Q982" s="503"/>
    </row>
    <row r="983" spans="1:17" ht="15.75" customHeight="1">
      <c r="A983" s="503"/>
      <c r="B983" s="503"/>
      <c r="C983" s="503"/>
      <c r="D983" s="503"/>
      <c r="E983" s="503"/>
      <c r="F983" s="503"/>
      <c r="G983" s="503"/>
      <c r="H983" s="503"/>
      <c r="I983" s="503"/>
      <c r="J983" s="503"/>
      <c r="K983" s="503"/>
      <c r="L983" s="503"/>
      <c r="M983" s="503"/>
      <c r="N983" s="503"/>
      <c r="O983" s="503"/>
      <c r="P983" s="503"/>
      <c r="Q983" s="503"/>
    </row>
    <row r="984" spans="1:17" ht="15.75" customHeight="1">
      <c r="A984" s="503"/>
      <c r="B984" s="503"/>
      <c r="C984" s="503"/>
      <c r="D984" s="503"/>
      <c r="E984" s="503"/>
      <c r="F984" s="503"/>
      <c r="G984" s="503"/>
      <c r="H984" s="503"/>
      <c r="I984" s="503"/>
      <c r="J984" s="503"/>
      <c r="K984" s="503"/>
      <c r="L984" s="503"/>
      <c r="M984" s="503"/>
      <c r="N984" s="503"/>
      <c r="O984" s="503"/>
      <c r="P984" s="503"/>
      <c r="Q984" s="503"/>
    </row>
    <row r="985" spans="1:17" ht="15.75" customHeight="1">
      <c r="A985" s="503"/>
      <c r="B985" s="503"/>
      <c r="C985" s="503"/>
      <c r="D985" s="503"/>
      <c r="E985" s="503"/>
      <c r="F985" s="503"/>
      <c r="G985" s="503"/>
      <c r="H985" s="503"/>
      <c r="I985" s="503"/>
      <c r="J985" s="503"/>
      <c r="K985" s="503"/>
      <c r="L985" s="503"/>
      <c r="M985" s="503"/>
      <c r="N985" s="503"/>
      <c r="O985" s="503"/>
      <c r="P985" s="503"/>
      <c r="Q985" s="503"/>
    </row>
    <row r="986" spans="1:17" ht="15.75" customHeight="1">
      <c r="A986" s="503"/>
      <c r="B986" s="503"/>
      <c r="C986" s="503"/>
      <c r="D986" s="503"/>
      <c r="E986" s="503"/>
      <c r="F986" s="503"/>
      <c r="G986" s="503"/>
      <c r="H986" s="503"/>
      <c r="I986" s="503"/>
      <c r="J986" s="503"/>
      <c r="K986" s="503"/>
      <c r="L986" s="503"/>
      <c r="M986" s="503"/>
      <c r="N986" s="503"/>
      <c r="O986" s="503"/>
      <c r="P986" s="503"/>
      <c r="Q986" s="503"/>
    </row>
    <row r="987" spans="1:17" ht="15.75" customHeight="1">
      <c r="A987" s="503"/>
      <c r="B987" s="503"/>
      <c r="C987" s="503"/>
      <c r="D987" s="503"/>
      <c r="E987" s="503"/>
      <c r="F987" s="503"/>
      <c r="G987" s="503"/>
      <c r="H987" s="503"/>
      <c r="I987" s="503"/>
      <c r="J987" s="503"/>
      <c r="K987" s="503"/>
      <c r="L987" s="503"/>
      <c r="M987" s="503"/>
      <c r="N987" s="503"/>
      <c r="O987" s="503"/>
      <c r="P987" s="503"/>
      <c r="Q987" s="503"/>
    </row>
    <row r="988" spans="1:17" ht="15.75" customHeight="1">
      <c r="A988" s="503"/>
      <c r="B988" s="503"/>
      <c r="C988" s="503"/>
      <c r="D988" s="503"/>
      <c r="E988" s="503"/>
      <c r="F988" s="503"/>
      <c r="G988" s="503"/>
      <c r="H988" s="503"/>
      <c r="I988" s="503"/>
      <c r="J988" s="503"/>
      <c r="K988" s="503"/>
      <c r="L988" s="503"/>
      <c r="M988" s="503"/>
      <c r="N988" s="503"/>
      <c r="O988" s="503"/>
      <c r="P988" s="503"/>
      <c r="Q988" s="503"/>
    </row>
    <row r="989" spans="1:17" ht="15.75" customHeight="1">
      <c r="A989" s="503"/>
      <c r="B989" s="503"/>
      <c r="C989" s="503"/>
      <c r="D989" s="503"/>
      <c r="E989" s="503"/>
      <c r="F989" s="503"/>
      <c r="G989" s="503"/>
      <c r="H989" s="503"/>
      <c r="I989" s="503"/>
      <c r="J989" s="503"/>
      <c r="K989" s="503"/>
      <c r="L989" s="503"/>
      <c r="M989" s="503"/>
      <c r="N989" s="503"/>
      <c r="O989" s="503"/>
      <c r="P989" s="503"/>
      <c r="Q989" s="503"/>
    </row>
    <row r="990" spans="1:17" ht="15.75" customHeight="1">
      <c r="A990" s="503"/>
      <c r="B990" s="503"/>
      <c r="C990" s="503"/>
      <c r="D990" s="503"/>
      <c r="E990" s="503"/>
      <c r="F990" s="503"/>
      <c r="G990" s="503"/>
      <c r="H990" s="503"/>
      <c r="I990" s="503"/>
      <c r="J990" s="503"/>
      <c r="K990" s="503"/>
      <c r="L990" s="503"/>
      <c r="M990" s="503"/>
      <c r="N990" s="503"/>
      <c r="O990" s="503"/>
      <c r="P990" s="503"/>
      <c r="Q990" s="503"/>
    </row>
    <row r="991" spans="1:17" ht="15.75" customHeight="1">
      <c r="A991" s="503"/>
      <c r="B991" s="503"/>
      <c r="C991" s="503"/>
      <c r="D991" s="503"/>
      <c r="E991" s="503"/>
      <c r="F991" s="503"/>
      <c r="G991" s="503"/>
      <c r="H991" s="503"/>
      <c r="I991" s="503"/>
      <c r="J991" s="503"/>
      <c r="K991" s="503"/>
      <c r="L991" s="503"/>
      <c r="M991" s="503"/>
      <c r="N991" s="503"/>
      <c r="O991" s="503"/>
      <c r="P991" s="503"/>
      <c r="Q991" s="503"/>
    </row>
    <row r="992" spans="1:17" ht="15.75" customHeight="1">
      <c r="A992" s="503"/>
      <c r="B992" s="503"/>
      <c r="C992" s="503"/>
      <c r="D992" s="503"/>
      <c r="E992" s="503"/>
      <c r="F992" s="503"/>
      <c r="G992" s="503"/>
      <c r="H992" s="503"/>
      <c r="I992" s="503"/>
      <c r="J992" s="503"/>
      <c r="K992" s="503"/>
      <c r="L992" s="503"/>
      <c r="M992" s="503"/>
      <c r="N992" s="503"/>
      <c r="O992" s="503"/>
      <c r="P992" s="503"/>
      <c r="Q992" s="503"/>
    </row>
    <row r="993" spans="1:17" ht="15.75" customHeight="1">
      <c r="A993" s="503"/>
      <c r="B993" s="503"/>
      <c r="C993" s="503"/>
      <c r="D993" s="503"/>
      <c r="E993" s="503"/>
      <c r="F993" s="503"/>
      <c r="G993" s="503"/>
      <c r="H993" s="503"/>
      <c r="I993" s="503"/>
      <c r="J993" s="503"/>
      <c r="K993" s="503"/>
      <c r="L993" s="503"/>
      <c r="M993" s="503"/>
      <c r="N993" s="503"/>
      <c r="O993" s="503"/>
      <c r="P993" s="503"/>
      <c r="Q993" s="503"/>
    </row>
    <row r="994" spans="1:17" ht="15.75" customHeight="1">
      <c r="A994" s="503"/>
      <c r="B994" s="503"/>
      <c r="C994" s="503"/>
      <c r="D994" s="503"/>
      <c r="E994" s="503"/>
      <c r="F994" s="503"/>
      <c r="G994" s="503"/>
      <c r="H994" s="503"/>
      <c r="I994" s="503"/>
      <c r="J994" s="503"/>
      <c r="K994" s="503"/>
      <c r="L994" s="503"/>
      <c r="M994" s="503"/>
      <c r="N994" s="503"/>
      <c r="O994" s="503"/>
      <c r="P994" s="503"/>
      <c r="Q994" s="503"/>
    </row>
    <row r="995" spans="1:17" ht="15.75" customHeight="1">
      <c r="A995" s="503"/>
      <c r="B995" s="503"/>
      <c r="C995" s="503"/>
      <c r="D995" s="503"/>
      <c r="E995" s="503"/>
      <c r="F995" s="503"/>
      <c r="G995" s="503"/>
      <c r="H995" s="503"/>
      <c r="I995" s="503"/>
      <c r="J995" s="503"/>
      <c r="K995" s="503"/>
      <c r="L995" s="503"/>
      <c r="M995" s="503"/>
      <c r="N995" s="503"/>
      <c r="O995" s="503"/>
      <c r="P995" s="503"/>
      <c r="Q995" s="503"/>
    </row>
    <row r="996" spans="1:17" ht="15.75" customHeight="1">
      <c r="A996" s="503"/>
      <c r="B996" s="503"/>
      <c r="C996" s="503"/>
      <c r="D996" s="503"/>
      <c r="E996" s="503"/>
      <c r="F996" s="503"/>
      <c r="G996" s="503"/>
      <c r="H996" s="503"/>
      <c r="I996" s="503"/>
      <c r="J996" s="503"/>
      <c r="K996" s="503"/>
      <c r="L996" s="503"/>
      <c r="M996" s="503"/>
      <c r="N996" s="503"/>
      <c r="O996" s="503"/>
      <c r="P996" s="503"/>
      <c r="Q996" s="503"/>
    </row>
    <row r="997" spans="1:17" ht="15.75" customHeight="1">
      <c r="A997" s="503"/>
      <c r="B997" s="503"/>
      <c r="C997" s="503"/>
      <c r="D997" s="503"/>
      <c r="E997" s="503"/>
      <c r="F997" s="503"/>
      <c r="G997" s="503"/>
      <c r="H997" s="503"/>
      <c r="I997" s="503"/>
      <c r="J997" s="503"/>
      <c r="K997" s="503"/>
      <c r="L997" s="503"/>
      <c r="M997" s="503"/>
      <c r="N997" s="503"/>
      <c r="O997" s="503"/>
      <c r="P997" s="503"/>
      <c r="Q997" s="503"/>
    </row>
    <row r="998" spans="1:17" ht="15.75" customHeight="1">
      <c r="A998" s="503"/>
      <c r="B998" s="503"/>
      <c r="C998" s="503"/>
      <c r="D998" s="503"/>
      <c r="E998" s="503"/>
      <c r="F998" s="503"/>
      <c r="G998" s="503"/>
      <c r="H998" s="503"/>
      <c r="I998" s="503"/>
      <c r="J998" s="503"/>
      <c r="K998" s="503"/>
      <c r="L998" s="503"/>
      <c r="M998" s="503"/>
      <c r="N998" s="503"/>
      <c r="O998" s="503"/>
      <c r="P998" s="503"/>
      <c r="Q998" s="503"/>
    </row>
    <row r="999" spans="1:17" ht="15.75" customHeight="1">
      <c r="A999" s="503"/>
      <c r="B999" s="503"/>
      <c r="C999" s="503"/>
      <c r="D999" s="503"/>
      <c r="E999" s="503"/>
      <c r="F999" s="503"/>
      <c r="G999" s="503"/>
      <c r="H999" s="503"/>
      <c r="I999" s="503"/>
      <c r="J999" s="503"/>
      <c r="K999" s="503"/>
      <c r="L999" s="503"/>
      <c r="M999" s="503"/>
      <c r="N999" s="503"/>
      <c r="O999" s="503"/>
      <c r="P999" s="503"/>
      <c r="Q999" s="503"/>
    </row>
    <row r="1000" spans="1:17" ht="15.75" customHeight="1">
      <c r="A1000" s="503"/>
      <c r="B1000" s="503"/>
      <c r="C1000" s="503"/>
      <c r="D1000" s="503"/>
      <c r="E1000" s="503"/>
      <c r="F1000" s="503"/>
      <c r="G1000" s="503"/>
      <c r="H1000" s="503"/>
      <c r="I1000" s="503"/>
      <c r="J1000" s="503"/>
      <c r="K1000" s="503"/>
      <c r="L1000" s="503"/>
      <c r="M1000" s="503"/>
      <c r="N1000" s="503"/>
      <c r="O1000" s="503"/>
      <c r="P1000" s="503"/>
      <c r="Q1000" s="503"/>
    </row>
    <row r="1001" spans="1:17" ht="15.75" customHeight="1">
      <c r="A1001" s="503"/>
      <c r="B1001" s="503"/>
      <c r="C1001" s="503"/>
      <c r="D1001" s="503"/>
      <c r="E1001" s="503"/>
      <c r="F1001" s="503"/>
      <c r="G1001" s="503"/>
      <c r="H1001" s="503"/>
      <c r="I1001" s="503"/>
      <c r="J1001" s="503"/>
      <c r="K1001" s="503"/>
      <c r="L1001" s="503"/>
      <c r="M1001" s="503"/>
      <c r="N1001" s="503"/>
      <c r="O1001" s="503"/>
      <c r="P1001" s="503"/>
      <c r="Q1001" s="503"/>
    </row>
    <row r="1002" spans="1:17" ht="15.75" customHeight="1">
      <c r="A1002" s="503"/>
      <c r="B1002" s="503"/>
      <c r="C1002" s="503"/>
      <c r="D1002" s="503"/>
      <c r="E1002" s="503"/>
      <c r="F1002" s="503"/>
      <c r="G1002" s="503"/>
      <c r="H1002" s="503"/>
      <c r="I1002" s="503"/>
      <c r="J1002" s="503"/>
      <c r="K1002" s="503"/>
      <c r="L1002" s="503"/>
      <c r="M1002" s="503"/>
      <c r="N1002" s="503"/>
      <c r="O1002" s="503"/>
      <c r="P1002" s="503"/>
      <c r="Q1002" s="503"/>
    </row>
    <row r="1003" spans="1:17" ht="15.75" customHeight="1">
      <c r="A1003" s="503"/>
      <c r="B1003" s="503"/>
      <c r="C1003" s="503"/>
      <c r="D1003" s="503"/>
      <c r="E1003" s="503"/>
      <c r="F1003" s="503"/>
      <c r="G1003" s="503"/>
      <c r="H1003" s="503"/>
      <c r="I1003" s="503"/>
      <c r="J1003" s="503"/>
      <c r="K1003" s="503"/>
      <c r="L1003" s="503"/>
      <c r="M1003" s="503"/>
      <c r="N1003" s="503"/>
      <c r="O1003" s="503"/>
      <c r="P1003" s="503"/>
      <c r="Q1003" s="503"/>
    </row>
    <row r="1004" spans="1:17" ht="15.75" customHeight="1">
      <c r="A1004" s="503"/>
      <c r="B1004" s="503"/>
      <c r="C1004" s="503"/>
      <c r="D1004" s="503"/>
      <c r="E1004" s="503"/>
      <c r="F1004" s="503"/>
      <c r="G1004" s="503"/>
      <c r="H1004" s="503"/>
      <c r="I1004" s="503"/>
      <c r="J1004" s="503"/>
      <c r="K1004" s="503"/>
      <c r="L1004" s="503"/>
      <c r="M1004" s="503"/>
      <c r="N1004" s="503"/>
      <c r="O1004" s="503"/>
      <c r="P1004" s="503"/>
      <c r="Q1004" s="503"/>
    </row>
    <row r="1005" spans="1:17" ht="15.75" customHeight="1">
      <c r="A1005" s="503"/>
      <c r="B1005" s="503"/>
      <c r="C1005" s="503"/>
      <c r="D1005" s="503"/>
      <c r="E1005" s="503"/>
      <c r="F1005" s="503"/>
      <c r="G1005" s="503"/>
      <c r="H1005" s="503"/>
      <c r="I1005" s="503"/>
      <c r="J1005" s="503"/>
      <c r="K1005" s="503"/>
      <c r="L1005" s="503"/>
      <c r="M1005" s="503"/>
      <c r="N1005" s="503"/>
      <c r="O1005" s="503"/>
      <c r="P1005" s="503"/>
      <c r="Q1005" s="503"/>
    </row>
    <row r="1006" spans="1:17" ht="15.75" customHeight="1">
      <c r="A1006" s="503"/>
      <c r="B1006" s="503"/>
      <c r="C1006" s="503"/>
      <c r="D1006" s="503"/>
      <c r="E1006" s="503"/>
      <c r="F1006" s="503"/>
      <c r="G1006" s="503"/>
      <c r="H1006" s="503"/>
      <c r="I1006" s="503"/>
      <c r="J1006" s="503"/>
      <c r="K1006" s="503"/>
      <c r="L1006" s="503"/>
      <c r="M1006" s="503"/>
      <c r="N1006" s="503"/>
      <c r="O1006" s="503"/>
      <c r="P1006" s="503"/>
      <c r="Q1006" s="503"/>
    </row>
    <row r="1007" spans="1:17" ht="15.75" customHeight="1">
      <c r="A1007" s="503"/>
      <c r="B1007" s="503"/>
      <c r="C1007" s="503"/>
      <c r="D1007" s="503"/>
      <c r="E1007" s="503"/>
      <c r="F1007" s="503"/>
      <c r="G1007" s="503"/>
      <c r="H1007" s="503"/>
      <c r="I1007" s="503"/>
      <c r="J1007" s="503"/>
      <c r="K1007" s="503"/>
      <c r="L1007" s="503"/>
      <c r="M1007" s="503"/>
      <c r="N1007" s="503"/>
      <c r="O1007" s="503"/>
      <c r="P1007" s="503"/>
      <c r="Q1007" s="503"/>
    </row>
    <row r="1008" spans="1:17" ht="15.75" customHeight="1">
      <c r="A1008" s="503"/>
      <c r="B1008" s="503"/>
      <c r="C1008" s="503"/>
      <c r="D1008" s="503"/>
      <c r="E1008" s="503"/>
      <c r="F1008" s="503"/>
      <c r="G1008" s="503"/>
      <c r="H1008" s="503"/>
      <c r="I1008" s="503"/>
      <c r="J1008" s="503"/>
      <c r="K1008" s="503"/>
      <c r="L1008" s="503"/>
      <c r="M1008" s="503"/>
      <c r="N1008" s="503"/>
      <c r="O1008" s="503"/>
      <c r="P1008" s="503"/>
      <c r="Q1008" s="503"/>
    </row>
    <row r="1009" spans="1:17" ht="15.75" customHeight="1">
      <c r="A1009" s="503"/>
      <c r="B1009" s="503"/>
      <c r="C1009" s="503"/>
      <c r="D1009" s="503"/>
      <c r="E1009" s="503"/>
      <c r="F1009" s="503"/>
      <c r="G1009" s="503"/>
      <c r="H1009" s="503"/>
      <c r="I1009" s="503"/>
      <c r="J1009" s="503"/>
      <c r="K1009" s="503"/>
      <c r="L1009" s="503"/>
      <c r="M1009" s="503"/>
      <c r="N1009" s="503"/>
      <c r="O1009" s="503"/>
      <c r="P1009" s="503"/>
      <c r="Q1009" s="503"/>
    </row>
    <row r="1010" spans="1:17" ht="15.75" customHeight="1">
      <c r="A1010" s="503"/>
      <c r="B1010" s="503"/>
      <c r="C1010" s="503"/>
      <c r="D1010" s="503"/>
      <c r="E1010" s="503"/>
      <c r="F1010" s="503"/>
      <c r="G1010" s="503"/>
      <c r="H1010" s="503"/>
      <c r="I1010" s="503"/>
      <c r="J1010" s="503"/>
      <c r="K1010" s="503"/>
      <c r="L1010" s="503"/>
      <c r="M1010" s="503"/>
      <c r="N1010" s="503"/>
      <c r="O1010" s="503"/>
      <c r="P1010" s="503"/>
      <c r="Q1010" s="503"/>
    </row>
    <row r="1011" spans="1:17" ht="15.75" customHeight="1">
      <c r="A1011" s="503"/>
      <c r="B1011" s="503"/>
      <c r="C1011" s="503"/>
      <c r="D1011" s="503"/>
      <c r="E1011" s="503"/>
      <c r="F1011" s="503"/>
      <c r="G1011" s="503"/>
      <c r="H1011" s="503"/>
      <c r="I1011" s="503"/>
      <c r="J1011" s="503"/>
      <c r="K1011" s="503"/>
      <c r="L1011" s="503"/>
      <c r="M1011" s="503"/>
      <c r="N1011" s="503"/>
      <c r="O1011" s="503"/>
      <c r="P1011" s="503"/>
      <c r="Q1011" s="503"/>
    </row>
  </sheetData>
  <mergeCells count="5"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4" manualBreakCount="4">
    <brk id="39" max="15" man="1"/>
    <brk id="72" max="16383" man="1"/>
    <brk id="105" max="15" man="1"/>
    <brk id="138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00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53125" defaultRowHeight="15" customHeight="1"/>
  <cols>
    <col min="1" max="1" width="11.453125" customWidth="1"/>
    <col min="2" max="2" width="13" customWidth="1"/>
    <col min="3" max="3" width="7" customWidth="1"/>
    <col min="4" max="5" width="5" customWidth="1"/>
    <col min="6" max="8" width="4.90625" customWidth="1"/>
    <col min="9" max="12" width="4.453125" customWidth="1"/>
    <col min="13" max="13" width="5" customWidth="1"/>
    <col min="14" max="14" width="6.90625" customWidth="1"/>
    <col min="15" max="17" width="8" customWidth="1"/>
  </cols>
  <sheetData>
    <row r="1" spans="1:19" ht="14.25" customHeight="1">
      <c r="A1" s="565" t="s">
        <v>485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566"/>
      <c r="P1" s="566"/>
      <c r="Q1" s="504"/>
      <c r="R1" s="503"/>
      <c r="S1" s="503"/>
    </row>
    <row r="2" spans="1:19" ht="14.25" customHeight="1">
      <c r="A2" s="565" t="s">
        <v>458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04"/>
      <c r="R2" s="503"/>
      <c r="S2" s="503"/>
    </row>
    <row r="3" spans="1:19" ht="11.25" customHeight="1">
      <c r="A3" s="567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04"/>
      <c r="R3" s="503"/>
      <c r="S3" s="503"/>
    </row>
    <row r="4" spans="1:19" ht="11.25" customHeight="1">
      <c r="A4" s="92" t="s">
        <v>459</v>
      </c>
      <c r="B4" s="92" t="s">
        <v>2</v>
      </c>
      <c r="C4" s="92" t="s">
        <v>2</v>
      </c>
      <c r="D4" s="568" t="s">
        <v>3</v>
      </c>
      <c r="E4" s="569"/>
      <c r="F4" s="569"/>
      <c r="G4" s="569"/>
      <c r="H4" s="569"/>
      <c r="I4" s="569"/>
      <c r="J4" s="569"/>
      <c r="K4" s="569"/>
      <c r="L4" s="569"/>
      <c r="M4" s="570"/>
      <c r="N4" s="568" t="s">
        <v>4</v>
      </c>
      <c r="O4" s="569"/>
      <c r="P4" s="570"/>
      <c r="Q4" s="504"/>
      <c r="R4" s="503"/>
      <c r="S4" s="503"/>
    </row>
    <row r="5" spans="1:19" ht="11.25" customHeight="1">
      <c r="A5" s="93"/>
      <c r="B5" s="93" t="s">
        <v>5</v>
      </c>
      <c r="C5" s="93" t="s">
        <v>6</v>
      </c>
      <c r="D5" s="94" t="s">
        <v>7</v>
      </c>
      <c r="E5" s="95" t="s">
        <v>8</v>
      </c>
      <c r="F5" s="95" t="s">
        <v>9</v>
      </c>
      <c r="G5" s="95" t="s">
        <v>10</v>
      </c>
      <c r="H5" s="95" t="s">
        <v>11</v>
      </c>
      <c r="I5" s="95" t="s">
        <v>12</v>
      </c>
      <c r="J5" s="95" t="s">
        <v>13</v>
      </c>
      <c r="K5" s="95" t="s">
        <v>14</v>
      </c>
      <c r="L5" s="95" t="s">
        <v>15</v>
      </c>
      <c r="M5" s="96" t="s">
        <v>16</v>
      </c>
      <c r="N5" s="97" t="s">
        <v>17</v>
      </c>
      <c r="O5" s="98" t="s">
        <v>18</v>
      </c>
      <c r="P5" s="99" t="s">
        <v>19</v>
      </c>
      <c r="Q5" s="504"/>
      <c r="R5" s="503"/>
      <c r="S5" s="503"/>
    </row>
    <row r="6" spans="1:19" ht="11.25" customHeight="1">
      <c r="A6" s="100"/>
      <c r="B6" s="100"/>
      <c r="C6" s="100"/>
      <c r="D6" s="101" t="s">
        <v>20</v>
      </c>
      <c r="E6" s="102" t="s">
        <v>20</v>
      </c>
      <c r="F6" s="102" t="s">
        <v>20</v>
      </c>
      <c r="G6" s="102" t="s">
        <v>20</v>
      </c>
      <c r="H6" s="102" t="s">
        <v>21</v>
      </c>
      <c r="I6" s="102" t="s">
        <v>21</v>
      </c>
      <c r="J6" s="102" t="s">
        <v>21</v>
      </c>
      <c r="K6" s="102" t="s">
        <v>21</v>
      </c>
      <c r="L6" s="102" t="s">
        <v>21</v>
      </c>
      <c r="M6" s="81" t="s">
        <v>21</v>
      </c>
      <c r="N6" s="101" t="s">
        <v>6</v>
      </c>
      <c r="O6" s="102" t="s">
        <v>6</v>
      </c>
      <c r="P6" s="81" t="s">
        <v>18</v>
      </c>
      <c r="Q6" s="504"/>
      <c r="R6" s="503"/>
      <c r="S6" s="503"/>
    </row>
    <row r="7" spans="1:19" ht="11.25" customHeight="1">
      <c r="A7" s="13" t="s">
        <v>470</v>
      </c>
      <c r="B7" s="109" t="s">
        <v>23</v>
      </c>
      <c r="C7" s="43">
        <f t="shared" ref="C7:M7" si="0">C71</f>
        <v>156</v>
      </c>
      <c r="D7" s="128">
        <f t="shared" si="0"/>
        <v>139</v>
      </c>
      <c r="E7" s="128">
        <f t="shared" si="0"/>
        <v>102</v>
      </c>
      <c r="F7" s="128">
        <f t="shared" si="0"/>
        <v>86</v>
      </c>
      <c r="G7" s="128">
        <f t="shared" si="0"/>
        <v>78</v>
      </c>
      <c r="H7" s="128">
        <f t="shared" si="0"/>
        <v>78</v>
      </c>
      <c r="I7" s="128">
        <f t="shared" si="0"/>
        <v>72</v>
      </c>
      <c r="J7" s="128">
        <f t="shared" si="0"/>
        <v>85</v>
      </c>
      <c r="K7" s="128">
        <f t="shared" si="0"/>
        <v>72</v>
      </c>
      <c r="L7" s="128">
        <f t="shared" si="0"/>
        <v>96</v>
      </c>
      <c r="M7" s="129">
        <f t="shared" si="0"/>
        <v>110</v>
      </c>
      <c r="N7" s="504">
        <v>124</v>
      </c>
      <c r="O7" s="504">
        <v>32</v>
      </c>
      <c r="P7" s="107">
        <v>0.20512820512820512</v>
      </c>
      <c r="Q7" s="504"/>
      <c r="R7" s="503"/>
      <c r="S7" s="503"/>
    </row>
    <row r="8" spans="1:19" ht="11.25" customHeight="1">
      <c r="A8" s="13" t="s">
        <v>471</v>
      </c>
      <c r="B8" s="109" t="s">
        <v>25</v>
      </c>
      <c r="C8" s="13">
        <f t="shared" ref="C8:M8" si="1">SUM(C55,C72,C89)</f>
        <v>522</v>
      </c>
      <c r="D8" s="504">
        <f t="shared" si="1"/>
        <v>404</v>
      </c>
      <c r="E8" s="504">
        <f t="shared" si="1"/>
        <v>346</v>
      </c>
      <c r="F8" s="504">
        <f t="shared" si="1"/>
        <v>318</v>
      </c>
      <c r="G8" s="504">
        <f t="shared" si="1"/>
        <v>307</v>
      </c>
      <c r="H8" s="504">
        <f t="shared" si="1"/>
        <v>308</v>
      </c>
      <c r="I8" s="504">
        <f t="shared" si="1"/>
        <v>320</v>
      </c>
      <c r="J8" s="504">
        <f t="shared" si="1"/>
        <v>312</v>
      </c>
      <c r="K8" s="504">
        <f t="shared" si="1"/>
        <v>332</v>
      </c>
      <c r="L8" s="504">
        <f t="shared" si="1"/>
        <v>355</v>
      </c>
      <c r="M8" s="110">
        <f t="shared" si="1"/>
        <v>403</v>
      </c>
      <c r="N8" s="504">
        <v>431</v>
      </c>
      <c r="O8" s="504">
        <v>91</v>
      </c>
      <c r="P8" s="107">
        <v>0.17432950191570881</v>
      </c>
      <c r="Q8" s="504"/>
      <c r="R8" s="503"/>
      <c r="S8" s="503"/>
    </row>
    <row r="9" spans="1:19" ht="11.25" customHeight="1">
      <c r="A9" s="13"/>
      <c r="B9" s="109" t="s">
        <v>27</v>
      </c>
      <c r="C9" s="13">
        <f t="shared" ref="C9:M9" si="2">SUM(C22,C39)</f>
        <v>428</v>
      </c>
      <c r="D9" s="504">
        <f t="shared" si="2"/>
        <v>418</v>
      </c>
      <c r="E9" s="504">
        <f t="shared" si="2"/>
        <v>408</v>
      </c>
      <c r="F9" s="504">
        <f t="shared" si="2"/>
        <v>404</v>
      </c>
      <c r="G9" s="504">
        <f t="shared" si="2"/>
        <v>401</v>
      </c>
      <c r="H9" s="504">
        <f t="shared" si="2"/>
        <v>399</v>
      </c>
      <c r="I9" s="504">
        <f t="shared" si="2"/>
        <v>397</v>
      </c>
      <c r="J9" s="504">
        <f t="shared" si="2"/>
        <v>401</v>
      </c>
      <c r="K9" s="504">
        <f t="shared" si="2"/>
        <v>405</v>
      </c>
      <c r="L9" s="504">
        <f t="shared" si="2"/>
        <v>406</v>
      </c>
      <c r="M9" s="110">
        <f t="shared" si="2"/>
        <v>412</v>
      </c>
      <c r="N9" s="504">
        <v>407</v>
      </c>
      <c r="O9" s="504">
        <v>21</v>
      </c>
      <c r="P9" s="107">
        <v>4.9065420560747662E-2</v>
      </c>
      <c r="Q9" s="504"/>
      <c r="R9" s="503"/>
      <c r="S9" s="72"/>
    </row>
    <row r="10" spans="1:19" ht="11.25" customHeight="1">
      <c r="A10" s="13"/>
      <c r="B10" s="109" t="s">
        <v>31</v>
      </c>
      <c r="C10" s="13">
        <f t="shared" ref="C10:M10" si="3">C57</f>
        <v>47</v>
      </c>
      <c r="D10" s="504">
        <f t="shared" si="3"/>
        <v>34</v>
      </c>
      <c r="E10" s="504">
        <f t="shared" si="3"/>
        <v>21</v>
      </c>
      <c r="F10" s="504">
        <f t="shared" si="3"/>
        <v>12</v>
      </c>
      <c r="G10" s="504">
        <f t="shared" si="3"/>
        <v>11</v>
      </c>
      <c r="H10" s="504">
        <f t="shared" si="3"/>
        <v>7</v>
      </c>
      <c r="I10" s="504">
        <f t="shared" si="3"/>
        <v>4</v>
      </c>
      <c r="J10" s="504">
        <f t="shared" si="3"/>
        <v>3</v>
      </c>
      <c r="K10" s="504">
        <f t="shared" si="3"/>
        <v>11</v>
      </c>
      <c r="L10" s="504">
        <f t="shared" si="3"/>
        <v>18</v>
      </c>
      <c r="M10" s="110">
        <f t="shared" si="3"/>
        <v>25</v>
      </c>
      <c r="N10" s="504">
        <v>12</v>
      </c>
      <c r="O10" s="504">
        <v>35</v>
      </c>
      <c r="P10" s="107">
        <v>0.74468085106382975</v>
      </c>
      <c r="Q10" s="504"/>
      <c r="R10" s="72"/>
      <c r="S10" s="72"/>
    </row>
    <row r="11" spans="1:19" ht="11.25" customHeight="1">
      <c r="A11" s="13"/>
      <c r="B11" s="109" t="s">
        <v>32</v>
      </c>
      <c r="C11" s="13"/>
      <c r="D11" s="504"/>
      <c r="E11" s="504"/>
      <c r="F11" s="504"/>
      <c r="G11" s="504"/>
      <c r="H11" s="504"/>
      <c r="I11" s="504"/>
      <c r="J11" s="504"/>
      <c r="K11" s="504"/>
      <c r="L11" s="504"/>
      <c r="M11" s="110"/>
      <c r="N11" s="504"/>
      <c r="O11" s="504"/>
      <c r="P11" s="107"/>
      <c r="Q11" s="504"/>
      <c r="R11" s="503"/>
      <c r="S11" s="503"/>
    </row>
    <row r="12" spans="1:19" ht="11.25" customHeight="1">
      <c r="A12" s="13"/>
      <c r="B12" s="109" t="s">
        <v>33</v>
      </c>
      <c r="C12" s="13">
        <f t="shared" ref="C12:M12" si="4">SUM(C26,C43:C44,C60:C62,C77,C94)</f>
        <v>109</v>
      </c>
      <c r="D12" s="504">
        <f t="shared" si="4"/>
        <v>108</v>
      </c>
      <c r="E12" s="504">
        <f t="shared" si="4"/>
        <v>106</v>
      </c>
      <c r="F12" s="504">
        <f t="shared" si="4"/>
        <v>102</v>
      </c>
      <c r="G12" s="504">
        <f t="shared" si="4"/>
        <v>101</v>
      </c>
      <c r="H12" s="504">
        <f t="shared" si="4"/>
        <v>102</v>
      </c>
      <c r="I12" s="504">
        <f t="shared" si="4"/>
        <v>98</v>
      </c>
      <c r="J12" s="504">
        <f t="shared" si="4"/>
        <v>103</v>
      </c>
      <c r="K12" s="504">
        <f t="shared" si="4"/>
        <v>103</v>
      </c>
      <c r="L12" s="504">
        <f t="shared" si="4"/>
        <v>104</v>
      </c>
      <c r="M12" s="110">
        <f t="shared" si="4"/>
        <v>102</v>
      </c>
      <c r="N12" s="504">
        <v>97</v>
      </c>
      <c r="O12" s="504">
        <v>12</v>
      </c>
      <c r="P12" s="107">
        <v>0.11009174311926606</v>
      </c>
      <c r="Q12" s="504"/>
      <c r="R12" s="503"/>
      <c r="S12" s="503"/>
    </row>
    <row r="13" spans="1:19" ht="11.25" customHeight="1">
      <c r="A13" s="13"/>
      <c r="B13" s="109" t="s">
        <v>34</v>
      </c>
      <c r="C13" s="13">
        <f t="shared" ref="C13:M13" si="5">SUM(C32,C49,C66,C83,C100)</f>
        <v>24</v>
      </c>
      <c r="D13" s="504">
        <f t="shared" si="5"/>
        <v>23</v>
      </c>
      <c r="E13" s="504">
        <f t="shared" si="5"/>
        <v>23</v>
      </c>
      <c r="F13" s="504">
        <f t="shared" si="5"/>
        <v>23</v>
      </c>
      <c r="G13" s="504">
        <f t="shared" si="5"/>
        <v>23</v>
      </c>
      <c r="H13" s="504">
        <f t="shared" si="5"/>
        <v>23</v>
      </c>
      <c r="I13" s="504">
        <f t="shared" si="5"/>
        <v>23</v>
      </c>
      <c r="J13" s="504">
        <f t="shared" si="5"/>
        <v>23</v>
      </c>
      <c r="K13" s="504">
        <f t="shared" si="5"/>
        <v>24</v>
      </c>
      <c r="L13" s="504">
        <f t="shared" si="5"/>
        <v>24</v>
      </c>
      <c r="M13" s="110">
        <f t="shared" si="5"/>
        <v>24</v>
      </c>
      <c r="N13" s="504">
        <v>17</v>
      </c>
      <c r="O13" s="504">
        <v>7</v>
      </c>
      <c r="P13" s="107">
        <v>0.29166666666666669</v>
      </c>
      <c r="Q13" s="504"/>
      <c r="R13" s="503"/>
      <c r="S13" s="503"/>
    </row>
    <row r="14" spans="1:19" ht="11.25" customHeight="1">
      <c r="A14" s="13"/>
      <c r="B14" s="109" t="s">
        <v>35</v>
      </c>
      <c r="C14" s="13">
        <f t="shared" ref="C14:M14" si="6">SUM(C33,C50,C67,C84,C101)</f>
        <v>16</v>
      </c>
      <c r="D14" s="504">
        <f t="shared" si="6"/>
        <v>11</v>
      </c>
      <c r="E14" s="504">
        <f t="shared" si="6"/>
        <v>11</v>
      </c>
      <c r="F14" s="504">
        <f t="shared" si="6"/>
        <v>11</v>
      </c>
      <c r="G14" s="504">
        <f t="shared" si="6"/>
        <v>12</v>
      </c>
      <c r="H14" s="504">
        <f t="shared" si="6"/>
        <v>13</v>
      </c>
      <c r="I14" s="504">
        <f t="shared" si="6"/>
        <v>12</v>
      </c>
      <c r="J14" s="504">
        <f t="shared" si="6"/>
        <v>11</v>
      </c>
      <c r="K14" s="504">
        <f t="shared" si="6"/>
        <v>10</v>
      </c>
      <c r="L14" s="504">
        <f t="shared" si="6"/>
        <v>10</v>
      </c>
      <c r="M14" s="110">
        <f t="shared" si="6"/>
        <v>10</v>
      </c>
      <c r="N14" s="504">
        <v>3</v>
      </c>
      <c r="O14" s="504">
        <v>13</v>
      </c>
      <c r="P14" s="107">
        <v>0.8125</v>
      </c>
      <c r="Q14" s="504"/>
      <c r="R14" s="503"/>
      <c r="S14" s="503"/>
    </row>
    <row r="15" spans="1:19" ht="11.25" customHeight="1">
      <c r="A15" s="13"/>
      <c r="B15" s="109" t="s">
        <v>36</v>
      </c>
      <c r="C15" s="13">
        <f t="shared" ref="C15:M15" si="7">C34</f>
        <v>2</v>
      </c>
      <c r="D15" s="504">
        <f t="shared" si="7"/>
        <v>2</v>
      </c>
      <c r="E15" s="504">
        <f t="shared" si="7"/>
        <v>2</v>
      </c>
      <c r="F15" s="504">
        <f t="shared" si="7"/>
        <v>2</v>
      </c>
      <c r="G15" s="504">
        <f t="shared" si="7"/>
        <v>2</v>
      </c>
      <c r="H15" s="504">
        <f t="shared" si="7"/>
        <v>2</v>
      </c>
      <c r="I15" s="504">
        <f t="shared" si="7"/>
        <v>2</v>
      </c>
      <c r="J15" s="504">
        <f t="shared" si="7"/>
        <v>2</v>
      </c>
      <c r="K15" s="504">
        <f t="shared" si="7"/>
        <v>0</v>
      </c>
      <c r="L15" s="504">
        <f t="shared" si="7"/>
        <v>0</v>
      </c>
      <c r="M15" s="110">
        <f t="shared" si="7"/>
        <v>0</v>
      </c>
      <c r="N15" s="504">
        <v>0</v>
      </c>
      <c r="O15" s="504">
        <v>2</v>
      </c>
      <c r="P15" s="107">
        <v>1</v>
      </c>
      <c r="Q15" s="504"/>
      <c r="R15" s="503"/>
      <c r="S15" s="503"/>
    </row>
    <row r="16" spans="1:19" ht="11.25" customHeight="1">
      <c r="A16" s="13"/>
      <c r="B16" s="109" t="s">
        <v>37</v>
      </c>
      <c r="C16" s="2"/>
      <c r="D16" s="504"/>
      <c r="E16" s="504"/>
      <c r="F16" s="504"/>
      <c r="G16" s="504"/>
      <c r="H16" s="504"/>
      <c r="I16" s="504"/>
      <c r="J16" s="504"/>
      <c r="K16" s="504"/>
      <c r="L16" s="504"/>
      <c r="M16" s="110"/>
      <c r="N16" s="504"/>
      <c r="O16" s="504"/>
      <c r="P16" s="107"/>
      <c r="Q16" s="504"/>
      <c r="R16" s="503"/>
      <c r="S16" s="503"/>
    </row>
    <row r="17" spans="1:17" ht="11.25" customHeight="1">
      <c r="A17" s="2"/>
      <c r="B17" s="3" t="s">
        <v>38</v>
      </c>
      <c r="C17" s="73">
        <v>1304</v>
      </c>
      <c r="D17" s="21">
        <v>1199</v>
      </c>
      <c r="E17" s="71">
        <v>1165</v>
      </c>
      <c r="F17" s="71">
        <v>1138</v>
      </c>
      <c r="G17" s="71">
        <v>1133</v>
      </c>
      <c r="H17" s="71">
        <v>1124</v>
      </c>
      <c r="I17" s="71">
        <v>1104</v>
      </c>
      <c r="J17" s="71">
        <v>1120</v>
      </c>
      <c r="K17" s="71">
        <v>1140</v>
      </c>
      <c r="L17" s="71">
        <v>1180</v>
      </c>
      <c r="M17" s="26">
        <v>1204</v>
      </c>
      <c r="N17" s="71">
        <v>1104</v>
      </c>
      <c r="O17" s="71">
        <v>200</v>
      </c>
      <c r="P17" s="7">
        <v>0.15337423312883436</v>
      </c>
      <c r="Q17" s="504"/>
    </row>
    <row r="18" spans="1:17" ht="15.75" customHeight="1">
      <c r="A18" s="503"/>
      <c r="B18" s="503"/>
      <c r="C18" s="503"/>
      <c r="D18" s="503"/>
      <c r="E18" s="503"/>
      <c r="F18" s="503"/>
      <c r="G18" s="503"/>
      <c r="H18" s="503"/>
      <c r="I18" s="503"/>
      <c r="J18" s="503"/>
      <c r="K18" s="503"/>
      <c r="L18" s="503"/>
      <c r="M18" s="503"/>
      <c r="N18" s="503"/>
      <c r="O18" s="503"/>
      <c r="P18" s="503"/>
      <c r="Q18" s="503"/>
    </row>
    <row r="19" spans="1:17" ht="15.75" customHeight="1">
      <c r="A19" s="571" t="s">
        <v>486</v>
      </c>
      <c r="B19" s="569"/>
      <c r="C19" s="569"/>
      <c r="D19" s="569"/>
      <c r="E19" s="569"/>
      <c r="F19" s="569"/>
      <c r="G19" s="569"/>
      <c r="H19" s="569"/>
      <c r="I19" s="569"/>
      <c r="J19" s="569"/>
      <c r="K19" s="569"/>
      <c r="L19" s="569"/>
      <c r="M19" s="569"/>
      <c r="N19" s="569"/>
      <c r="O19" s="569"/>
      <c r="P19" s="570"/>
      <c r="Q19" s="503"/>
    </row>
    <row r="20" spans="1:17" ht="11.25" customHeight="1">
      <c r="A20" s="43" t="s">
        <v>339</v>
      </c>
      <c r="B20" s="43" t="s">
        <v>23</v>
      </c>
      <c r="C20" s="43"/>
      <c r="D20" s="116"/>
      <c r="E20" s="128"/>
      <c r="F20" s="128"/>
      <c r="G20" s="128"/>
      <c r="H20" s="128"/>
      <c r="I20" s="128"/>
      <c r="J20" s="128"/>
      <c r="K20" s="128"/>
      <c r="L20" s="128"/>
      <c r="M20" s="129"/>
      <c r="N20" s="116"/>
      <c r="O20" s="128"/>
      <c r="P20" s="141"/>
      <c r="Q20" s="503"/>
    </row>
    <row r="21" spans="1:17" ht="11.25" customHeight="1">
      <c r="A21" s="13"/>
      <c r="B21" s="13" t="s">
        <v>25</v>
      </c>
      <c r="C21" s="13"/>
      <c r="D21" s="109"/>
      <c r="E21" s="504"/>
      <c r="F21" s="504"/>
      <c r="G21" s="504"/>
      <c r="H21" s="504"/>
      <c r="I21" s="504"/>
      <c r="J21" s="504"/>
      <c r="K21" s="504"/>
      <c r="L21" s="504"/>
      <c r="M21" s="110"/>
      <c r="N21" s="109"/>
      <c r="O21" s="504"/>
      <c r="P21" s="107"/>
      <c r="Q21" s="503"/>
    </row>
    <row r="22" spans="1:17" ht="11.25" customHeight="1">
      <c r="A22" s="13"/>
      <c r="B22" s="13" t="s">
        <v>27</v>
      </c>
      <c r="C22" s="13">
        <v>250</v>
      </c>
      <c r="D22" s="109">
        <f>187+58</f>
        <v>245</v>
      </c>
      <c r="E22" s="504">
        <f t="shared" ref="E22:F22" si="8">187+54</f>
        <v>241</v>
      </c>
      <c r="F22" s="504">
        <f t="shared" si="8"/>
        <v>241</v>
      </c>
      <c r="G22" s="504">
        <f t="shared" ref="G22:H22" si="9">189+54</f>
        <v>243</v>
      </c>
      <c r="H22" s="504">
        <f t="shared" si="9"/>
        <v>243</v>
      </c>
      <c r="I22" s="504">
        <f>C22-10</f>
        <v>240</v>
      </c>
      <c r="J22" s="504">
        <f>C22-9</f>
        <v>241</v>
      </c>
      <c r="K22" s="504">
        <f>C22-5</f>
        <v>245</v>
      </c>
      <c r="L22" s="504">
        <f>C22-4</f>
        <v>246</v>
      </c>
      <c r="M22" s="110">
        <f>C22-2</f>
        <v>248</v>
      </c>
      <c r="N22" s="109">
        <f>MIN(D22:M22)</f>
        <v>240</v>
      </c>
      <c r="O22" s="504">
        <f>C22-N22</f>
        <v>10</v>
      </c>
      <c r="P22" s="107">
        <f>O22/C22</f>
        <v>0.04</v>
      </c>
      <c r="Q22" s="503"/>
    </row>
    <row r="23" spans="1:17" ht="11.25" customHeight="1">
      <c r="A23" s="13"/>
      <c r="B23" s="13" t="s">
        <v>115</v>
      </c>
      <c r="C23" s="13"/>
      <c r="D23" s="109"/>
      <c r="E23" s="504"/>
      <c r="F23" s="504"/>
      <c r="G23" s="504"/>
      <c r="H23" s="504"/>
      <c r="I23" s="504"/>
      <c r="J23" s="504"/>
      <c r="K23" s="504"/>
      <c r="L23" s="504"/>
      <c r="M23" s="110"/>
      <c r="N23" s="109"/>
      <c r="O23" s="504"/>
      <c r="P23" s="107"/>
      <c r="Q23" s="503"/>
    </row>
    <row r="24" spans="1:17" ht="11.25" customHeight="1">
      <c r="A24" s="13"/>
      <c r="B24" s="13" t="s">
        <v>115</v>
      </c>
      <c r="C24" s="13"/>
      <c r="D24" s="109"/>
      <c r="E24" s="504"/>
      <c r="F24" s="504"/>
      <c r="G24" s="504"/>
      <c r="H24" s="504"/>
      <c r="I24" s="504"/>
      <c r="J24" s="504"/>
      <c r="K24" s="504"/>
      <c r="L24" s="504"/>
      <c r="M24" s="110"/>
      <c r="N24" s="109"/>
      <c r="O24" s="504"/>
      <c r="P24" s="107"/>
      <c r="Q24" s="503"/>
    </row>
    <row r="25" spans="1:17" ht="11.25" customHeight="1">
      <c r="A25" s="13"/>
      <c r="B25" s="13" t="s">
        <v>32</v>
      </c>
      <c r="C25" s="13"/>
      <c r="D25" s="109"/>
      <c r="E25" s="504"/>
      <c r="F25" s="504"/>
      <c r="G25" s="504"/>
      <c r="H25" s="504"/>
      <c r="I25" s="504"/>
      <c r="J25" s="504"/>
      <c r="K25" s="504"/>
      <c r="L25" s="504"/>
      <c r="M25" s="110"/>
      <c r="N25" s="109"/>
      <c r="O25" s="504"/>
      <c r="P25" s="107"/>
      <c r="Q25" s="503"/>
    </row>
    <row r="26" spans="1:17" ht="11.25" customHeight="1">
      <c r="A26" s="13"/>
      <c r="B26" s="13" t="s">
        <v>118</v>
      </c>
      <c r="C26" s="13">
        <v>8</v>
      </c>
      <c r="D26" s="109">
        <v>8</v>
      </c>
      <c r="E26" s="504">
        <v>8</v>
      </c>
      <c r="F26" s="504">
        <v>8</v>
      </c>
      <c r="G26" s="504">
        <v>8</v>
      </c>
      <c r="H26" s="504">
        <v>8</v>
      </c>
      <c r="I26" s="504">
        <v>8</v>
      </c>
      <c r="J26" s="504">
        <v>8</v>
      </c>
      <c r="K26" s="504">
        <v>8</v>
      </c>
      <c r="L26" s="504">
        <v>8</v>
      </c>
      <c r="M26" s="110">
        <v>8</v>
      </c>
      <c r="N26" s="109">
        <f>MIN(D26:M26)</f>
        <v>8</v>
      </c>
      <c r="O26" s="504">
        <f>C26-N26</f>
        <v>0</v>
      </c>
      <c r="P26" s="107">
        <f>O26/C26</f>
        <v>0</v>
      </c>
      <c r="Q26" s="503"/>
    </row>
    <row r="27" spans="1:17" ht="11.25" customHeight="1">
      <c r="A27" s="13"/>
      <c r="B27" s="13" t="s">
        <v>120</v>
      </c>
      <c r="C27" s="13"/>
      <c r="D27" s="109"/>
      <c r="E27" s="504"/>
      <c r="F27" s="504"/>
      <c r="G27" s="504"/>
      <c r="H27" s="504"/>
      <c r="I27" s="504"/>
      <c r="J27" s="504"/>
      <c r="K27" s="504"/>
      <c r="L27" s="504"/>
      <c r="M27" s="110"/>
      <c r="N27" s="109"/>
      <c r="O27" s="504"/>
      <c r="P27" s="107"/>
      <c r="Q27" s="503"/>
    </row>
    <row r="28" spans="1:17" ht="11.25" customHeight="1">
      <c r="A28" s="13"/>
      <c r="B28" s="13" t="s">
        <v>120</v>
      </c>
      <c r="C28" s="13"/>
      <c r="D28" s="109"/>
      <c r="E28" s="504"/>
      <c r="F28" s="504"/>
      <c r="G28" s="504"/>
      <c r="H28" s="504"/>
      <c r="I28" s="504"/>
      <c r="J28" s="504"/>
      <c r="K28" s="504"/>
      <c r="L28" s="504"/>
      <c r="M28" s="110"/>
      <c r="N28" s="109"/>
      <c r="O28" s="504"/>
      <c r="P28" s="107"/>
      <c r="Q28" s="503"/>
    </row>
    <row r="29" spans="1:17" ht="11.25" customHeight="1">
      <c r="A29" s="13"/>
      <c r="B29" s="13" t="s">
        <v>120</v>
      </c>
      <c r="C29" s="13"/>
      <c r="D29" s="109"/>
      <c r="E29" s="504"/>
      <c r="F29" s="504"/>
      <c r="G29" s="504"/>
      <c r="H29" s="504"/>
      <c r="I29" s="504"/>
      <c r="J29" s="504"/>
      <c r="K29" s="504"/>
      <c r="L29" s="504"/>
      <c r="M29" s="110"/>
      <c r="N29" s="109"/>
      <c r="O29" s="504"/>
      <c r="P29" s="107"/>
      <c r="Q29" s="503"/>
    </row>
    <row r="30" spans="1:17" ht="11.25" customHeight="1">
      <c r="A30" s="13"/>
      <c r="B30" s="13" t="s">
        <v>120</v>
      </c>
      <c r="C30" s="13"/>
      <c r="D30" s="109"/>
      <c r="E30" s="504"/>
      <c r="F30" s="504"/>
      <c r="G30" s="504"/>
      <c r="H30" s="504"/>
      <c r="I30" s="504"/>
      <c r="J30" s="504"/>
      <c r="K30" s="504"/>
      <c r="L30" s="504"/>
      <c r="M30" s="110"/>
      <c r="N30" s="109"/>
      <c r="O30" s="504"/>
      <c r="P30" s="107"/>
      <c r="Q30" s="503"/>
    </row>
    <row r="31" spans="1:17" ht="11.25" customHeight="1">
      <c r="A31" s="13"/>
      <c r="B31" s="13" t="s">
        <v>120</v>
      </c>
      <c r="C31" s="13"/>
      <c r="D31" s="109"/>
      <c r="E31" s="504"/>
      <c r="F31" s="504"/>
      <c r="G31" s="504"/>
      <c r="H31" s="504"/>
      <c r="I31" s="504"/>
      <c r="J31" s="504"/>
      <c r="K31" s="504"/>
      <c r="L31" s="504"/>
      <c r="M31" s="110"/>
      <c r="N31" s="109"/>
      <c r="O31" s="504"/>
      <c r="P31" s="107"/>
      <c r="Q31" s="503"/>
    </row>
    <row r="32" spans="1:17" ht="11.25" customHeight="1">
      <c r="A32" s="13"/>
      <c r="B32" s="13" t="s">
        <v>34</v>
      </c>
      <c r="C32" s="13">
        <v>1</v>
      </c>
      <c r="D32" s="109">
        <v>1</v>
      </c>
      <c r="E32" s="504">
        <v>1</v>
      </c>
      <c r="F32" s="504">
        <v>1</v>
      </c>
      <c r="G32" s="504">
        <v>1</v>
      </c>
      <c r="H32" s="504">
        <v>1</v>
      </c>
      <c r="I32" s="504">
        <v>1</v>
      </c>
      <c r="J32" s="504">
        <v>1</v>
      </c>
      <c r="K32" s="504">
        <v>1</v>
      </c>
      <c r="L32" s="504">
        <v>1</v>
      </c>
      <c r="M32" s="110">
        <v>1</v>
      </c>
      <c r="N32" s="109">
        <f t="shared" ref="N32:N34" si="10">MIN(D32:M32)</f>
        <v>1</v>
      </c>
      <c r="O32" s="504">
        <f t="shared" ref="O32:O34" si="11">C32-N32</f>
        <v>0</v>
      </c>
      <c r="P32" s="107">
        <f t="shared" ref="P32:P34" si="12">O32/C32</f>
        <v>0</v>
      </c>
      <c r="Q32" s="503"/>
    </row>
    <row r="33" spans="1:16" ht="11.25" customHeight="1">
      <c r="A33" s="13"/>
      <c r="B33" s="13" t="s">
        <v>301</v>
      </c>
      <c r="C33" s="13">
        <v>6</v>
      </c>
      <c r="D33" s="109">
        <v>6</v>
      </c>
      <c r="E33" s="504">
        <v>6</v>
      </c>
      <c r="F33" s="504">
        <v>6</v>
      </c>
      <c r="G33" s="504">
        <v>6</v>
      </c>
      <c r="H33" s="504">
        <v>6</v>
      </c>
      <c r="I33" s="504">
        <v>6</v>
      </c>
      <c r="J33" s="504">
        <v>6</v>
      </c>
      <c r="K33" s="504">
        <v>5</v>
      </c>
      <c r="L33" s="504">
        <v>5</v>
      </c>
      <c r="M33" s="110">
        <v>5</v>
      </c>
      <c r="N33" s="109">
        <f t="shared" si="10"/>
        <v>5</v>
      </c>
      <c r="O33" s="504">
        <f t="shared" si="11"/>
        <v>1</v>
      </c>
      <c r="P33" s="107">
        <f t="shared" si="12"/>
        <v>0.16666666666666666</v>
      </c>
    </row>
    <row r="34" spans="1:16" ht="11.25" customHeight="1">
      <c r="A34" s="13"/>
      <c r="B34" s="13" t="s">
        <v>36</v>
      </c>
      <c r="C34" s="13">
        <v>2</v>
      </c>
      <c r="D34" s="109">
        <v>2</v>
      </c>
      <c r="E34" s="504">
        <v>2</v>
      </c>
      <c r="F34" s="504">
        <v>2</v>
      </c>
      <c r="G34" s="504">
        <v>2</v>
      </c>
      <c r="H34" s="504">
        <v>2</v>
      </c>
      <c r="I34" s="504">
        <v>2</v>
      </c>
      <c r="J34" s="504">
        <v>2</v>
      </c>
      <c r="K34" s="504">
        <v>0</v>
      </c>
      <c r="L34" s="504">
        <v>0</v>
      </c>
      <c r="M34" s="110">
        <v>0</v>
      </c>
      <c r="N34" s="109">
        <f t="shared" si="10"/>
        <v>0</v>
      </c>
      <c r="O34" s="504">
        <f t="shared" si="11"/>
        <v>2</v>
      </c>
      <c r="P34" s="107">
        <f t="shared" si="12"/>
        <v>1</v>
      </c>
    </row>
    <row r="35" spans="1:16" ht="11.25" customHeight="1">
      <c r="A35" s="13"/>
      <c r="B35" s="13" t="s">
        <v>37</v>
      </c>
      <c r="C35" s="13"/>
      <c r="D35" s="109"/>
      <c r="E35" s="504"/>
      <c r="F35" s="504"/>
      <c r="G35" s="504"/>
      <c r="H35" s="504"/>
      <c r="I35" s="504"/>
      <c r="J35" s="504"/>
      <c r="K35" s="504"/>
      <c r="L35" s="504"/>
      <c r="M35" s="110"/>
      <c r="N35" s="109"/>
      <c r="O35" s="504"/>
      <c r="P35" s="107"/>
    </row>
    <row r="36" spans="1:16" ht="11.25" customHeight="1">
      <c r="A36" s="2"/>
      <c r="B36" s="3" t="s">
        <v>38</v>
      </c>
      <c r="C36" s="8">
        <f t="shared" ref="C36:M36" si="13">SUM(C20:C35)</f>
        <v>267</v>
      </c>
      <c r="D36" s="18">
        <f t="shared" si="13"/>
        <v>262</v>
      </c>
      <c r="E36" s="19">
        <f t="shared" si="13"/>
        <v>258</v>
      </c>
      <c r="F36" s="19">
        <f t="shared" si="13"/>
        <v>258</v>
      </c>
      <c r="G36" s="19">
        <f t="shared" si="13"/>
        <v>260</v>
      </c>
      <c r="H36" s="19">
        <f t="shared" si="13"/>
        <v>260</v>
      </c>
      <c r="I36" s="19">
        <f t="shared" si="13"/>
        <v>257</v>
      </c>
      <c r="J36" s="19">
        <f t="shared" si="13"/>
        <v>258</v>
      </c>
      <c r="K36" s="19">
        <f t="shared" si="13"/>
        <v>259</v>
      </c>
      <c r="L36" s="19">
        <f t="shared" si="13"/>
        <v>260</v>
      </c>
      <c r="M36" s="20">
        <f t="shared" si="13"/>
        <v>262</v>
      </c>
      <c r="N36" s="18">
        <f>MIN(D36:M36)</f>
        <v>257</v>
      </c>
      <c r="O36" s="19">
        <f>C36-N36</f>
        <v>10</v>
      </c>
      <c r="P36" s="44">
        <f>O36/C36</f>
        <v>3.7453183520599252E-2</v>
      </c>
    </row>
    <row r="37" spans="1:16" ht="11.25" customHeight="1">
      <c r="A37" s="43" t="s">
        <v>340</v>
      </c>
      <c r="B37" s="43" t="s">
        <v>23</v>
      </c>
      <c r="C37" s="43"/>
      <c r="D37" s="116"/>
      <c r="E37" s="128"/>
      <c r="F37" s="128"/>
      <c r="G37" s="128"/>
      <c r="H37" s="128"/>
      <c r="I37" s="128"/>
      <c r="J37" s="128"/>
      <c r="K37" s="128"/>
      <c r="L37" s="128"/>
      <c r="M37" s="129"/>
      <c r="N37" s="116"/>
      <c r="O37" s="128"/>
      <c r="P37" s="141"/>
    </row>
    <row r="38" spans="1:16" ht="11.25" customHeight="1">
      <c r="A38" s="13"/>
      <c r="B38" s="13" t="s">
        <v>25</v>
      </c>
      <c r="C38" s="13"/>
      <c r="D38" s="109"/>
      <c r="E38" s="504"/>
      <c r="F38" s="504"/>
      <c r="G38" s="504"/>
      <c r="H38" s="504"/>
      <c r="I38" s="504"/>
      <c r="J38" s="504"/>
      <c r="K38" s="504"/>
      <c r="L38" s="504"/>
      <c r="M38" s="110"/>
      <c r="N38" s="109"/>
      <c r="O38" s="504"/>
      <c r="P38" s="107"/>
    </row>
    <row r="39" spans="1:16" ht="11.25" customHeight="1">
      <c r="A39" s="13"/>
      <c r="B39" s="13" t="s">
        <v>27</v>
      </c>
      <c r="C39" s="13">
        <v>178</v>
      </c>
      <c r="D39" s="109">
        <v>173</v>
      </c>
      <c r="E39" s="504">
        <v>167</v>
      </c>
      <c r="F39" s="504">
        <f>C39-15</f>
        <v>163</v>
      </c>
      <c r="G39" s="504">
        <f>C39-20</f>
        <v>158</v>
      </c>
      <c r="H39" s="504">
        <f>C39-22</f>
        <v>156</v>
      </c>
      <c r="I39" s="504">
        <f>178-21</f>
        <v>157</v>
      </c>
      <c r="J39" s="504">
        <f>C39-18</f>
        <v>160</v>
      </c>
      <c r="K39" s="504">
        <v>160</v>
      </c>
      <c r="L39" s="504">
        <v>160</v>
      </c>
      <c r="M39" s="110">
        <f>C39-14</f>
        <v>164</v>
      </c>
      <c r="N39" s="109">
        <f>MIN(D39:M39)</f>
        <v>156</v>
      </c>
      <c r="O39" s="504">
        <f>C39-N39</f>
        <v>22</v>
      </c>
      <c r="P39" s="107">
        <f>O39/C39</f>
        <v>0.12359550561797752</v>
      </c>
    </row>
    <row r="40" spans="1:16" ht="11.25" customHeight="1">
      <c r="A40" s="13"/>
      <c r="B40" s="13" t="s">
        <v>115</v>
      </c>
      <c r="C40" s="13"/>
      <c r="D40" s="109"/>
      <c r="E40" s="504"/>
      <c r="F40" s="504"/>
      <c r="G40" s="504"/>
      <c r="H40" s="504"/>
      <c r="I40" s="504"/>
      <c r="J40" s="504"/>
      <c r="K40" s="504"/>
      <c r="L40" s="504"/>
      <c r="M40" s="110"/>
      <c r="N40" s="109"/>
      <c r="O40" s="504"/>
      <c r="P40" s="107"/>
    </row>
    <row r="41" spans="1:16" ht="11.25" customHeight="1">
      <c r="A41" s="13"/>
      <c r="B41" s="13" t="s">
        <v>115</v>
      </c>
      <c r="C41" s="13"/>
      <c r="D41" s="109"/>
      <c r="E41" s="504"/>
      <c r="F41" s="504"/>
      <c r="G41" s="504"/>
      <c r="H41" s="504"/>
      <c r="I41" s="504"/>
      <c r="J41" s="504"/>
      <c r="K41" s="504"/>
      <c r="L41" s="504"/>
      <c r="M41" s="110"/>
      <c r="N41" s="109"/>
      <c r="O41" s="504"/>
      <c r="P41" s="107"/>
    </row>
    <row r="42" spans="1:16" ht="11.25" customHeight="1">
      <c r="A42" s="13"/>
      <c r="B42" s="13" t="s">
        <v>32</v>
      </c>
      <c r="C42" s="13"/>
      <c r="D42" s="109"/>
      <c r="E42" s="504"/>
      <c r="F42" s="504"/>
      <c r="G42" s="504"/>
      <c r="H42" s="504"/>
      <c r="I42" s="504"/>
      <c r="J42" s="504"/>
      <c r="K42" s="504"/>
      <c r="L42" s="504"/>
      <c r="M42" s="110"/>
      <c r="N42" s="109"/>
      <c r="O42" s="504"/>
      <c r="P42" s="107"/>
    </row>
    <row r="43" spans="1:16" ht="11.25" customHeight="1">
      <c r="A43" s="13"/>
      <c r="B43" s="13" t="s">
        <v>155</v>
      </c>
      <c r="C43" s="13">
        <v>63</v>
      </c>
      <c r="D43" s="109">
        <f t="shared" ref="D43:F43" si="14">8+55</f>
        <v>63</v>
      </c>
      <c r="E43" s="504">
        <f t="shared" si="14"/>
        <v>63</v>
      </c>
      <c r="F43" s="504">
        <f t="shared" si="14"/>
        <v>63</v>
      </c>
      <c r="G43" s="504">
        <f t="shared" ref="G43:H43" si="15">8+54</f>
        <v>62</v>
      </c>
      <c r="H43" s="504">
        <f t="shared" si="15"/>
        <v>62</v>
      </c>
      <c r="I43" s="504">
        <v>61</v>
      </c>
      <c r="J43" s="504">
        <v>61</v>
      </c>
      <c r="K43" s="504">
        <v>61</v>
      </c>
      <c r="L43" s="504">
        <v>61</v>
      </c>
      <c r="M43" s="110">
        <v>61</v>
      </c>
      <c r="N43" s="109">
        <f t="shared" ref="N43:N44" si="16">MIN(D43:M43)</f>
        <v>61</v>
      </c>
      <c r="O43" s="504">
        <f t="shared" ref="O43:O44" si="17">C43-N43</f>
        <v>2</v>
      </c>
      <c r="P43" s="107">
        <f t="shared" ref="P43:P44" si="18">O43/C43</f>
        <v>3.1746031746031744E-2</v>
      </c>
    </row>
    <row r="44" spans="1:16" ht="11.25" customHeight="1">
      <c r="A44" s="13"/>
      <c r="B44" s="13" t="s">
        <v>118</v>
      </c>
      <c r="C44" s="13">
        <v>8</v>
      </c>
      <c r="D44" s="109">
        <v>8</v>
      </c>
      <c r="E44" s="504">
        <v>8</v>
      </c>
      <c r="F44" s="504">
        <v>8</v>
      </c>
      <c r="G44" s="504">
        <v>8</v>
      </c>
      <c r="H44" s="504">
        <v>8</v>
      </c>
      <c r="I44" s="504">
        <v>7</v>
      </c>
      <c r="J44" s="504">
        <v>7</v>
      </c>
      <c r="K44" s="504">
        <v>7</v>
      </c>
      <c r="L44" s="504">
        <v>8</v>
      </c>
      <c r="M44" s="110">
        <v>8</v>
      </c>
      <c r="N44" s="109">
        <f t="shared" si="16"/>
        <v>7</v>
      </c>
      <c r="O44" s="504">
        <f t="shared" si="17"/>
        <v>1</v>
      </c>
      <c r="P44" s="107">
        <f t="shared" si="18"/>
        <v>0.125</v>
      </c>
    </row>
    <row r="45" spans="1:16" ht="11.25" customHeight="1">
      <c r="A45" s="13"/>
      <c r="B45" s="13" t="s">
        <v>120</v>
      </c>
      <c r="C45" s="13"/>
      <c r="D45" s="109"/>
      <c r="E45" s="504"/>
      <c r="F45" s="504"/>
      <c r="G45" s="504"/>
      <c r="H45" s="504"/>
      <c r="I45" s="504"/>
      <c r="J45" s="504"/>
      <c r="K45" s="504"/>
      <c r="L45" s="504"/>
      <c r="M45" s="110"/>
      <c r="N45" s="109"/>
      <c r="O45" s="504"/>
      <c r="P45" s="107"/>
    </row>
    <row r="46" spans="1:16" ht="11.25" customHeight="1">
      <c r="A46" s="13"/>
      <c r="B46" s="13" t="s">
        <v>120</v>
      </c>
      <c r="C46" s="13"/>
      <c r="D46" s="109"/>
      <c r="E46" s="504"/>
      <c r="F46" s="504"/>
      <c r="G46" s="504"/>
      <c r="H46" s="504"/>
      <c r="I46" s="504"/>
      <c r="J46" s="504"/>
      <c r="K46" s="504"/>
      <c r="L46" s="504"/>
      <c r="M46" s="110"/>
      <c r="N46" s="109"/>
      <c r="O46" s="504"/>
      <c r="P46" s="107"/>
    </row>
    <row r="47" spans="1:16" ht="11.25" customHeight="1">
      <c r="A47" s="13"/>
      <c r="B47" s="13" t="s">
        <v>120</v>
      </c>
      <c r="C47" s="13"/>
      <c r="D47" s="109"/>
      <c r="E47" s="504"/>
      <c r="F47" s="504"/>
      <c r="G47" s="504"/>
      <c r="H47" s="504"/>
      <c r="I47" s="504"/>
      <c r="J47" s="504"/>
      <c r="K47" s="504"/>
      <c r="L47" s="504"/>
      <c r="M47" s="110"/>
      <c r="N47" s="109"/>
      <c r="O47" s="504"/>
      <c r="P47" s="107"/>
    </row>
    <row r="48" spans="1:16" ht="11.25" customHeight="1">
      <c r="A48" s="13"/>
      <c r="B48" s="13" t="s">
        <v>120</v>
      </c>
      <c r="C48" s="13"/>
      <c r="D48" s="109"/>
      <c r="E48" s="504"/>
      <c r="F48" s="504"/>
      <c r="G48" s="504"/>
      <c r="H48" s="504"/>
      <c r="I48" s="504"/>
      <c r="J48" s="504"/>
      <c r="K48" s="504"/>
      <c r="L48" s="504"/>
      <c r="M48" s="110"/>
      <c r="N48" s="109"/>
      <c r="O48" s="504"/>
      <c r="P48" s="107"/>
    </row>
    <row r="49" spans="1:16" ht="11.25" customHeight="1">
      <c r="A49" s="13"/>
      <c r="B49" s="13" t="s">
        <v>34</v>
      </c>
      <c r="C49" s="13">
        <v>6</v>
      </c>
      <c r="D49" s="109">
        <v>6</v>
      </c>
      <c r="E49" s="504">
        <v>6</v>
      </c>
      <c r="F49" s="504">
        <v>6</v>
      </c>
      <c r="G49" s="504">
        <v>6</v>
      </c>
      <c r="H49" s="504">
        <v>6</v>
      </c>
      <c r="I49" s="504">
        <v>6</v>
      </c>
      <c r="J49" s="504">
        <v>6</v>
      </c>
      <c r="K49" s="504">
        <v>6</v>
      </c>
      <c r="L49" s="504">
        <v>6</v>
      </c>
      <c r="M49" s="110">
        <v>6</v>
      </c>
      <c r="N49" s="109">
        <f t="shared" ref="N49:N50" si="19">MIN(D49:M49)</f>
        <v>6</v>
      </c>
      <c r="O49" s="504">
        <f t="shared" ref="O49:O50" si="20">C49-N49</f>
        <v>0</v>
      </c>
      <c r="P49" s="107">
        <f t="shared" ref="P49:P50" si="21">O49/C49</f>
        <v>0</v>
      </c>
    </row>
    <row r="50" spans="1:16" ht="11.25" customHeight="1">
      <c r="A50" s="13"/>
      <c r="B50" s="13" t="s">
        <v>301</v>
      </c>
      <c r="C50" s="13">
        <v>2</v>
      </c>
      <c r="D50" s="109">
        <v>1</v>
      </c>
      <c r="E50" s="504">
        <v>1</v>
      </c>
      <c r="F50" s="504">
        <v>1</v>
      </c>
      <c r="G50" s="504">
        <v>2</v>
      </c>
      <c r="H50" s="504">
        <v>2</v>
      </c>
      <c r="I50" s="504">
        <v>2</v>
      </c>
      <c r="J50" s="504">
        <v>2</v>
      </c>
      <c r="K50" s="504">
        <v>2</v>
      </c>
      <c r="L50" s="504">
        <v>2</v>
      </c>
      <c r="M50" s="110">
        <v>2</v>
      </c>
      <c r="N50" s="109">
        <f t="shared" si="19"/>
        <v>1</v>
      </c>
      <c r="O50" s="504">
        <f t="shared" si="20"/>
        <v>1</v>
      </c>
      <c r="P50" s="107">
        <f t="shared" si="21"/>
        <v>0.5</v>
      </c>
    </row>
    <row r="51" spans="1:16" ht="11.25" customHeight="1">
      <c r="A51" s="13"/>
      <c r="B51" s="13" t="s">
        <v>36</v>
      </c>
      <c r="C51" s="13"/>
      <c r="D51" s="109"/>
      <c r="E51" s="504"/>
      <c r="F51" s="504"/>
      <c r="G51" s="504"/>
      <c r="H51" s="504"/>
      <c r="I51" s="504"/>
      <c r="J51" s="504"/>
      <c r="K51" s="504"/>
      <c r="L51" s="504"/>
      <c r="M51" s="110"/>
      <c r="N51" s="109"/>
      <c r="O51" s="504"/>
      <c r="P51" s="107"/>
    </row>
    <row r="52" spans="1:16" ht="11.25" customHeight="1">
      <c r="A52" s="13"/>
      <c r="B52" s="13" t="s">
        <v>37</v>
      </c>
      <c r="C52" s="13"/>
      <c r="D52" s="109"/>
      <c r="E52" s="504"/>
      <c r="F52" s="504"/>
      <c r="G52" s="504"/>
      <c r="H52" s="504"/>
      <c r="I52" s="504"/>
      <c r="J52" s="504"/>
      <c r="K52" s="504"/>
      <c r="L52" s="504"/>
      <c r="M52" s="110"/>
      <c r="N52" s="109"/>
      <c r="O52" s="504"/>
      <c r="P52" s="107"/>
    </row>
    <row r="53" spans="1:16" ht="11.25" customHeight="1">
      <c r="A53" s="2"/>
      <c r="B53" s="3" t="s">
        <v>38</v>
      </c>
      <c r="C53" s="8">
        <f t="shared" ref="C53:M53" si="22">SUM(C37:C52)</f>
        <v>257</v>
      </c>
      <c r="D53" s="18">
        <f t="shared" si="22"/>
        <v>251</v>
      </c>
      <c r="E53" s="19">
        <f t="shared" si="22"/>
        <v>245</v>
      </c>
      <c r="F53" s="19">
        <f t="shared" si="22"/>
        <v>241</v>
      </c>
      <c r="G53" s="19">
        <f t="shared" si="22"/>
        <v>236</v>
      </c>
      <c r="H53" s="19">
        <f t="shared" si="22"/>
        <v>234</v>
      </c>
      <c r="I53" s="19">
        <f t="shared" si="22"/>
        <v>233</v>
      </c>
      <c r="J53" s="19">
        <f t="shared" si="22"/>
        <v>236</v>
      </c>
      <c r="K53" s="19">
        <f t="shared" si="22"/>
        <v>236</v>
      </c>
      <c r="L53" s="19">
        <f t="shared" si="22"/>
        <v>237</v>
      </c>
      <c r="M53" s="20">
        <f t="shared" si="22"/>
        <v>241</v>
      </c>
      <c r="N53" s="18">
        <f>MIN(D53:M53)</f>
        <v>233</v>
      </c>
      <c r="O53" s="19">
        <f>C53-N53</f>
        <v>24</v>
      </c>
      <c r="P53" s="44">
        <f>O53/C53</f>
        <v>9.3385214007782102E-2</v>
      </c>
    </row>
    <row r="54" spans="1:16" ht="11.25" customHeight="1">
      <c r="A54" s="43" t="s">
        <v>341</v>
      </c>
      <c r="B54" s="43" t="s">
        <v>23</v>
      </c>
      <c r="C54" s="43"/>
      <c r="D54" s="116"/>
      <c r="E54" s="128"/>
      <c r="F54" s="128"/>
      <c r="G54" s="128"/>
      <c r="H54" s="128"/>
      <c r="I54" s="128"/>
      <c r="J54" s="128"/>
      <c r="K54" s="128"/>
      <c r="L54" s="128"/>
      <c r="M54" s="129"/>
      <c r="N54" s="116"/>
      <c r="O54" s="128"/>
      <c r="P54" s="141"/>
    </row>
    <row r="55" spans="1:16" ht="11.25" customHeight="1">
      <c r="A55" s="13"/>
      <c r="B55" s="13" t="s">
        <v>25</v>
      </c>
      <c r="C55" s="13">
        <v>180</v>
      </c>
      <c r="D55" s="109">
        <f>124-45+14</f>
        <v>93</v>
      </c>
      <c r="E55" s="504">
        <v>48</v>
      </c>
      <c r="F55" s="504">
        <v>28</v>
      </c>
      <c r="G55" s="504">
        <v>28</v>
      </c>
      <c r="H55" s="504">
        <v>26</v>
      </c>
      <c r="I55" s="504">
        <f>28+6</f>
        <v>34</v>
      </c>
      <c r="J55" s="504">
        <v>27</v>
      </c>
      <c r="K55" s="504">
        <v>39</v>
      </c>
      <c r="L55" s="504">
        <f>41+11</f>
        <v>52</v>
      </c>
      <c r="M55" s="110">
        <f>124-60+23</f>
        <v>87</v>
      </c>
      <c r="N55" s="109">
        <f>MIN(D55:M55)</f>
        <v>26</v>
      </c>
      <c r="O55" s="504">
        <f>C55-N55</f>
        <v>154</v>
      </c>
      <c r="P55" s="107">
        <f>O55/C55</f>
        <v>0.85555555555555551</v>
      </c>
    </row>
    <row r="56" spans="1:16" ht="11.25" customHeight="1">
      <c r="A56" s="13"/>
      <c r="B56" s="13" t="s">
        <v>27</v>
      </c>
      <c r="C56" s="13"/>
      <c r="D56" s="109"/>
      <c r="E56" s="504"/>
      <c r="F56" s="504"/>
      <c r="G56" s="504"/>
      <c r="H56" s="504"/>
      <c r="I56" s="504"/>
      <c r="J56" s="504"/>
      <c r="K56" s="504"/>
      <c r="L56" s="504"/>
      <c r="M56" s="110"/>
      <c r="N56" s="109"/>
      <c r="O56" s="504"/>
      <c r="P56" s="107"/>
    </row>
    <row r="57" spans="1:16" ht="11.25" customHeight="1">
      <c r="A57" s="13"/>
      <c r="B57" s="13" t="s">
        <v>115</v>
      </c>
      <c r="C57" s="13">
        <v>47</v>
      </c>
      <c r="D57" s="109">
        <v>34</v>
      </c>
      <c r="E57" s="504">
        <v>21</v>
      </c>
      <c r="F57" s="504">
        <v>12</v>
      </c>
      <c r="G57" s="504">
        <v>11</v>
      </c>
      <c r="H57" s="504">
        <v>7</v>
      </c>
      <c r="I57" s="504">
        <v>4</v>
      </c>
      <c r="J57" s="504">
        <v>3</v>
      </c>
      <c r="K57" s="504">
        <v>11</v>
      </c>
      <c r="L57" s="504">
        <v>18</v>
      </c>
      <c r="M57" s="110">
        <v>25</v>
      </c>
      <c r="N57" s="109">
        <f>MIN(D57:M57)</f>
        <v>3</v>
      </c>
      <c r="O57" s="504">
        <f>C57-N57</f>
        <v>44</v>
      </c>
      <c r="P57" s="107">
        <f>O57/C57</f>
        <v>0.93617021276595747</v>
      </c>
    </row>
    <row r="58" spans="1:16" ht="11.25" customHeight="1">
      <c r="A58" s="13"/>
      <c r="B58" s="13" t="s">
        <v>115</v>
      </c>
      <c r="C58" s="13"/>
      <c r="D58" s="109"/>
      <c r="E58" s="504"/>
      <c r="F58" s="504"/>
      <c r="G58" s="504"/>
      <c r="H58" s="504"/>
      <c r="I58" s="504"/>
      <c r="J58" s="504"/>
      <c r="K58" s="504"/>
      <c r="L58" s="504"/>
      <c r="M58" s="110"/>
      <c r="N58" s="109"/>
      <c r="O58" s="504"/>
      <c r="P58" s="107"/>
    </row>
    <row r="59" spans="1:16" ht="11.25" customHeight="1">
      <c r="A59" s="13"/>
      <c r="B59" s="13" t="s">
        <v>32</v>
      </c>
      <c r="C59" s="13"/>
      <c r="D59" s="109"/>
      <c r="E59" s="504"/>
      <c r="F59" s="504"/>
      <c r="G59" s="504"/>
      <c r="H59" s="504"/>
      <c r="I59" s="504"/>
      <c r="J59" s="504"/>
      <c r="K59" s="504"/>
      <c r="L59" s="504"/>
      <c r="M59" s="110"/>
      <c r="N59" s="109"/>
      <c r="O59" s="504"/>
      <c r="P59" s="107"/>
    </row>
    <row r="60" spans="1:16" ht="11.25" customHeight="1">
      <c r="A60" s="13"/>
      <c r="B60" s="13" t="s">
        <v>245</v>
      </c>
      <c r="C60" s="13">
        <v>3</v>
      </c>
      <c r="D60" s="109">
        <v>3</v>
      </c>
      <c r="E60" s="504">
        <v>2</v>
      </c>
      <c r="F60" s="504">
        <v>1</v>
      </c>
      <c r="G60" s="504">
        <v>2</v>
      </c>
      <c r="H60" s="504">
        <v>2</v>
      </c>
      <c r="I60" s="504">
        <v>0</v>
      </c>
      <c r="J60" s="504">
        <v>2</v>
      </c>
      <c r="K60" s="504">
        <v>3</v>
      </c>
      <c r="L60" s="504">
        <v>3</v>
      </c>
      <c r="M60" s="110">
        <v>3</v>
      </c>
      <c r="N60" s="109">
        <f t="shared" ref="N60:N62" si="23">MIN(D60:M60)</f>
        <v>0</v>
      </c>
      <c r="O60" s="504">
        <f t="shared" ref="O60:O62" si="24">C60-N60</f>
        <v>3</v>
      </c>
      <c r="P60" s="107">
        <f t="shared" ref="P60:P62" si="25">O60/C60</f>
        <v>1</v>
      </c>
    </row>
    <row r="61" spans="1:16" ht="11.25" customHeight="1">
      <c r="A61" s="13"/>
      <c r="B61" s="13" t="s">
        <v>118</v>
      </c>
      <c r="C61" s="13">
        <v>8</v>
      </c>
      <c r="D61" s="109">
        <f t="shared" ref="D61:E61" si="26">3+2+2</f>
        <v>7</v>
      </c>
      <c r="E61" s="504">
        <f t="shared" si="26"/>
        <v>7</v>
      </c>
      <c r="F61" s="504">
        <f>2+1+2</f>
        <v>5</v>
      </c>
      <c r="G61" s="504">
        <v>6</v>
      </c>
      <c r="H61" s="504">
        <v>6</v>
      </c>
      <c r="I61" s="504">
        <v>7</v>
      </c>
      <c r="J61" s="504">
        <v>8</v>
      </c>
      <c r="K61" s="504">
        <v>7</v>
      </c>
      <c r="L61" s="504">
        <v>7</v>
      </c>
      <c r="M61" s="110">
        <v>5</v>
      </c>
      <c r="N61" s="109">
        <f t="shared" si="23"/>
        <v>5</v>
      </c>
      <c r="O61" s="504">
        <f t="shared" si="24"/>
        <v>3</v>
      </c>
      <c r="P61" s="107">
        <f t="shared" si="25"/>
        <v>0.375</v>
      </c>
    </row>
    <row r="62" spans="1:16" ht="11.25" customHeight="1">
      <c r="A62" s="13"/>
      <c r="B62" s="13" t="s">
        <v>487</v>
      </c>
      <c r="C62" s="13">
        <v>3</v>
      </c>
      <c r="D62" s="109">
        <v>3</v>
      </c>
      <c r="E62" s="504">
        <v>3</v>
      </c>
      <c r="F62" s="504">
        <v>3</v>
      </c>
      <c r="G62" s="504">
        <v>2</v>
      </c>
      <c r="H62" s="504">
        <v>3</v>
      </c>
      <c r="I62" s="504">
        <v>3</v>
      </c>
      <c r="J62" s="504">
        <v>3</v>
      </c>
      <c r="K62" s="504">
        <v>3</v>
      </c>
      <c r="L62" s="504">
        <v>3</v>
      </c>
      <c r="M62" s="110">
        <v>3</v>
      </c>
      <c r="N62" s="109">
        <f t="shared" si="23"/>
        <v>2</v>
      </c>
      <c r="O62" s="504">
        <f t="shared" si="24"/>
        <v>1</v>
      </c>
      <c r="P62" s="107">
        <f t="shared" si="25"/>
        <v>0.33333333333333331</v>
      </c>
    </row>
    <row r="63" spans="1:16" ht="11.25" customHeight="1">
      <c r="A63" s="13"/>
      <c r="B63" s="13" t="s">
        <v>120</v>
      </c>
      <c r="C63" s="13"/>
      <c r="D63" s="109"/>
      <c r="E63" s="504"/>
      <c r="F63" s="504"/>
      <c r="G63" s="504"/>
      <c r="H63" s="504"/>
      <c r="I63" s="504"/>
      <c r="J63" s="504"/>
      <c r="K63" s="504"/>
      <c r="L63" s="504"/>
      <c r="M63" s="110"/>
      <c r="N63" s="109"/>
      <c r="O63" s="504"/>
      <c r="P63" s="107"/>
    </row>
    <row r="64" spans="1:16" ht="11.25" customHeight="1">
      <c r="A64" s="13"/>
      <c r="B64" s="13" t="s">
        <v>120</v>
      </c>
      <c r="C64" s="13"/>
      <c r="D64" s="109"/>
      <c r="E64" s="504"/>
      <c r="F64" s="504"/>
      <c r="G64" s="504"/>
      <c r="H64" s="504"/>
      <c r="I64" s="504"/>
      <c r="J64" s="504"/>
      <c r="K64" s="504"/>
      <c r="L64" s="504"/>
      <c r="M64" s="110"/>
      <c r="N64" s="109"/>
      <c r="O64" s="504"/>
      <c r="P64" s="107"/>
    </row>
    <row r="65" spans="1:16" ht="11.25" customHeight="1">
      <c r="A65" s="13"/>
      <c r="B65" s="13" t="s">
        <v>120</v>
      </c>
      <c r="C65" s="13"/>
      <c r="D65" s="109"/>
      <c r="E65" s="504"/>
      <c r="F65" s="504"/>
      <c r="G65" s="504"/>
      <c r="H65" s="504"/>
      <c r="I65" s="504"/>
      <c r="J65" s="504"/>
      <c r="K65" s="504"/>
      <c r="L65" s="504"/>
      <c r="M65" s="110"/>
      <c r="N65" s="109"/>
      <c r="O65" s="504"/>
      <c r="P65" s="107"/>
    </row>
    <row r="66" spans="1:16" ht="11.25" customHeight="1">
      <c r="A66" s="13"/>
      <c r="B66" s="13" t="s">
        <v>34</v>
      </c>
      <c r="C66" s="13">
        <v>6</v>
      </c>
      <c r="D66" s="109">
        <v>5</v>
      </c>
      <c r="E66" s="504">
        <v>5</v>
      </c>
      <c r="F66" s="504">
        <v>5</v>
      </c>
      <c r="G66" s="504">
        <v>5</v>
      </c>
      <c r="H66" s="504">
        <v>5</v>
      </c>
      <c r="I66" s="504">
        <v>5</v>
      </c>
      <c r="J66" s="504">
        <v>5</v>
      </c>
      <c r="K66" s="504">
        <v>6</v>
      </c>
      <c r="L66" s="504">
        <v>6</v>
      </c>
      <c r="M66" s="110">
        <v>6</v>
      </c>
      <c r="N66" s="109">
        <f t="shared" ref="N66:N67" si="27">MIN(D66:M66)</f>
        <v>5</v>
      </c>
      <c r="O66" s="504">
        <f t="shared" ref="O66:O67" si="28">C66-N66</f>
        <v>1</v>
      </c>
      <c r="P66" s="107">
        <f t="shared" ref="P66:P67" si="29">O66/C66</f>
        <v>0.16666666666666666</v>
      </c>
    </row>
    <row r="67" spans="1:16" ht="11.25" customHeight="1">
      <c r="A67" s="13"/>
      <c r="B67" s="13" t="s">
        <v>301</v>
      </c>
      <c r="C67" s="13">
        <v>5</v>
      </c>
      <c r="D67" s="109">
        <v>1</v>
      </c>
      <c r="E67" s="504">
        <v>1</v>
      </c>
      <c r="F67" s="504">
        <v>1</v>
      </c>
      <c r="G67" s="504">
        <v>1</v>
      </c>
      <c r="H67" s="504">
        <v>2</v>
      </c>
      <c r="I67" s="504">
        <v>2</v>
      </c>
      <c r="J67" s="504">
        <v>1</v>
      </c>
      <c r="K67" s="504">
        <v>1</v>
      </c>
      <c r="L67" s="504">
        <v>1</v>
      </c>
      <c r="M67" s="110">
        <v>1</v>
      </c>
      <c r="N67" s="109">
        <f t="shared" si="27"/>
        <v>1</v>
      </c>
      <c r="O67" s="504">
        <f t="shared" si="28"/>
        <v>4</v>
      </c>
      <c r="P67" s="107">
        <f t="shared" si="29"/>
        <v>0.8</v>
      </c>
    </row>
    <row r="68" spans="1:16" ht="11.25" customHeight="1">
      <c r="A68" s="13"/>
      <c r="B68" s="13" t="s">
        <v>36</v>
      </c>
      <c r="C68" s="13"/>
      <c r="D68" s="109"/>
      <c r="E68" s="504"/>
      <c r="F68" s="504"/>
      <c r="G68" s="504"/>
      <c r="H68" s="504"/>
      <c r="I68" s="504"/>
      <c r="J68" s="504"/>
      <c r="K68" s="504"/>
      <c r="L68" s="504"/>
      <c r="M68" s="110"/>
      <c r="N68" s="109"/>
      <c r="O68" s="504"/>
      <c r="P68" s="107"/>
    </row>
    <row r="69" spans="1:16" ht="11.25" customHeight="1">
      <c r="A69" s="13"/>
      <c r="B69" s="13" t="s">
        <v>37</v>
      </c>
      <c r="C69" s="13"/>
      <c r="D69" s="109"/>
      <c r="E69" s="504"/>
      <c r="F69" s="504"/>
      <c r="G69" s="504"/>
      <c r="H69" s="504"/>
      <c r="I69" s="504"/>
      <c r="J69" s="504"/>
      <c r="K69" s="504"/>
      <c r="L69" s="504"/>
      <c r="M69" s="110"/>
      <c r="N69" s="109"/>
      <c r="O69" s="504"/>
      <c r="P69" s="107"/>
    </row>
    <row r="70" spans="1:16" ht="11.25" customHeight="1">
      <c r="A70" s="2"/>
      <c r="B70" s="3" t="s">
        <v>38</v>
      </c>
      <c r="C70" s="21">
        <f t="shared" ref="C70:M70" si="30">SUM(C54:C69)</f>
        <v>252</v>
      </c>
      <c r="D70" s="21">
        <f t="shared" si="30"/>
        <v>146</v>
      </c>
      <c r="E70" s="71">
        <f t="shared" si="30"/>
        <v>87</v>
      </c>
      <c r="F70" s="71">
        <f t="shared" si="30"/>
        <v>55</v>
      </c>
      <c r="G70" s="71">
        <f t="shared" si="30"/>
        <v>55</v>
      </c>
      <c r="H70" s="71">
        <f t="shared" si="30"/>
        <v>51</v>
      </c>
      <c r="I70" s="71">
        <f t="shared" si="30"/>
        <v>55</v>
      </c>
      <c r="J70" s="71">
        <f t="shared" si="30"/>
        <v>49</v>
      </c>
      <c r="K70" s="71">
        <f t="shared" si="30"/>
        <v>70</v>
      </c>
      <c r="L70" s="71">
        <f t="shared" si="30"/>
        <v>90</v>
      </c>
      <c r="M70" s="26">
        <f t="shared" si="30"/>
        <v>130</v>
      </c>
      <c r="N70" s="71">
        <f t="shared" ref="N70:N72" si="31">MIN(D70:M70)</f>
        <v>49</v>
      </c>
      <c r="O70" s="71">
        <f t="shared" ref="O70:O72" si="32">C70-N70</f>
        <v>203</v>
      </c>
      <c r="P70" s="7">
        <f t="shared" ref="P70:P72" si="33">O70/C70</f>
        <v>0.80555555555555558</v>
      </c>
    </row>
    <row r="71" spans="1:16" ht="11.25" customHeight="1">
      <c r="A71" s="43" t="s">
        <v>343</v>
      </c>
      <c r="B71" s="43" t="s">
        <v>23</v>
      </c>
      <c r="C71" s="43">
        <v>156</v>
      </c>
      <c r="D71" s="109">
        <f>C71-17</f>
        <v>139</v>
      </c>
      <c r="E71" s="504">
        <f>C71-54</f>
        <v>102</v>
      </c>
      <c r="F71" s="504">
        <f>C71-70</f>
        <v>86</v>
      </c>
      <c r="G71" s="504">
        <v>78</v>
      </c>
      <c r="H71" s="504">
        <v>78</v>
      </c>
      <c r="I71" s="504">
        <f>C71-84</f>
        <v>72</v>
      </c>
      <c r="J71" s="504">
        <f>C71-71</f>
        <v>85</v>
      </c>
      <c r="K71" s="504">
        <v>72</v>
      </c>
      <c r="L71" s="504">
        <f>C71-60</f>
        <v>96</v>
      </c>
      <c r="M71" s="110">
        <f>C71-46</f>
        <v>110</v>
      </c>
      <c r="N71" s="109">
        <f t="shared" si="31"/>
        <v>72</v>
      </c>
      <c r="O71" s="504">
        <f t="shared" si="32"/>
        <v>84</v>
      </c>
      <c r="P71" s="107">
        <f t="shared" si="33"/>
        <v>0.53846153846153844</v>
      </c>
    </row>
    <row r="72" spans="1:16" ht="11.25" customHeight="1">
      <c r="A72" s="13"/>
      <c r="B72" s="13" t="s">
        <v>25</v>
      </c>
      <c r="C72" s="13">
        <v>89</v>
      </c>
      <c r="D72" s="109">
        <f>60-6+6</f>
        <v>60</v>
      </c>
      <c r="E72" s="504">
        <f>60-14</f>
        <v>46</v>
      </c>
      <c r="F72" s="504">
        <f>60-21</f>
        <v>39</v>
      </c>
      <c r="G72" s="504">
        <v>30</v>
      </c>
      <c r="H72" s="504">
        <v>32</v>
      </c>
      <c r="I72" s="504">
        <f>60-26+2</f>
        <v>36</v>
      </c>
      <c r="J72" s="504">
        <f>60-25</f>
        <v>35</v>
      </c>
      <c r="K72" s="504">
        <f>60-20+3</f>
        <v>43</v>
      </c>
      <c r="L72" s="504">
        <f>60-19+29-17</f>
        <v>53</v>
      </c>
      <c r="M72" s="110">
        <f>60-12+29-12</f>
        <v>65</v>
      </c>
      <c r="N72" s="109">
        <f t="shared" si="31"/>
        <v>30</v>
      </c>
      <c r="O72" s="504">
        <f t="shared" si="32"/>
        <v>59</v>
      </c>
      <c r="P72" s="107">
        <f t="shared" si="33"/>
        <v>0.6629213483146067</v>
      </c>
    </row>
    <row r="73" spans="1:16" ht="11.25" customHeight="1">
      <c r="A73" s="13"/>
      <c r="B73" s="13" t="s">
        <v>27</v>
      </c>
      <c r="C73" s="13"/>
      <c r="D73" s="109"/>
      <c r="E73" s="504"/>
      <c r="F73" s="504"/>
      <c r="G73" s="504"/>
      <c r="H73" s="504"/>
      <c r="I73" s="504"/>
      <c r="J73" s="504"/>
      <c r="K73" s="504"/>
      <c r="L73" s="504"/>
      <c r="M73" s="110"/>
      <c r="N73" s="109"/>
      <c r="O73" s="504"/>
      <c r="P73" s="107"/>
    </row>
    <row r="74" spans="1:16" ht="11.25" customHeight="1">
      <c r="A74" s="13"/>
      <c r="B74" s="13" t="s">
        <v>115</v>
      </c>
      <c r="C74" s="13"/>
      <c r="D74" s="109"/>
      <c r="E74" s="504"/>
      <c r="F74" s="504"/>
      <c r="G74" s="504"/>
      <c r="H74" s="504"/>
      <c r="I74" s="504"/>
      <c r="J74" s="504"/>
      <c r="K74" s="504"/>
      <c r="L74" s="504"/>
      <c r="M74" s="110"/>
      <c r="N74" s="109"/>
      <c r="O74" s="504"/>
      <c r="P74" s="107"/>
    </row>
    <row r="75" spans="1:16" ht="11.25" customHeight="1">
      <c r="A75" s="13"/>
      <c r="B75" s="13" t="s">
        <v>115</v>
      </c>
      <c r="C75" s="13"/>
      <c r="D75" s="109"/>
      <c r="E75" s="504"/>
      <c r="F75" s="504"/>
      <c r="G75" s="504"/>
      <c r="H75" s="504"/>
      <c r="I75" s="504"/>
      <c r="J75" s="504"/>
      <c r="K75" s="504"/>
      <c r="L75" s="504"/>
      <c r="M75" s="110"/>
      <c r="N75" s="109"/>
      <c r="O75" s="504"/>
      <c r="P75" s="107"/>
    </row>
    <row r="76" spans="1:16" ht="11.25" customHeight="1">
      <c r="A76" s="13"/>
      <c r="B76" s="13" t="s">
        <v>32</v>
      </c>
      <c r="C76" s="13"/>
      <c r="D76" s="109"/>
      <c r="E76" s="504"/>
      <c r="F76" s="504"/>
      <c r="G76" s="504"/>
      <c r="H76" s="504"/>
      <c r="I76" s="504"/>
      <c r="J76" s="504"/>
      <c r="K76" s="504"/>
      <c r="L76" s="504"/>
      <c r="M76" s="110"/>
      <c r="N76" s="109"/>
      <c r="O76" s="504"/>
      <c r="P76" s="107"/>
    </row>
    <row r="77" spans="1:16" ht="11.25" customHeight="1">
      <c r="A77" s="13"/>
      <c r="B77" s="13" t="s">
        <v>118</v>
      </c>
      <c r="C77" s="13">
        <v>8</v>
      </c>
      <c r="D77" s="109">
        <v>8</v>
      </c>
      <c r="E77" s="504">
        <v>7</v>
      </c>
      <c r="F77" s="504">
        <v>6</v>
      </c>
      <c r="G77" s="504">
        <v>5</v>
      </c>
      <c r="H77" s="504">
        <v>5</v>
      </c>
      <c r="I77" s="504">
        <v>4</v>
      </c>
      <c r="J77" s="504">
        <v>6</v>
      </c>
      <c r="K77" s="504">
        <v>6</v>
      </c>
      <c r="L77" s="504">
        <v>6</v>
      </c>
      <c r="M77" s="110">
        <v>6</v>
      </c>
      <c r="N77" s="109">
        <f>MIN(D77:M77)</f>
        <v>4</v>
      </c>
      <c r="O77" s="504">
        <f>C77-N77</f>
        <v>4</v>
      </c>
      <c r="P77" s="107">
        <f>O77/C77</f>
        <v>0.5</v>
      </c>
    </row>
    <row r="78" spans="1:16" ht="11.25" customHeight="1">
      <c r="A78" s="13"/>
      <c r="B78" s="13" t="s">
        <v>120</v>
      </c>
      <c r="C78" s="13"/>
      <c r="D78" s="109"/>
      <c r="E78" s="504"/>
      <c r="F78" s="504"/>
      <c r="G78" s="504"/>
      <c r="H78" s="504"/>
      <c r="I78" s="504"/>
      <c r="J78" s="504"/>
      <c r="K78" s="504"/>
      <c r="L78" s="504"/>
      <c r="M78" s="110"/>
      <c r="N78" s="109"/>
      <c r="O78" s="504"/>
      <c r="P78" s="107"/>
    </row>
    <row r="79" spans="1:16" ht="11.25" customHeight="1">
      <c r="A79" s="13"/>
      <c r="B79" s="13" t="s">
        <v>120</v>
      </c>
      <c r="C79" s="13"/>
      <c r="D79" s="109"/>
      <c r="E79" s="504"/>
      <c r="F79" s="504"/>
      <c r="G79" s="504"/>
      <c r="H79" s="504"/>
      <c r="I79" s="504"/>
      <c r="J79" s="504"/>
      <c r="K79" s="504"/>
      <c r="L79" s="504"/>
      <c r="M79" s="110"/>
      <c r="N79" s="109"/>
      <c r="O79" s="504"/>
      <c r="P79" s="107"/>
    </row>
    <row r="80" spans="1:16" ht="11.25" customHeight="1">
      <c r="A80" s="13"/>
      <c r="B80" s="13" t="s">
        <v>120</v>
      </c>
      <c r="C80" s="13"/>
      <c r="D80" s="109"/>
      <c r="E80" s="504"/>
      <c r="F80" s="504"/>
      <c r="G80" s="504"/>
      <c r="H80" s="504"/>
      <c r="I80" s="504"/>
      <c r="J80" s="504"/>
      <c r="K80" s="504"/>
      <c r="L80" s="504"/>
      <c r="M80" s="110"/>
      <c r="N80" s="109"/>
      <c r="O80" s="504"/>
      <c r="P80" s="107"/>
    </row>
    <row r="81" spans="1:16" ht="11.25" customHeight="1">
      <c r="A81" s="13"/>
      <c r="B81" s="13" t="s">
        <v>120</v>
      </c>
      <c r="C81" s="13"/>
      <c r="D81" s="109"/>
      <c r="E81" s="504"/>
      <c r="F81" s="504"/>
      <c r="G81" s="504"/>
      <c r="H81" s="504"/>
      <c r="I81" s="504"/>
      <c r="J81" s="504"/>
      <c r="K81" s="504"/>
      <c r="L81" s="504"/>
      <c r="M81" s="110"/>
      <c r="N81" s="109"/>
      <c r="O81" s="504"/>
      <c r="P81" s="107"/>
    </row>
    <row r="82" spans="1:16" ht="11.25" customHeight="1">
      <c r="A82" s="13"/>
      <c r="B82" s="13" t="s">
        <v>120</v>
      </c>
      <c r="C82" s="13"/>
      <c r="D82" s="109"/>
      <c r="E82" s="504"/>
      <c r="F82" s="504"/>
      <c r="G82" s="504"/>
      <c r="H82" s="504"/>
      <c r="I82" s="504"/>
      <c r="J82" s="504"/>
      <c r="K82" s="504"/>
      <c r="L82" s="504"/>
      <c r="M82" s="110"/>
      <c r="N82" s="109"/>
      <c r="O82" s="504"/>
      <c r="P82" s="107"/>
    </row>
    <row r="83" spans="1:16" ht="11.25" customHeight="1">
      <c r="A83" s="13"/>
      <c r="B83" s="13" t="s">
        <v>34</v>
      </c>
      <c r="C83" s="13">
        <v>6</v>
      </c>
      <c r="D83" s="109">
        <v>6</v>
      </c>
      <c r="E83" s="504">
        <v>6</v>
      </c>
      <c r="F83" s="504">
        <v>6</v>
      </c>
      <c r="G83" s="504">
        <v>6</v>
      </c>
      <c r="H83" s="504">
        <v>6</v>
      </c>
      <c r="I83" s="504">
        <v>6</v>
      </c>
      <c r="J83" s="504">
        <v>6</v>
      </c>
      <c r="K83" s="504">
        <v>6</v>
      </c>
      <c r="L83" s="504">
        <v>6</v>
      </c>
      <c r="M83" s="110">
        <v>6</v>
      </c>
      <c r="N83" s="109">
        <f t="shared" ref="N83:N84" si="34">MIN(D83:M83)</f>
        <v>6</v>
      </c>
      <c r="O83" s="504">
        <f t="shared" ref="O83:O84" si="35">C83-N83</f>
        <v>0</v>
      </c>
      <c r="P83" s="107">
        <f t="shared" ref="P83:P84" si="36">O83/C83</f>
        <v>0</v>
      </c>
    </row>
    <row r="84" spans="1:16" ht="11.25" customHeight="1">
      <c r="A84" s="13"/>
      <c r="B84" s="13" t="s">
        <v>301</v>
      </c>
      <c r="C84" s="13">
        <v>2</v>
      </c>
      <c r="D84" s="109">
        <v>2</v>
      </c>
      <c r="E84" s="504">
        <v>2</v>
      </c>
      <c r="F84" s="504">
        <v>2</v>
      </c>
      <c r="G84" s="504">
        <v>2</v>
      </c>
      <c r="H84" s="504">
        <v>2</v>
      </c>
      <c r="I84" s="504">
        <v>1</v>
      </c>
      <c r="J84" s="504">
        <v>1</v>
      </c>
      <c r="K84" s="504">
        <v>1</v>
      </c>
      <c r="L84" s="504">
        <v>1</v>
      </c>
      <c r="M84" s="110">
        <v>1</v>
      </c>
      <c r="N84" s="109">
        <f t="shared" si="34"/>
        <v>1</v>
      </c>
      <c r="O84" s="504">
        <f t="shared" si="35"/>
        <v>1</v>
      </c>
      <c r="P84" s="107">
        <f t="shared" si="36"/>
        <v>0.5</v>
      </c>
    </row>
    <row r="85" spans="1:16" ht="11.25" customHeight="1">
      <c r="A85" s="13"/>
      <c r="B85" s="13" t="s">
        <v>36</v>
      </c>
      <c r="C85" s="13"/>
      <c r="D85" s="109"/>
      <c r="E85" s="504"/>
      <c r="F85" s="504"/>
      <c r="G85" s="504"/>
      <c r="H85" s="504"/>
      <c r="I85" s="504"/>
      <c r="J85" s="504"/>
      <c r="K85" s="504"/>
      <c r="L85" s="504"/>
      <c r="M85" s="110"/>
      <c r="N85" s="109"/>
      <c r="O85" s="504"/>
      <c r="P85" s="107"/>
    </row>
    <row r="86" spans="1:16" ht="11.25" customHeight="1">
      <c r="A86" s="13"/>
      <c r="B86" s="13" t="s">
        <v>37</v>
      </c>
      <c r="C86" s="13"/>
      <c r="D86" s="109"/>
      <c r="E86" s="504"/>
      <c r="F86" s="504"/>
      <c r="G86" s="504"/>
      <c r="H86" s="504"/>
      <c r="I86" s="504"/>
      <c r="J86" s="504"/>
      <c r="K86" s="504"/>
      <c r="L86" s="504"/>
      <c r="M86" s="110"/>
      <c r="N86" s="109"/>
      <c r="O86" s="504"/>
      <c r="P86" s="107"/>
    </row>
    <row r="87" spans="1:16" ht="11.25" customHeight="1">
      <c r="A87" s="2"/>
      <c r="B87" s="3" t="s">
        <v>38</v>
      </c>
      <c r="C87" s="3">
        <f t="shared" ref="C87:M87" si="37">SUM(C71:C86)</f>
        <v>261</v>
      </c>
      <c r="D87" s="21">
        <f t="shared" si="37"/>
        <v>215</v>
      </c>
      <c r="E87" s="71">
        <f t="shared" si="37"/>
        <v>163</v>
      </c>
      <c r="F87" s="71">
        <f t="shared" si="37"/>
        <v>139</v>
      </c>
      <c r="G87" s="71">
        <f t="shared" si="37"/>
        <v>121</v>
      </c>
      <c r="H87" s="71">
        <f t="shared" si="37"/>
        <v>123</v>
      </c>
      <c r="I87" s="71">
        <f t="shared" si="37"/>
        <v>119</v>
      </c>
      <c r="J87" s="71">
        <f t="shared" si="37"/>
        <v>133</v>
      </c>
      <c r="K87" s="71">
        <f t="shared" si="37"/>
        <v>128</v>
      </c>
      <c r="L87" s="71">
        <f t="shared" si="37"/>
        <v>162</v>
      </c>
      <c r="M87" s="26">
        <f t="shared" si="37"/>
        <v>188</v>
      </c>
      <c r="N87" s="21">
        <f>MIN(D87:M87)</f>
        <v>119</v>
      </c>
      <c r="O87" s="71">
        <f>C87-N87</f>
        <v>142</v>
      </c>
      <c r="P87" s="7">
        <f>O87/C87</f>
        <v>0.54406130268199238</v>
      </c>
    </row>
    <row r="88" spans="1:16" ht="11.25" customHeight="1">
      <c r="A88" s="43" t="s">
        <v>344</v>
      </c>
      <c r="B88" s="43" t="s">
        <v>23</v>
      </c>
      <c r="C88" s="43"/>
      <c r="D88" s="116"/>
      <c r="E88" s="128"/>
      <c r="F88" s="128"/>
      <c r="G88" s="128"/>
      <c r="H88" s="128"/>
      <c r="I88" s="128"/>
      <c r="J88" s="128"/>
      <c r="K88" s="128"/>
      <c r="L88" s="128"/>
      <c r="M88" s="129"/>
      <c r="N88" s="116"/>
      <c r="O88" s="128"/>
      <c r="P88" s="141"/>
    </row>
    <row r="89" spans="1:16" ht="11.25" customHeight="1">
      <c r="A89" s="13"/>
      <c r="B89" s="13" t="s">
        <v>25</v>
      </c>
      <c r="C89" s="13">
        <v>253</v>
      </c>
      <c r="D89" s="109">
        <f>189+62</f>
        <v>251</v>
      </c>
      <c r="E89" s="504">
        <f>189+63</f>
        <v>252</v>
      </c>
      <c r="F89" s="504">
        <f>188+63</f>
        <v>251</v>
      </c>
      <c r="G89" s="504">
        <f>186+63</f>
        <v>249</v>
      </c>
      <c r="H89" s="504">
        <f>187+63</f>
        <v>250</v>
      </c>
      <c r="I89" s="504">
        <f>C89-3</f>
        <v>250</v>
      </c>
      <c r="J89" s="504">
        <v>250</v>
      </c>
      <c r="K89" s="504">
        <v>250</v>
      </c>
      <c r="L89" s="504">
        <v>250</v>
      </c>
      <c r="M89" s="110">
        <v>251</v>
      </c>
      <c r="N89" s="109">
        <f>MIN(D89:M89)</f>
        <v>249</v>
      </c>
      <c r="O89" s="504">
        <f>C89-N89</f>
        <v>4</v>
      </c>
      <c r="P89" s="107">
        <f>O89/C89</f>
        <v>1.5810276679841896E-2</v>
      </c>
    </row>
    <row r="90" spans="1:16" ht="11.25" customHeight="1">
      <c r="A90" s="13"/>
      <c r="B90" s="13" t="s">
        <v>27</v>
      </c>
      <c r="C90" s="13"/>
      <c r="D90" s="109"/>
      <c r="E90" s="504"/>
      <c r="F90" s="504"/>
      <c r="G90" s="504"/>
      <c r="H90" s="504"/>
      <c r="I90" s="504"/>
      <c r="J90" s="504"/>
      <c r="K90" s="504"/>
      <c r="L90" s="504"/>
      <c r="M90" s="110"/>
      <c r="N90" s="109"/>
      <c r="O90" s="504"/>
      <c r="P90" s="107"/>
    </row>
    <row r="91" spans="1:16" ht="11.25" customHeight="1">
      <c r="A91" s="13"/>
      <c r="B91" s="13" t="s">
        <v>115</v>
      </c>
      <c r="C91" s="13"/>
      <c r="D91" s="109"/>
      <c r="E91" s="504"/>
      <c r="F91" s="504"/>
      <c r="G91" s="504"/>
      <c r="H91" s="504"/>
      <c r="I91" s="504"/>
      <c r="J91" s="504"/>
      <c r="K91" s="504"/>
      <c r="L91" s="504"/>
      <c r="M91" s="110"/>
      <c r="N91" s="109"/>
      <c r="O91" s="504"/>
      <c r="P91" s="107"/>
    </row>
    <row r="92" spans="1:16" ht="11.25" customHeight="1">
      <c r="A92" s="13"/>
      <c r="B92" s="13" t="s">
        <v>115</v>
      </c>
      <c r="C92" s="13"/>
      <c r="D92" s="109"/>
      <c r="E92" s="504"/>
      <c r="F92" s="504"/>
      <c r="G92" s="504"/>
      <c r="H92" s="504"/>
      <c r="I92" s="504"/>
      <c r="J92" s="504"/>
      <c r="K92" s="504"/>
      <c r="L92" s="504"/>
      <c r="M92" s="110"/>
      <c r="N92" s="109"/>
      <c r="O92" s="504"/>
      <c r="P92" s="107"/>
    </row>
    <row r="93" spans="1:16" ht="11.25" customHeight="1">
      <c r="A93" s="13"/>
      <c r="B93" s="13" t="s">
        <v>32</v>
      </c>
      <c r="C93" s="13"/>
      <c r="D93" s="109"/>
      <c r="E93" s="504"/>
      <c r="F93" s="504"/>
      <c r="G93" s="504"/>
      <c r="H93" s="504"/>
      <c r="I93" s="504"/>
      <c r="J93" s="504"/>
      <c r="K93" s="504"/>
      <c r="L93" s="504"/>
      <c r="M93" s="110"/>
      <c r="N93" s="109"/>
      <c r="O93" s="504"/>
      <c r="P93" s="107"/>
    </row>
    <row r="94" spans="1:16" ht="11.25" customHeight="1">
      <c r="A94" s="13"/>
      <c r="B94" s="13" t="s">
        <v>118</v>
      </c>
      <c r="C94" s="13">
        <v>8</v>
      </c>
      <c r="D94" s="109">
        <v>8</v>
      </c>
      <c r="E94" s="504">
        <v>8</v>
      </c>
      <c r="F94" s="504">
        <v>8</v>
      </c>
      <c r="G94" s="504">
        <v>8</v>
      </c>
      <c r="H94" s="504">
        <v>8</v>
      </c>
      <c r="I94" s="504">
        <v>8</v>
      </c>
      <c r="J94" s="504">
        <v>8</v>
      </c>
      <c r="K94" s="504">
        <v>8</v>
      </c>
      <c r="L94" s="504">
        <v>8</v>
      </c>
      <c r="M94" s="110">
        <v>8</v>
      </c>
      <c r="N94" s="109">
        <f>MIN(D94:M94)</f>
        <v>8</v>
      </c>
      <c r="O94" s="504">
        <f>C94-N94</f>
        <v>0</v>
      </c>
      <c r="P94" s="107">
        <f>O94/C94</f>
        <v>0</v>
      </c>
    </row>
    <row r="95" spans="1:16" ht="11.25" customHeight="1">
      <c r="A95" s="13"/>
      <c r="B95" s="13" t="s">
        <v>120</v>
      </c>
      <c r="C95" s="13"/>
      <c r="D95" s="109"/>
      <c r="E95" s="504"/>
      <c r="F95" s="504"/>
      <c r="G95" s="504"/>
      <c r="H95" s="504"/>
      <c r="I95" s="504"/>
      <c r="J95" s="504"/>
      <c r="K95" s="504"/>
      <c r="L95" s="504"/>
      <c r="M95" s="110"/>
      <c r="N95" s="109"/>
      <c r="O95" s="504"/>
      <c r="P95" s="107"/>
    </row>
    <row r="96" spans="1:16" ht="11.25" customHeight="1">
      <c r="A96" s="13"/>
      <c r="B96" s="13" t="s">
        <v>120</v>
      </c>
      <c r="C96" s="13"/>
      <c r="D96" s="109"/>
      <c r="E96" s="504"/>
      <c r="F96" s="504"/>
      <c r="G96" s="504"/>
      <c r="H96" s="504"/>
      <c r="I96" s="504"/>
      <c r="J96" s="504"/>
      <c r="K96" s="504"/>
      <c r="L96" s="504"/>
      <c r="M96" s="110"/>
      <c r="N96" s="109"/>
      <c r="O96" s="504"/>
      <c r="P96" s="107"/>
    </row>
    <row r="97" spans="1:16" ht="11.25" customHeight="1">
      <c r="A97" s="13"/>
      <c r="B97" s="13" t="s">
        <v>120</v>
      </c>
      <c r="C97" s="13"/>
      <c r="D97" s="109"/>
      <c r="E97" s="504"/>
      <c r="F97" s="504"/>
      <c r="G97" s="504"/>
      <c r="H97" s="504"/>
      <c r="I97" s="504"/>
      <c r="J97" s="504"/>
      <c r="K97" s="504"/>
      <c r="L97" s="504"/>
      <c r="M97" s="110"/>
      <c r="N97" s="109"/>
      <c r="O97" s="504"/>
      <c r="P97" s="107"/>
    </row>
    <row r="98" spans="1:16" ht="11.25" customHeight="1">
      <c r="A98" s="13"/>
      <c r="B98" s="13" t="s">
        <v>120</v>
      </c>
      <c r="C98" s="13"/>
      <c r="D98" s="109"/>
      <c r="E98" s="504"/>
      <c r="F98" s="504"/>
      <c r="G98" s="504"/>
      <c r="H98" s="504"/>
      <c r="I98" s="504"/>
      <c r="J98" s="504"/>
      <c r="K98" s="504"/>
      <c r="L98" s="504"/>
      <c r="M98" s="110"/>
      <c r="N98" s="109"/>
      <c r="O98" s="504"/>
      <c r="P98" s="107"/>
    </row>
    <row r="99" spans="1:16" ht="11.25" customHeight="1">
      <c r="A99" s="13"/>
      <c r="B99" s="13" t="s">
        <v>120</v>
      </c>
      <c r="C99" s="13"/>
      <c r="D99" s="109"/>
      <c r="E99" s="504"/>
      <c r="F99" s="504"/>
      <c r="G99" s="504"/>
      <c r="H99" s="504"/>
      <c r="I99" s="504"/>
      <c r="J99" s="504"/>
      <c r="K99" s="504"/>
      <c r="L99" s="504"/>
      <c r="M99" s="110"/>
      <c r="N99" s="109"/>
      <c r="O99" s="504"/>
      <c r="P99" s="107"/>
    </row>
    <row r="100" spans="1:16" ht="11.25" customHeight="1">
      <c r="A100" s="13"/>
      <c r="B100" s="13" t="s">
        <v>34</v>
      </c>
      <c r="C100" s="13">
        <v>5</v>
      </c>
      <c r="D100" s="109">
        <v>5</v>
      </c>
      <c r="E100" s="504">
        <v>5</v>
      </c>
      <c r="F100" s="504">
        <v>5</v>
      </c>
      <c r="G100" s="504">
        <v>5</v>
      </c>
      <c r="H100" s="504">
        <v>5</v>
      </c>
      <c r="I100" s="504">
        <v>5</v>
      </c>
      <c r="J100" s="504">
        <v>5</v>
      </c>
      <c r="K100" s="504">
        <v>5</v>
      </c>
      <c r="L100" s="504">
        <v>5</v>
      </c>
      <c r="M100" s="110">
        <v>5</v>
      </c>
      <c r="N100" s="109">
        <f t="shared" ref="N100:N101" si="38">MIN(D100:M100)</f>
        <v>5</v>
      </c>
      <c r="O100" s="504">
        <f t="shared" ref="O100:O101" si="39">C100-N100</f>
        <v>0</v>
      </c>
      <c r="P100" s="107">
        <f t="shared" ref="P100:P101" si="40">O100/C100</f>
        <v>0</v>
      </c>
    </row>
    <row r="101" spans="1:16" ht="11.25" customHeight="1">
      <c r="A101" s="13"/>
      <c r="B101" s="13" t="s">
        <v>301</v>
      </c>
      <c r="C101" s="13">
        <v>1</v>
      </c>
      <c r="D101" s="109">
        <v>1</v>
      </c>
      <c r="E101" s="504">
        <v>1</v>
      </c>
      <c r="F101" s="504">
        <v>1</v>
      </c>
      <c r="G101" s="504">
        <v>1</v>
      </c>
      <c r="H101" s="504">
        <v>1</v>
      </c>
      <c r="I101" s="504">
        <v>1</v>
      </c>
      <c r="J101" s="504">
        <v>1</v>
      </c>
      <c r="K101" s="504">
        <v>1</v>
      </c>
      <c r="L101" s="504">
        <v>1</v>
      </c>
      <c r="M101" s="110">
        <v>1</v>
      </c>
      <c r="N101" s="109">
        <f t="shared" si="38"/>
        <v>1</v>
      </c>
      <c r="O101" s="504">
        <f t="shared" si="39"/>
        <v>0</v>
      </c>
      <c r="P101" s="107">
        <f t="shared" si="40"/>
        <v>0</v>
      </c>
    </row>
    <row r="102" spans="1:16" ht="11.25" customHeight="1">
      <c r="A102" s="13"/>
      <c r="B102" s="13" t="s">
        <v>36</v>
      </c>
      <c r="C102" s="13"/>
      <c r="D102" s="109"/>
      <c r="E102" s="504"/>
      <c r="F102" s="504"/>
      <c r="G102" s="504"/>
      <c r="H102" s="504"/>
      <c r="I102" s="504"/>
      <c r="J102" s="504"/>
      <c r="K102" s="504"/>
      <c r="L102" s="504"/>
      <c r="M102" s="110"/>
      <c r="N102" s="109"/>
      <c r="O102" s="504"/>
      <c r="P102" s="107"/>
    </row>
    <row r="103" spans="1:16" ht="11.25" customHeight="1">
      <c r="A103" s="13"/>
      <c r="B103" s="13" t="s">
        <v>37</v>
      </c>
      <c r="C103" s="13"/>
      <c r="D103" s="109"/>
      <c r="E103" s="504"/>
      <c r="F103" s="504"/>
      <c r="G103" s="504"/>
      <c r="H103" s="504"/>
      <c r="I103" s="504"/>
      <c r="J103" s="504"/>
      <c r="K103" s="504"/>
      <c r="L103" s="504"/>
      <c r="M103" s="110"/>
      <c r="N103" s="109"/>
      <c r="O103" s="504"/>
      <c r="P103" s="107"/>
    </row>
    <row r="104" spans="1:16" ht="11.25" customHeight="1">
      <c r="A104" s="2"/>
      <c r="B104" s="3" t="s">
        <v>38</v>
      </c>
      <c r="C104" s="3">
        <f t="shared" ref="C104:M104" si="41">SUM(C88:C103)</f>
        <v>267</v>
      </c>
      <c r="D104" s="21">
        <f t="shared" si="41"/>
        <v>265</v>
      </c>
      <c r="E104" s="71">
        <f t="shared" si="41"/>
        <v>266</v>
      </c>
      <c r="F104" s="71">
        <f t="shared" si="41"/>
        <v>265</v>
      </c>
      <c r="G104" s="71">
        <f t="shared" si="41"/>
        <v>263</v>
      </c>
      <c r="H104" s="71">
        <f t="shared" si="41"/>
        <v>264</v>
      </c>
      <c r="I104" s="71">
        <f t="shared" si="41"/>
        <v>264</v>
      </c>
      <c r="J104" s="71">
        <f t="shared" si="41"/>
        <v>264</v>
      </c>
      <c r="K104" s="71">
        <f t="shared" si="41"/>
        <v>264</v>
      </c>
      <c r="L104" s="71">
        <f t="shared" si="41"/>
        <v>264</v>
      </c>
      <c r="M104" s="26">
        <f t="shared" si="41"/>
        <v>265</v>
      </c>
      <c r="N104" s="21">
        <f>MIN(D104:M104)</f>
        <v>263</v>
      </c>
      <c r="O104" s="71">
        <f>C104-N104</f>
        <v>4</v>
      </c>
      <c r="P104" s="7">
        <f>O104/C104</f>
        <v>1.4981273408239701E-2</v>
      </c>
    </row>
    <row r="105" spans="1:16" ht="15.75" customHeight="1">
      <c r="A105" s="503"/>
      <c r="B105" s="503"/>
      <c r="C105" s="503"/>
      <c r="D105" s="503"/>
      <c r="E105" s="503"/>
      <c r="F105" s="503"/>
      <c r="G105" s="503"/>
      <c r="H105" s="503"/>
      <c r="I105" s="503"/>
      <c r="J105" s="503"/>
      <c r="K105" s="503"/>
      <c r="L105" s="503"/>
      <c r="M105" s="503"/>
      <c r="N105" s="503"/>
      <c r="O105" s="503"/>
      <c r="P105" s="503"/>
    </row>
    <row r="106" spans="1:16" ht="15.75" customHeight="1">
      <c r="A106" s="503"/>
      <c r="B106" s="503"/>
      <c r="C106" s="503"/>
      <c r="D106" s="503"/>
      <c r="E106" s="503"/>
      <c r="F106" s="503"/>
      <c r="G106" s="503"/>
      <c r="H106" s="503"/>
      <c r="I106" s="503"/>
      <c r="J106" s="503"/>
      <c r="K106" s="503"/>
      <c r="L106" s="503"/>
      <c r="M106" s="503"/>
      <c r="N106" s="503"/>
      <c r="O106" s="503"/>
      <c r="P106" s="503"/>
    </row>
    <row r="107" spans="1:16" ht="15.75" customHeight="1">
      <c r="A107" s="503"/>
      <c r="B107" s="503"/>
      <c r="C107" s="503"/>
      <c r="D107" s="503"/>
      <c r="E107" s="503"/>
      <c r="F107" s="503"/>
      <c r="G107" s="503"/>
      <c r="H107" s="503"/>
      <c r="I107" s="503"/>
      <c r="J107" s="503"/>
      <c r="K107" s="503"/>
      <c r="L107" s="503"/>
      <c r="M107" s="503"/>
      <c r="N107" s="503"/>
      <c r="O107" s="503"/>
      <c r="P107" s="503"/>
    </row>
    <row r="108" spans="1:16" ht="15.75" customHeight="1">
      <c r="A108" s="503"/>
      <c r="B108" s="503"/>
      <c r="C108" s="503"/>
      <c r="D108" s="503"/>
      <c r="E108" s="503"/>
      <c r="F108" s="503"/>
      <c r="G108" s="503"/>
      <c r="H108" s="503"/>
      <c r="I108" s="503"/>
      <c r="J108" s="503"/>
      <c r="K108" s="503"/>
      <c r="L108" s="503"/>
      <c r="M108" s="503"/>
      <c r="N108" s="503"/>
      <c r="O108" s="503"/>
      <c r="P108" s="503"/>
    </row>
    <row r="109" spans="1:16" ht="15.75" customHeight="1">
      <c r="A109" s="503"/>
      <c r="B109" s="503"/>
      <c r="C109" s="503"/>
      <c r="D109" s="503"/>
      <c r="E109" s="503"/>
      <c r="F109" s="503"/>
      <c r="G109" s="503"/>
      <c r="H109" s="503"/>
      <c r="I109" s="503"/>
      <c r="J109" s="503"/>
      <c r="K109" s="503"/>
      <c r="L109" s="503"/>
      <c r="M109" s="503"/>
      <c r="N109" s="503"/>
      <c r="O109" s="503"/>
      <c r="P109" s="503"/>
    </row>
    <row r="110" spans="1:16" ht="15.75" customHeight="1">
      <c r="A110" s="503"/>
      <c r="B110" s="503"/>
      <c r="C110" s="503"/>
      <c r="D110" s="503"/>
      <c r="E110" s="503"/>
      <c r="F110" s="503"/>
      <c r="G110" s="503"/>
      <c r="H110" s="503"/>
      <c r="I110" s="503"/>
      <c r="J110" s="503"/>
      <c r="K110" s="503"/>
      <c r="L110" s="503"/>
      <c r="M110" s="503"/>
      <c r="N110" s="503"/>
      <c r="O110" s="503"/>
      <c r="P110" s="503"/>
    </row>
    <row r="111" spans="1:16" ht="15.75" customHeight="1">
      <c r="A111" s="503"/>
      <c r="B111" s="503"/>
      <c r="C111" s="503"/>
      <c r="D111" s="503"/>
      <c r="E111" s="503"/>
      <c r="F111" s="503"/>
      <c r="G111" s="503"/>
      <c r="H111" s="503"/>
      <c r="I111" s="503"/>
      <c r="J111" s="503"/>
      <c r="K111" s="503"/>
      <c r="L111" s="503"/>
      <c r="M111" s="503"/>
      <c r="N111" s="503"/>
      <c r="O111" s="503"/>
      <c r="P111" s="503"/>
    </row>
    <row r="112" spans="1:16" ht="15.75" customHeight="1">
      <c r="A112" s="503"/>
      <c r="B112" s="503"/>
      <c r="C112" s="503"/>
      <c r="D112" s="503"/>
      <c r="E112" s="503"/>
      <c r="F112" s="503"/>
      <c r="G112" s="503"/>
      <c r="H112" s="503"/>
      <c r="I112" s="503"/>
      <c r="J112" s="503"/>
      <c r="K112" s="503"/>
      <c r="L112" s="503"/>
      <c r="M112" s="503"/>
      <c r="N112" s="503"/>
      <c r="O112" s="503"/>
      <c r="P112" s="50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9:P19"/>
    <mergeCell ref="A1:P1"/>
    <mergeCell ref="A2:P2"/>
    <mergeCell ref="A3:P3"/>
    <mergeCell ref="D4:M4"/>
    <mergeCell ref="N4:P4"/>
  </mergeCells>
  <pageMargins left="0.7" right="0.7" top="0.75" bottom="0.75" header="0" footer="0"/>
  <pageSetup orientation="landscape" r:id="rId1"/>
  <rowBreaks count="3" manualBreakCount="3">
    <brk id="17" man="1"/>
    <brk id="53" man="1"/>
    <brk id="8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9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14.453125" defaultRowHeight="15" customHeight="1"/>
  <cols>
    <col min="1" max="2" width="12.453125" customWidth="1"/>
    <col min="3" max="12" width="6.90625" customWidth="1"/>
    <col min="13" max="13" width="9.90625" customWidth="1"/>
    <col min="14" max="16" width="8" customWidth="1"/>
  </cols>
  <sheetData>
    <row r="1" spans="1:16" ht="14.25" customHeight="1">
      <c r="A1" s="565" t="str">
        <f>'University-wide'!A1</f>
        <v>University of California, San Diego Survey of Parking Space Occupancy Levels, Spring 2021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566"/>
      <c r="M1" s="504"/>
      <c r="N1" s="504"/>
      <c r="O1" s="504"/>
      <c r="P1" s="504"/>
    </row>
    <row r="2" spans="1:16" ht="14.25" customHeight="1">
      <c r="A2" s="565" t="s">
        <v>488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04"/>
      <c r="N2" s="504"/>
      <c r="O2" s="504"/>
      <c r="P2" s="504"/>
    </row>
    <row r="3" spans="1:16" ht="11.25" customHeight="1">
      <c r="A3" s="573"/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04"/>
      <c r="N3" s="504"/>
      <c r="O3" s="504"/>
      <c r="P3" s="504"/>
    </row>
    <row r="4" spans="1:16" ht="11.25" customHeight="1">
      <c r="A4" s="92" t="s">
        <v>112</v>
      </c>
      <c r="B4" s="92" t="s">
        <v>2</v>
      </c>
      <c r="C4" s="568" t="s">
        <v>488</v>
      </c>
      <c r="D4" s="569"/>
      <c r="E4" s="569"/>
      <c r="F4" s="569"/>
      <c r="G4" s="569"/>
      <c r="H4" s="569"/>
      <c r="I4" s="569"/>
      <c r="J4" s="569"/>
      <c r="K4" s="569"/>
      <c r="L4" s="570"/>
      <c r="M4" s="504"/>
      <c r="N4" s="504"/>
      <c r="O4" s="504"/>
      <c r="P4" s="504"/>
    </row>
    <row r="5" spans="1:16" ht="11.25" customHeight="1">
      <c r="A5" s="93"/>
      <c r="B5" s="93" t="s">
        <v>5</v>
      </c>
      <c r="C5" s="97" t="s">
        <v>7</v>
      </c>
      <c r="D5" s="98" t="s">
        <v>8</v>
      </c>
      <c r="E5" s="98" t="s">
        <v>9</v>
      </c>
      <c r="F5" s="98" t="s">
        <v>10</v>
      </c>
      <c r="G5" s="98" t="s">
        <v>11</v>
      </c>
      <c r="H5" s="98" t="s">
        <v>12</v>
      </c>
      <c r="I5" s="98" t="s">
        <v>13</v>
      </c>
      <c r="J5" s="98" t="s">
        <v>14</v>
      </c>
      <c r="K5" s="98" t="s">
        <v>15</v>
      </c>
      <c r="L5" s="99" t="s">
        <v>16</v>
      </c>
      <c r="M5" s="504"/>
      <c r="N5" s="504"/>
      <c r="O5" s="504"/>
      <c r="P5" s="504"/>
    </row>
    <row r="6" spans="1:16" ht="11.25" customHeight="1">
      <c r="A6" s="100"/>
      <c r="B6" s="100"/>
      <c r="C6" s="97" t="s">
        <v>20</v>
      </c>
      <c r="D6" s="98" t="s">
        <v>20</v>
      </c>
      <c r="E6" s="98" t="s">
        <v>20</v>
      </c>
      <c r="F6" s="98" t="s">
        <v>20</v>
      </c>
      <c r="G6" s="98" t="s">
        <v>21</v>
      </c>
      <c r="H6" s="98" t="s">
        <v>21</v>
      </c>
      <c r="I6" s="98" t="s">
        <v>21</v>
      </c>
      <c r="J6" s="98" t="s">
        <v>21</v>
      </c>
      <c r="K6" s="98" t="s">
        <v>21</v>
      </c>
      <c r="L6" s="99" t="s">
        <v>21</v>
      </c>
      <c r="M6" s="504"/>
      <c r="N6" s="504"/>
      <c r="O6" s="504"/>
      <c r="P6" s="504"/>
    </row>
    <row r="7" spans="1:16" ht="11.25" customHeight="1">
      <c r="A7" s="80" t="s">
        <v>489</v>
      </c>
      <c r="B7" s="78" t="s">
        <v>490</v>
      </c>
      <c r="C7" s="74">
        <v>82</v>
      </c>
      <c r="D7" s="75">
        <v>82</v>
      </c>
      <c r="E7" s="75">
        <v>82</v>
      </c>
      <c r="F7" s="75">
        <v>82</v>
      </c>
      <c r="G7" s="75">
        <v>82</v>
      </c>
      <c r="H7" s="75">
        <v>82</v>
      </c>
      <c r="I7" s="75">
        <v>82</v>
      </c>
      <c r="J7" s="75">
        <v>82</v>
      </c>
      <c r="K7" s="75">
        <v>82</v>
      </c>
      <c r="L7" s="76">
        <v>82</v>
      </c>
      <c r="M7" s="504"/>
      <c r="N7" s="504"/>
      <c r="O7" s="504"/>
      <c r="P7" s="504"/>
    </row>
    <row r="8" spans="1:16" ht="11.25" customHeight="1">
      <c r="A8" s="80" t="s">
        <v>130</v>
      </c>
      <c r="B8" s="80" t="s">
        <v>491</v>
      </c>
      <c r="C8" s="78">
        <v>14</v>
      </c>
      <c r="D8" s="90">
        <v>14</v>
      </c>
      <c r="E8" s="90">
        <v>14</v>
      </c>
      <c r="F8" s="90">
        <v>14</v>
      </c>
      <c r="G8" s="90">
        <v>14</v>
      </c>
      <c r="H8" s="90">
        <v>14</v>
      </c>
      <c r="I8" s="90">
        <v>14</v>
      </c>
      <c r="J8" s="90">
        <v>14</v>
      </c>
      <c r="K8" s="90">
        <v>14</v>
      </c>
      <c r="L8" s="79">
        <v>14</v>
      </c>
      <c r="M8" s="504"/>
      <c r="N8" s="504"/>
      <c r="O8" s="504"/>
      <c r="P8" s="504"/>
    </row>
    <row r="9" spans="1:16" ht="11.25" customHeight="1">
      <c r="A9" s="80" t="s">
        <v>148</v>
      </c>
      <c r="B9" s="78" t="s">
        <v>64</v>
      </c>
      <c r="C9" s="78">
        <v>269</v>
      </c>
      <c r="D9" s="77">
        <v>269</v>
      </c>
      <c r="E9" s="77">
        <v>269</v>
      </c>
      <c r="F9" s="77">
        <v>269</v>
      </c>
      <c r="G9" s="77">
        <v>269</v>
      </c>
      <c r="H9" s="77">
        <v>269</v>
      </c>
      <c r="I9" s="77">
        <v>269</v>
      </c>
      <c r="J9" s="77">
        <v>269</v>
      </c>
      <c r="K9" s="77">
        <v>269</v>
      </c>
      <c r="L9" s="79">
        <v>269</v>
      </c>
      <c r="M9" s="504"/>
      <c r="N9" s="504"/>
      <c r="O9" s="504"/>
      <c r="P9" s="504"/>
    </row>
    <row r="10" spans="1:16" ht="11.25" customHeight="1">
      <c r="A10" s="80" t="s">
        <v>174</v>
      </c>
      <c r="B10" s="78" t="s">
        <v>490</v>
      </c>
      <c r="C10" s="78">
        <v>14</v>
      </c>
      <c r="D10" s="77">
        <v>14</v>
      </c>
      <c r="E10" s="77">
        <v>14</v>
      </c>
      <c r="F10" s="77">
        <v>14</v>
      </c>
      <c r="G10" s="77">
        <v>14</v>
      </c>
      <c r="H10" s="77">
        <v>14</v>
      </c>
      <c r="I10" s="77">
        <v>14</v>
      </c>
      <c r="J10" s="77">
        <v>14</v>
      </c>
      <c r="K10" s="77">
        <v>14</v>
      </c>
      <c r="L10" s="79">
        <v>14</v>
      </c>
      <c r="M10" s="504"/>
      <c r="N10" s="504"/>
      <c r="O10" s="504"/>
      <c r="P10" s="504"/>
    </row>
    <row r="11" spans="1:16" ht="11.25" customHeight="1">
      <c r="A11" s="80" t="s">
        <v>457</v>
      </c>
      <c r="B11" s="90" t="s">
        <v>490</v>
      </c>
      <c r="C11" s="78">
        <v>105</v>
      </c>
      <c r="D11" s="77">
        <v>105</v>
      </c>
      <c r="E11" s="77">
        <v>105</v>
      </c>
      <c r="F11" s="77">
        <v>105</v>
      </c>
      <c r="G11" s="77">
        <v>105</v>
      </c>
      <c r="H11" s="77">
        <v>105</v>
      </c>
      <c r="I11" s="77">
        <v>105</v>
      </c>
      <c r="J11" s="77">
        <v>105</v>
      </c>
      <c r="K11" s="77">
        <v>105</v>
      </c>
      <c r="L11" s="79">
        <v>105</v>
      </c>
      <c r="M11" s="504"/>
      <c r="N11" s="504"/>
      <c r="O11" s="504"/>
      <c r="P11" s="504"/>
    </row>
    <row r="12" spans="1:16" ht="11.25" customHeight="1">
      <c r="A12" s="80" t="s">
        <v>348</v>
      </c>
      <c r="B12" s="90" t="s">
        <v>492</v>
      </c>
      <c r="C12" s="78">
        <v>6</v>
      </c>
      <c r="D12" s="77">
        <v>6</v>
      </c>
      <c r="E12" s="77">
        <v>6</v>
      </c>
      <c r="F12" s="77">
        <v>6</v>
      </c>
      <c r="G12" s="77">
        <v>6</v>
      </c>
      <c r="H12" s="77">
        <v>6</v>
      </c>
      <c r="I12" s="77">
        <v>6</v>
      </c>
      <c r="J12" s="77">
        <v>6</v>
      </c>
      <c r="K12" s="77">
        <v>6</v>
      </c>
      <c r="L12" s="79">
        <v>6</v>
      </c>
      <c r="M12" s="504"/>
      <c r="N12" s="504"/>
      <c r="O12" s="504"/>
      <c r="P12" s="504"/>
    </row>
    <row r="13" spans="1:16" ht="11.25" customHeight="1">
      <c r="A13" s="80" t="s">
        <v>196</v>
      </c>
      <c r="B13" s="90" t="s">
        <v>25</v>
      </c>
      <c r="C13" s="78">
        <v>1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J13" s="77">
        <v>1</v>
      </c>
      <c r="K13" s="77">
        <v>1</v>
      </c>
      <c r="L13" s="79">
        <v>1</v>
      </c>
      <c r="M13" s="504"/>
      <c r="N13" s="504"/>
      <c r="O13" s="504"/>
      <c r="P13" s="504"/>
    </row>
    <row r="14" spans="1:16" ht="11.25" customHeight="1">
      <c r="A14" s="80" t="s">
        <v>689</v>
      </c>
      <c r="B14" s="90" t="s">
        <v>690</v>
      </c>
      <c r="C14" s="78">
        <f>SUM('By Structure'!C18,'By Structure'!C21)</f>
        <v>323</v>
      </c>
      <c r="D14" s="77">
        <v>323</v>
      </c>
      <c r="E14" s="77">
        <v>323</v>
      </c>
      <c r="F14" s="77">
        <v>323</v>
      </c>
      <c r="G14" s="77">
        <v>323</v>
      </c>
      <c r="H14" s="77">
        <v>323</v>
      </c>
      <c r="I14" s="77">
        <v>323</v>
      </c>
      <c r="J14" s="77">
        <v>323</v>
      </c>
      <c r="K14" s="77">
        <v>323</v>
      </c>
      <c r="L14" s="79">
        <v>323</v>
      </c>
      <c r="M14" s="504"/>
      <c r="N14" s="504"/>
      <c r="O14" s="504"/>
      <c r="P14" s="504"/>
    </row>
    <row r="15" spans="1:16" ht="11.25" customHeight="1">
      <c r="A15" s="80" t="s">
        <v>225</v>
      </c>
      <c r="B15" s="90" t="s">
        <v>490</v>
      </c>
      <c r="C15" s="78">
        <v>153</v>
      </c>
      <c r="D15" s="77">
        <v>153</v>
      </c>
      <c r="E15" s="77">
        <v>153</v>
      </c>
      <c r="F15" s="77">
        <v>153</v>
      </c>
      <c r="G15" s="77">
        <v>153</v>
      </c>
      <c r="H15" s="77">
        <v>153</v>
      </c>
      <c r="I15" s="77">
        <v>153</v>
      </c>
      <c r="J15" s="77">
        <v>153</v>
      </c>
      <c r="K15" s="77">
        <v>153</v>
      </c>
      <c r="L15" s="79">
        <v>153</v>
      </c>
      <c r="M15" s="504"/>
      <c r="N15" s="504"/>
      <c r="O15" s="504"/>
      <c r="P15" s="504"/>
    </row>
    <row r="16" spans="1:16" ht="11.25" customHeight="1">
      <c r="A16" s="80" t="s">
        <v>288</v>
      </c>
      <c r="B16" s="77" t="s">
        <v>490</v>
      </c>
      <c r="C16" s="78">
        <v>81</v>
      </c>
      <c r="D16" s="77">
        <v>81</v>
      </c>
      <c r="E16" s="77">
        <v>81</v>
      </c>
      <c r="F16" s="77">
        <v>81</v>
      </c>
      <c r="G16" s="77">
        <v>81</v>
      </c>
      <c r="H16" s="77">
        <v>81</v>
      </c>
      <c r="I16" s="77">
        <v>81</v>
      </c>
      <c r="J16" s="77">
        <v>81</v>
      </c>
      <c r="K16" s="77">
        <v>81</v>
      </c>
      <c r="L16" s="79">
        <v>81</v>
      </c>
      <c r="M16" s="504"/>
      <c r="N16" s="504"/>
      <c r="O16" s="504"/>
      <c r="P16" s="504"/>
    </row>
    <row r="17" spans="1:16" ht="11.25" customHeight="1">
      <c r="A17" s="80"/>
      <c r="B17" s="77"/>
      <c r="C17" s="78"/>
      <c r="D17" s="77"/>
      <c r="E17" s="77"/>
      <c r="F17" s="77"/>
      <c r="G17" s="77"/>
      <c r="H17" s="77"/>
      <c r="I17" s="77"/>
      <c r="J17" s="77"/>
      <c r="K17" s="77"/>
      <c r="L17" s="79"/>
      <c r="M17" s="504"/>
      <c r="N17" s="504"/>
      <c r="O17" s="504"/>
      <c r="P17" s="504"/>
    </row>
    <row r="18" spans="1:16" ht="11.25" customHeight="1">
      <c r="A18" s="575" t="s">
        <v>38</v>
      </c>
      <c r="B18" s="576"/>
      <c r="C18" s="526">
        <f>SUM(C7:C16)</f>
        <v>1048</v>
      </c>
      <c r="D18" s="526">
        <f t="shared" ref="D18:L18" si="0">SUM(D7:D16)</f>
        <v>1048</v>
      </c>
      <c r="E18" s="526">
        <f t="shared" si="0"/>
        <v>1048</v>
      </c>
      <c r="F18" s="526">
        <f t="shared" si="0"/>
        <v>1048</v>
      </c>
      <c r="G18" s="526">
        <f t="shared" si="0"/>
        <v>1048</v>
      </c>
      <c r="H18" s="526">
        <f t="shared" si="0"/>
        <v>1048</v>
      </c>
      <c r="I18" s="526">
        <f t="shared" si="0"/>
        <v>1048</v>
      </c>
      <c r="J18" s="526">
        <f t="shared" si="0"/>
        <v>1048</v>
      </c>
      <c r="K18" s="526">
        <f t="shared" si="0"/>
        <v>1048</v>
      </c>
      <c r="L18" s="527">
        <f t="shared" si="0"/>
        <v>1048</v>
      </c>
      <c r="M18" s="504"/>
      <c r="N18" s="504"/>
      <c r="O18" s="504"/>
      <c r="P18" s="504"/>
    </row>
    <row r="19" spans="1:16" ht="11.25" customHeight="1">
      <c r="A19" s="504"/>
      <c r="B19" s="504"/>
      <c r="C19" s="504"/>
      <c r="D19" s="504"/>
      <c r="E19" s="504"/>
      <c r="F19" s="504"/>
      <c r="G19" s="504"/>
      <c r="H19" s="504"/>
      <c r="I19" s="504"/>
      <c r="J19" s="504"/>
      <c r="K19" s="504"/>
      <c r="L19" s="504"/>
      <c r="M19" s="504"/>
      <c r="N19" s="504"/>
      <c r="O19" s="504"/>
      <c r="P19" s="504"/>
    </row>
    <row r="20" spans="1:16" ht="22.5" customHeight="1">
      <c r="A20" s="572" t="s">
        <v>493</v>
      </c>
      <c r="B20" s="566"/>
      <c r="C20" s="566"/>
      <c r="D20" s="566"/>
      <c r="E20" s="566"/>
      <c r="F20" s="566"/>
      <c r="G20" s="566"/>
      <c r="H20" s="566"/>
      <c r="I20" s="566"/>
      <c r="J20" s="566"/>
      <c r="K20" s="566"/>
      <c r="L20" s="566"/>
      <c r="M20" s="504"/>
      <c r="N20" s="504"/>
      <c r="O20" s="504"/>
      <c r="P20" s="504"/>
    </row>
    <row r="21" spans="1:16" ht="11.25" customHeight="1">
      <c r="A21" s="504"/>
      <c r="B21" s="504"/>
      <c r="C21" s="504"/>
      <c r="D21" s="504"/>
      <c r="E21" s="504"/>
      <c r="F21" s="504"/>
      <c r="G21" s="504"/>
      <c r="H21" s="504"/>
      <c r="I21" s="504"/>
      <c r="J21" s="504"/>
      <c r="K21" s="504"/>
      <c r="L21" s="504"/>
      <c r="M21" s="504"/>
      <c r="N21" s="504"/>
      <c r="O21" s="504"/>
      <c r="P21" s="504"/>
    </row>
    <row r="22" spans="1:16" ht="11.25" customHeight="1">
      <c r="A22" s="504"/>
      <c r="B22" s="504"/>
      <c r="C22" s="504"/>
      <c r="D22" s="504"/>
      <c r="E22" s="504"/>
      <c r="F22" s="504"/>
      <c r="G22" s="504"/>
      <c r="H22" s="504"/>
      <c r="I22" s="504"/>
      <c r="J22" s="504"/>
      <c r="K22" s="504"/>
      <c r="L22" s="504"/>
      <c r="M22" s="504"/>
      <c r="N22" s="504"/>
      <c r="O22" s="504"/>
      <c r="P22" s="504"/>
    </row>
    <row r="23" spans="1:16" ht="11.25" customHeight="1">
      <c r="A23" s="504"/>
      <c r="B23" s="504"/>
      <c r="C23" s="504"/>
      <c r="D23" s="504"/>
      <c r="E23" s="504"/>
      <c r="F23" s="504"/>
      <c r="G23" s="504"/>
      <c r="H23" s="504"/>
      <c r="I23" s="504"/>
      <c r="J23" s="504"/>
      <c r="K23" s="504"/>
      <c r="L23" s="504"/>
      <c r="M23" s="504"/>
      <c r="N23" s="504"/>
      <c r="O23" s="504"/>
      <c r="P23" s="504"/>
    </row>
    <row r="24" spans="1:16" ht="15.75" customHeight="1">
      <c r="A24" s="503"/>
      <c r="B24" s="503"/>
      <c r="C24" s="503"/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</row>
    <row r="25" spans="1:16" ht="15.75" customHeight="1">
      <c r="A25" s="503"/>
      <c r="B25" s="503"/>
      <c r="C25" s="503"/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</row>
    <row r="26" spans="1:16" ht="15.75" customHeight="1">
      <c r="A26" s="503"/>
      <c r="B26" s="503"/>
      <c r="C26" s="503"/>
      <c r="D26" s="503"/>
      <c r="E26" s="503"/>
      <c r="F26" s="503"/>
      <c r="G26" s="503"/>
      <c r="H26" s="503"/>
      <c r="I26" s="503"/>
      <c r="J26" s="503"/>
      <c r="K26" s="503"/>
      <c r="L26" s="503"/>
      <c r="M26" s="503"/>
      <c r="N26" s="503"/>
      <c r="O26" s="503"/>
      <c r="P26" s="503"/>
    </row>
    <row r="27" spans="1:16" ht="15.75" customHeight="1">
      <c r="A27" s="503"/>
      <c r="B27" s="503"/>
      <c r="C27" s="503"/>
      <c r="D27" s="503"/>
      <c r="E27" s="503"/>
      <c r="F27" s="503"/>
      <c r="G27" s="503"/>
      <c r="H27" s="503"/>
      <c r="I27" s="503"/>
      <c r="J27" s="503"/>
      <c r="K27" s="503"/>
      <c r="L27" s="503"/>
      <c r="M27" s="503"/>
      <c r="N27" s="503"/>
      <c r="O27" s="503"/>
      <c r="P27" s="503"/>
    </row>
    <row r="28" spans="1:16" ht="15.75" customHeight="1">
      <c r="A28" s="503"/>
      <c r="B28" s="503"/>
      <c r="C28" s="503"/>
      <c r="D28" s="503"/>
      <c r="E28" s="503"/>
      <c r="F28" s="503"/>
      <c r="G28" s="503"/>
      <c r="H28" s="503"/>
      <c r="I28" s="503"/>
      <c r="J28" s="503"/>
      <c r="K28" s="503"/>
      <c r="L28" s="503"/>
      <c r="M28" s="503"/>
      <c r="N28" s="503"/>
      <c r="O28" s="503"/>
      <c r="P28" s="503"/>
    </row>
    <row r="29" spans="1:16" ht="15.75" customHeight="1">
      <c r="A29" s="503"/>
      <c r="B29" s="503"/>
      <c r="C29" s="503"/>
      <c r="D29" s="503"/>
      <c r="E29" s="503"/>
      <c r="F29" s="503"/>
      <c r="G29" s="503"/>
      <c r="H29" s="503"/>
      <c r="I29" s="503"/>
      <c r="J29" s="503"/>
      <c r="K29" s="503"/>
      <c r="L29" s="503"/>
      <c r="M29" s="503"/>
      <c r="N29" s="503"/>
      <c r="O29" s="503"/>
      <c r="P29" s="503"/>
    </row>
    <row r="30" spans="1:16" ht="15.75" customHeight="1">
      <c r="A30" s="503"/>
      <c r="B30" s="503"/>
      <c r="C30" s="503"/>
      <c r="D30" s="503"/>
      <c r="E30" s="503"/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</row>
    <row r="31" spans="1:16" ht="15.75" customHeight="1">
      <c r="A31" s="503"/>
      <c r="B31" s="503"/>
      <c r="C31" s="503"/>
      <c r="D31" s="503"/>
      <c r="E31" s="503"/>
      <c r="F31" s="503"/>
      <c r="G31" s="503"/>
      <c r="H31" s="503"/>
      <c r="I31" s="503"/>
      <c r="J31" s="503"/>
      <c r="K31" s="503"/>
      <c r="L31" s="503"/>
      <c r="M31" s="503"/>
      <c r="N31" s="503"/>
      <c r="O31" s="503"/>
      <c r="P31" s="503"/>
    </row>
    <row r="32" spans="1:16" ht="15.75" customHeight="1">
      <c r="A32" s="503"/>
      <c r="B32" s="503"/>
      <c r="C32" s="503"/>
      <c r="D32" s="503"/>
      <c r="E32" s="503"/>
      <c r="F32" s="503"/>
      <c r="G32" s="503"/>
      <c r="H32" s="503"/>
      <c r="I32" s="503"/>
      <c r="J32" s="503"/>
      <c r="K32" s="503"/>
      <c r="L32" s="503"/>
      <c r="M32" s="503"/>
      <c r="N32" s="503"/>
      <c r="O32" s="503"/>
      <c r="P32" s="50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A20:L20"/>
    <mergeCell ref="A1:L1"/>
    <mergeCell ref="A2:L2"/>
    <mergeCell ref="A3:L3"/>
    <mergeCell ref="C4:L4"/>
    <mergeCell ref="A18:B18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showGridLines="0" workbookViewId="0">
      <selection activeCell="A6" sqref="A6"/>
    </sheetView>
  </sheetViews>
  <sheetFormatPr defaultColWidth="14.453125" defaultRowHeight="15" customHeight="1"/>
  <cols>
    <col min="1" max="1" width="11.08984375" customWidth="1"/>
    <col min="2" max="2" width="77.90625" customWidth="1"/>
    <col min="3" max="3" width="9.90625" customWidth="1"/>
    <col min="4" max="6" width="10.90625" customWidth="1"/>
    <col min="7" max="22" width="8" customWidth="1"/>
  </cols>
  <sheetData>
    <row r="1" spans="1:22" ht="14.25" customHeight="1">
      <c r="A1" s="565" t="str">
        <f>'University-wide'!A1</f>
        <v>University of California, San Diego Survey of Parking Space Occupancy Levels, Spring 2021</v>
      </c>
      <c r="B1" s="566"/>
      <c r="C1" s="82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</row>
    <row r="2" spans="1:22" ht="14.25" customHeight="1">
      <c r="A2" s="565" t="s">
        <v>494</v>
      </c>
      <c r="B2" s="566"/>
      <c r="C2" s="82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</row>
    <row r="3" spans="1:22" ht="11.25" customHeight="1">
      <c r="A3" s="572"/>
      <c r="B3" s="566"/>
      <c r="C3" s="82"/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</row>
    <row r="4" spans="1:22" ht="11.25" customHeight="1">
      <c r="A4" s="92" t="s">
        <v>495</v>
      </c>
      <c r="B4" s="92" t="s">
        <v>31</v>
      </c>
      <c r="C4" s="82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  <c r="Q4" s="504"/>
      <c r="R4" s="504"/>
      <c r="S4" s="504"/>
      <c r="T4" s="504"/>
      <c r="U4" s="504"/>
      <c r="V4" s="504"/>
    </row>
    <row r="5" spans="1:22" ht="11.25" customHeight="1">
      <c r="A5" s="93"/>
      <c r="B5" s="93" t="s">
        <v>2</v>
      </c>
      <c r="C5" s="82"/>
      <c r="D5" s="504"/>
      <c r="E5" s="504"/>
      <c r="F5" s="504"/>
      <c r="G5" s="504"/>
      <c r="H5" s="504"/>
      <c r="I5" s="504"/>
      <c r="J5" s="504"/>
      <c r="K5" s="504"/>
      <c r="L5" s="504"/>
      <c r="M5" s="504"/>
      <c r="N5" s="504"/>
      <c r="O5" s="504"/>
      <c r="P5" s="504"/>
      <c r="Q5" s="504"/>
      <c r="R5" s="504"/>
      <c r="S5" s="504"/>
      <c r="T5" s="504"/>
      <c r="U5" s="504"/>
      <c r="V5" s="504"/>
    </row>
    <row r="6" spans="1:22" ht="11.25" customHeight="1">
      <c r="A6" s="100"/>
      <c r="B6" s="100" t="s">
        <v>5</v>
      </c>
      <c r="C6" s="82"/>
      <c r="D6" s="504"/>
      <c r="E6" s="504"/>
      <c r="F6" s="504"/>
      <c r="G6" s="504"/>
      <c r="H6" s="504"/>
      <c r="I6" s="504"/>
      <c r="J6" s="504"/>
      <c r="K6" s="504"/>
      <c r="L6" s="504"/>
      <c r="M6" s="504"/>
      <c r="N6" s="504"/>
      <c r="O6" s="504"/>
      <c r="P6" s="504"/>
      <c r="Q6" s="504"/>
      <c r="R6" s="504"/>
      <c r="S6" s="504"/>
      <c r="T6" s="504"/>
      <c r="U6" s="504"/>
      <c r="V6" s="504"/>
    </row>
    <row r="7" spans="1:22" ht="11.25" customHeight="1">
      <c r="A7" s="13" t="s">
        <v>496</v>
      </c>
      <c r="B7" s="13" t="s">
        <v>496</v>
      </c>
      <c r="C7" s="82"/>
      <c r="D7" s="504"/>
      <c r="E7" s="504"/>
      <c r="F7" s="504"/>
      <c r="G7" s="504"/>
      <c r="H7" s="504"/>
      <c r="I7" s="504"/>
      <c r="J7" s="504"/>
      <c r="K7" s="504"/>
      <c r="L7" s="504"/>
      <c r="M7" s="504"/>
      <c r="N7" s="504"/>
      <c r="O7" s="504"/>
      <c r="P7" s="504"/>
      <c r="Q7" s="504"/>
      <c r="R7" s="504"/>
      <c r="S7" s="504"/>
      <c r="T7" s="504"/>
      <c r="U7" s="504"/>
      <c r="V7" s="504"/>
    </row>
    <row r="8" spans="1:22" ht="11.25" customHeight="1">
      <c r="A8" s="13" t="s">
        <v>497</v>
      </c>
      <c r="B8" s="13" t="s">
        <v>498</v>
      </c>
      <c r="C8" s="82"/>
      <c r="D8" s="504"/>
      <c r="E8" s="504"/>
      <c r="F8" s="504"/>
      <c r="G8" s="504"/>
      <c r="H8" s="504"/>
      <c r="I8" s="504"/>
      <c r="J8" s="504"/>
      <c r="K8" s="504"/>
      <c r="L8" s="504"/>
      <c r="M8" s="504"/>
      <c r="N8" s="504"/>
      <c r="O8" s="504"/>
      <c r="P8" s="504"/>
      <c r="Q8" s="504"/>
      <c r="R8" s="504"/>
      <c r="S8" s="504"/>
      <c r="T8" s="504"/>
      <c r="U8" s="504"/>
      <c r="V8" s="504"/>
    </row>
    <row r="9" spans="1:22" ht="11.25" customHeight="1">
      <c r="A9" s="13" t="s">
        <v>499</v>
      </c>
      <c r="B9" s="13" t="s">
        <v>500</v>
      </c>
      <c r="C9" s="82"/>
      <c r="D9" s="504"/>
      <c r="E9" s="504"/>
      <c r="F9" s="504"/>
      <c r="G9" s="504"/>
      <c r="H9" s="504"/>
      <c r="I9" s="504"/>
      <c r="J9" s="504"/>
      <c r="K9" s="504"/>
      <c r="L9" s="504"/>
      <c r="M9" s="504"/>
      <c r="N9" s="504"/>
      <c r="O9" s="504"/>
      <c r="P9" s="504"/>
      <c r="Q9" s="504"/>
      <c r="R9" s="504"/>
      <c r="S9" s="504"/>
      <c r="T9" s="504"/>
      <c r="U9" s="504"/>
      <c r="V9" s="504"/>
    </row>
    <row r="10" spans="1:22" ht="11.25" customHeight="1">
      <c r="A10" s="117" t="s">
        <v>501</v>
      </c>
      <c r="B10" s="2" t="s">
        <v>502</v>
      </c>
      <c r="C10" s="82"/>
      <c r="D10" s="504"/>
      <c r="E10" s="504"/>
      <c r="F10" s="504"/>
      <c r="G10" s="504"/>
      <c r="H10" s="504"/>
      <c r="I10" s="504"/>
      <c r="J10" s="504"/>
      <c r="K10" s="504"/>
      <c r="L10" s="504"/>
      <c r="M10" s="504"/>
      <c r="N10" s="504"/>
      <c r="O10" s="504"/>
      <c r="P10" s="504"/>
      <c r="Q10" s="504"/>
      <c r="R10" s="504"/>
      <c r="S10" s="504"/>
      <c r="T10" s="504"/>
      <c r="U10" s="504"/>
      <c r="V10" s="504"/>
    </row>
    <row r="11" spans="1:22" ht="11.25" customHeight="1">
      <c r="A11" s="504"/>
      <c r="B11" s="504"/>
      <c r="C11" s="82"/>
      <c r="D11" s="504"/>
      <c r="E11" s="504"/>
      <c r="F11" s="504"/>
      <c r="G11" s="504"/>
      <c r="H11" s="504"/>
      <c r="I11" s="504"/>
      <c r="J11" s="504"/>
      <c r="K11" s="504"/>
      <c r="L11" s="504"/>
      <c r="M11" s="504"/>
      <c r="N11" s="504"/>
      <c r="O11" s="504"/>
      <c r="P11" s="504"/>
      <c r="Q11" s="504"/>
      <c r="R11" s="504"/>
      <c r="S11" s="504"/>
      <c r="T11" s="504"/>
      <c r="U11" s="504"/>
      <c r="V11" s="504"/>
    </row>
    <row r="12" spans="1:22" ht="11.25" customHeight="1">
      <c r="A12" s="504"/>
      <c r="B12" s="504"/>
      <c r="C12" s="82"/>
      <c r="D12" s="504"/>
      <c r="E12" s="504"/>
      <c r="F12" s="504"/>
      <c r="G12" s="504"/>
      <c r="H12" s="504"/>
      <c r="I12" s="504"/>
      <c r="J12" s="504"/>
      <c r="K12" s="504"/>
      <c r="L12" s="504"/>
      <c r="M12" s="504"/>
      <c r="N12" s="504"/>
      <c r="O12" s="504"/>
      <c r="P12" s="504"/>
      <c r="Q12" s="504"/>
      <c r="R12" s="504"/>
      <c r="S12" s="504"/>
      <c r="T12" s="504"/>
      <c r="U12" s="504"/>
      <c r="V12" s="504"/>
    </row>
    <row r="13" spans="1:22" ht="11.25" customHeight="1">
      <c r="A13" s="504"/>
      <c r="B13" s="504"/>
      <c r="C13" s="82"/>
      <c r="D13" s="504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</row>
    <row r="14" spans="1:22" ht="11.25" customHeight="1">
      <c r="A14" s="504"/>
      <c r="B14" s="504"/>
      <c r="C14" s="82"/>
      <c r="D14" s="504"/>
      <c r="E14" s="504"/>
      <c r="F14" s="504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4"/>
      <c r="R14" s="504"/>
      <c r="S14" s="504"/>
      <c r="T14" s="504"/>
      <c r="U14" s="504"/>
      <c r="V14" s="504"/>
    </row>
    <row r="15" spans="1:22" ht="11.25" customHeight="1">
      <c r="A15" s="504"/>
      <c r="B15" s="504"/>
      <c r="C15" s="82"/>
      <c r="D15" s="504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</row>
    <row r="16" spans="1:22" ht="11.25" customHeight="1">
      <c r="A16" s="504"/>
      <c r="B16" s="504"/>
      <c r="C16" s="82"/>
      <c r="D16" s="504"/>
      <c r="E16" s="504"/>
      <c r="F16" s="504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4"/>
      <c r="R16" s="504"/>
      <c r="S16" s="504"/>
      <c r="T16" s="504"/>
      <c r="U16" s="504"/>
      <c r="V16" s="504"/>
    </row>
    <row r="17" spans="1:22" ht="11.25" customHeight="1">
      <c r="A17" s="504"/>
      <c r="B17" s="504"/>
      <c r="C17" s="82"/>
      <c r="D17" s="504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504"/>
    </row>
    <row r="18" spans="1:22" ht="11.25" customHeight="1">
      <c r="A18" s="504"/>
      <c r="B18" s="504"/>
      <c r="C18" s="82"/>
      <c r="D18" s="504"/>
      <c r="E18" s="504"/>
      <c r="F18" s="504"/>
      <c r="G18" s="504"/>
      <c r="H18" s="504"/>
      <c r="I18" s="504"/>
      <c r="J18" s="504"/>
      <c r="K18" s="504"/>
      <c r="L18" s="504"/>
      <c r="M18" s="504"/>
      <c r="N18" s="504"/>
      <c r="O18" s="504"/>
      <c r="P18" s="504"/>
      <c r="Q18" s="504"/>
      <c r="R18" s="504"/>
      <c r="S18" s="504"/>
      <c r="T18" s="504"/>
      <c r="U18" s="504"/>
      <c r="V18" s="504"/>
    </row>
    <row r="19" spans="1:22" ht="11.25" customHeight="1">
      <c r="A19" s="504"/>
      <c r="B19" s="504"/>
      <c r="C19" s="82"/>
      <c r="D19" s="504"/>
      <c r="E19" s="504"/>
      <c r="F19" s="504"/>
      <c r="G19" s="504"/>
      <c r="H19" s="504"/>
      <c r="I19" s="504"/>
      <c r="J19" s="504"/>
      <c r="K19" s="504"/>
      <c r="L19" s="504"/>
      <c r="M19" s="504"/>
      <c r="N19" s="504"/>
      <c r="O19" s="504"/>
      <c r="P19" s="504"/>
      <c r="Q19" s="504"/>
      <c r="R19" s="504"/>
      <c r="S19" s="504"/>
      <c r="T19" s="504"/>
      <c r="U19" s="504"/>
      <c r="V19" s="504"/>
    </row>
    <row r="20" spans="1:22" ht="11.25" customHeight="1">
      <c r="A20" s="504"/>
      <c r="B20" s="504"/>
      <c r="C20" s="82"/>
      <c r="D20" s="504"/>
      <c r="E20" s="504"/>
      <c r="F20" s="504"/>
      <c r="G20" s="504"/>
      <c r="H20" s="504"/>
      <c r="I20" s="504"/>
      <c r="J20" s="504"/>
      <c r="K20" s="504"/>
      <c r="L20" s="504"/>
      <c r="M20" s="504"/>
      <c r="N20" s="504"/>
      <c r="O20" s="504"/>
      <c r="P20" s="504"/>
      <c r="Q20" s="504"/>
      <c r="R20" s="504"/>
      <c r="S20" s="504"/>
      <c r="T20" s="504"/>
      <c r="U20" s="504"/>
      <c r="V20" s="504"/>
    </row>
    <row r="21" spans="1:22" ht="11.25" customHeight="1">
      <c r="A21" s="504"/>
      <c r="B21" s="504"/>
      <c r="C21" s="82"/>
      <c r="D21" s="504"/>
      <c r="E21" s="504"/>
      <c r="F21" s="504"/>
      <c r="G21" s="504"/>
      <c r="H21" s="504"/>
      <c r="I21" s="504"/>
      <c r="J21" s="504"/>
      <c r="K21" s="504"/>
      <c r="L21" s="504"/>
      <c r="M21" s="504"/>
      <c r="N21" s="504"/>
      <c r="O21" s="504"/>
      <c r="P21" s="504"/>
      <c r="Q21" s="504"/>
      <c r="R21" s="504"/>
      <c r="S21" s="504"/>
      <c r="T21" s="504"/>
      <c r="U21" s="504"/>
      <c r="V21" s="504"/>
    </row>
    <row r="22" spans="1:22" ht="11.25" customHeight="1">
      <c r="A22" s="504"/>
      <c r="B22" s="504"/>
      <c r="C22" s="82"/>
      <c r="D22" s="504"/>
      <c r="E22" s="504"/>
      <c r="F22" s="504"/>
      <c r="G22" s="504"/>
      <c r="H22" s="504"/>
      <c r="I22" s="504"/>
      <c r="J22" s="504"/>
      <c r="K22" s="504"/>
      <c r="L22" s="504"/>
      <c r="M22" s="504"/>
      <c r="N22" s="504"/>
      <c r="O22" s="504"/>
      <c r="P22" s="504"/>
      <c r="Q22" s="504"/>
      <c r="R22" s="504"/>
      <c r="S22" s="504"/>
      <c r="T22" s="504"/>
      <c r="U22" s="504"/>
      <c r="V22" s="504"/>
    </row>
    <row r="23" spans="1:22" ht="11.25" customHeight="1">
      <c r="A23" s="504"/>
      <c r="B23" s="504"/>
      <c r="C23" s="82"/>
      <c r="D23" s="504"/>
      <c r="E23" s="504"/>
      <c r="F23" s="504"/>
      <c r="G23" s="504"/>
      <c r="H23" s="504"/>
      <c r="I23" s="504"/>
      <c r="J23" s="504"/>
      <c r="K23" s="504"/>
      <c r="L23" s="504"/>
      <c r="M23" s="504"/>
      <c r="N23" s="504"/>
      <c r="O23" s="504"/>
      <c r="P23" s="504"/>
      <c r="Q23" s="504"/>
      <c r="R23" s="504"/>
      <c r="S23" s="504"/>
      <c r="T23" s="504"/>
      <c r="U23" s="504"/>
      <c r="V23" s="504"/>
    </row>
    <row r="24" spans="1:22" ht="11.25" customHeight="1">
      <c r="A24" s="504"/>
      <c r="B24" s="504"/>
      <c r="C24" s="82"/>
      <c r="D24" s="504"/>
      <c r="E24" s="504"/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504"/>
      <c r="Q24" s="504"/>
      <c r="R24" s="504"/>
      <c r="S24" s="504"/>
      <c r="T24" s="504"/>
      <c r="U24" s="504"/>
      <c r="V24" s="504"/>
    </row>
    <row r="25" spans="1:22" ht="11.25" customHeight="1">
      <c r="A25" s="504"/>
      <c r="B25" s="504"/>
      <c r="C25" s="82"/>
      <c r="D25" s="504"/>
      <c r="E25" s="504"/>
      <c r="F25" s="504"/>
      <c r="G25" s="504"/>
      <c r="H25" s="504"/>
      <c r="I25" s="504"/>
      <c r="J25" s="504"/>
      <c r="K25" s="504"/>
      <c r="L25" s="504"/>
      <c r="M25" s="504"/>
      <c r="N25" s="504"/>
      <c r="O25" s="504"/>
      <c r="P25" s="504"/>
      <c r="Q25" s="504"/>
      <c r="R25" s="504"/>
      <c r="S25" s="504"/>
      <c r="T25" s="504"/>
      <c r="U25" s="504"/>
      <c r="V25" s="504"/>
    </row>
    <row r="26" spans="1:22" ht="11.25" customHeight="1">
      <c r="A26" s="504"/>
      <c r="B26" s="504"/>
      <c r="C26" s="82"/>
      <c r="D26" s="504"/>
      <c r="E26" s="504"/>
      <c r="F26" s="504"/>
      <c r="G26" s="504"/>
      <c r="H26" s="504"/>
      <c r="I26" s="504"/>
      <c r="J26" s="504"/>
      <c r="K26" s="504"/>
      <c r="L26" s="504"/>
      <c r="M26" s="504"/>
      <c r="N26" s="504"/>
      <c r="O26" s="504"/>
      <c r="P26" s="504"/>
      <c r="Q26" s="504"/>
      <c r="R26" s="504"/>
      <c r="S26" s="504"/>
      <c r="T26" s="504"/>
      <c r="U26" s="504"/>
      <c r="V26" s="504"/>
    </row>
    <row r="27" spans="1:22" ht="11.25" customHeight="1">
      <c r="A27" s="504"/>
      <c r="B27" s="504"/>
      <c r="C27" s="82"/>
      <c r="D27" s="504"/>
      <c r="E27" s="504"/>
      <c r="F27" s="504"/>
      <c r="G27" s="504"/>
      <c r="H27" s="504"/>
      <c r="I27" s="504"/>
      <c r="J27" s="504"/>
      <c r="K27" s="504"/>
      <c r="L27" s="504"/>
      <c r="M27" s="504"/>
      <c r="N27" s="504"/>
      <c r="O27" s="504"/>
      <c r="P27" s="504"/>
      <c r="Q27" s="504"/>
      <c r="R27" s="504"/>
      <c r="S27" s="504"/>
      <c r="T27" s="504"/>
      <c r="U27" s="504"/>
      <c r="V27" s="504"/>
    </row>
    <row r="28" spans="1:22" ht="11.25" customHeight="1">
      <c r="A28" s="504"/>
      <c r="B28" s="504"/>
      <c r="C28" s="82"/>
      <c r="D28" s="504"/>
      <c r="E28" s="504"/>
      <c r="F28" s="504"/>
      <c r="G28" s="504"/>
      <c r="H28" s="504"/>
      <c r="I28" s="504"/>
      <c r="J28" s="504"/>
      <c r="K28" s="504"/>
      <c r="L28" s="504"/>
      <c r="M28" s="504"/>
      <c r="N28" s="504"/>
      <c r="O28" s="504"/>
      <c r="P28" s="504"/>
      <c r="Q28" s="504"/>
      <c r="R28" s="504"/>
      <c r="S28" s="504"/>
      <c r="T28" s="504"/>
      <c r="U28" s="504"/>
      <c r="V28" s="504"/>
    </row>
    <row r="29" spans="1:22" ht="11.25" customHeight="1">
      <c r="A29" s="504"/>
      <c r="B29" s="504"/>
      <c r="C29" s="82"/>
      <c r="D29" s="504"/>
      <c r="E29" s="504"/>
      <c r="F29" s="504"/>
      <c r="G29" s="504"/>
      <c r="H29" s="504"/>
      <c r="I29" s="504"/>
      <c r="J29" s="504"/>
      <c r="K29" s="504"/>
      <c r="L29" s="504"/>
      <c r="M29" s="504"/>
      <c r="N29" s="504"/>
      <c r="O29" s="504"/>
      <c r="P29" s="504"/>
      <c r="Q29" s="504"/>
      <c r="R29" s="504"/>
      <c r="S29" s="504"/>
      <c r="T29" s="504"/>
      <c r="U29" s="504"/>
      <c r="V29" s="504"/>
    </row>
    <row r="30" spans="1:22" ht="11.25" customHeight="1">
      <c r="A30" s="504"/>
      <c r="B30" s="504"/>
      <c r="C30" s="82"/>
      <c r="D30" s="504"/>
      <c r="E30" s="504"/>
      <c r="F30" s="504"/>
      <c r="G30" s="504"/>
      <c r="H30" s="504"/>
      <c r="I30" s="504"/>
      <c r="J30" s="504"/>
      <c r="K30" s="504"/>
      <c r="L30" s="504"/>
      <c r="M30" s="504"/>
      <c r="N30" s="504"/>
      <c r="O30" s="504"/>
      <c r="P30" s="504"/>
      <c r="Q30" s="504"/>
      <c r="R30" s="504"/>
      <c r="S30" s="504"/>
      <c r="T30" s="504"/>
      <c r="U30" s="504"/>
      <c r="V30" s="504"/>
    </row>
    <row r="31" spans="1:22" ht="11.25" customHeight="1">
      <c r="A31" s="504"/>
      <c r="B31" s="504"/>
      <c r="C31" s="82"/>
      <c r="D31" s="504"/>
      <c r="E31" s="504"/>
      <c r="F31" s="504"/>
      <c r="G31" s="504"/>
      <c r="H31" s="504"/>
      <c r="I31" s="504"/>
      <c r="J31" s="504"/>
      <c r="K31" s="504"/>
      <c r="L31" s="504"/>
      <c r="M31" s="504"/>
      <c r="N31" s="504"/>
      <c r="O31" s="504"/>
      <c r="P31" s="504"/>
      <c r="Q31" s="504"/>
      <c r="R31" s="504"/>
      <c r="S31" s="504"/>
      <c r="T31" s="504"/>
      <c r="U31" s="504"/>
      <c r="V31" s="504"/>
    </row>
    <row r="32" spans="1:22" ht="11.25" customHeight="1">
      <c r="A32" s="504"/>
      <c r="B32" s="504"/>
      <c r="C32" s="82"/>
      <c r="D32" s="504"/>
      <c r="E32" s="504"/>
      <c r="F32" s="504"/>
      <c r="G32" s="504"/>
      <c r="H32" s="504"/>
      <c r="I32" s="504"/>
      <c r="J32" s="504"/>
      <c r="K32" s="504"/>
      <c r="L32" s="504"/>
      <c r="M32" s="504"/>
      <c r="N32" s="504"/>
      <c r="O32" s="504"/>
      <c r="P32" s="504"/>
      <c r="Q32" s="504"/>
      <c r="R32" s="504"/>
      <c r="S32" s="504"/>
      <c r="T32" s="504"/>
      <c r="U32" s="504"/>
      <c r="V32" s="504"/>
    </row>
    <row r="33" spans="1:22" ht="11.25" customHeight="1">
      <c r="A33" s="504"/>
      <c r="B33" s="504"/>
      <c r="C33" s="82"/>
      <c r="D33" s="504"/>
      <c r="E33" s="504"/>
      <c r="F33" s="504"/>
      <c r="G33" s="504"/>
      <c r="H33" s="504"/>
      <c r="I33" s="504"/>
      <c r="J33" s="504"/>
      <c r="K33" s="504"/>
      <c r="L33" s="504"/>
      <c r="M33" s="504"/>
      <c r="N33" s="504"/>
      <c r="O33" s="504"/>
      <c r="P33" s="504"/>
      <c r="Q33" s="504"/>
      <c r="R33" s="504"/>
      <c r="S33" s="504"/>
      <c r="T33" s="504"/>
      <c r="U33" s="504"/>
      <c r="V33" s="504"/>
    </row>
    <row r="34" spans="1:22" ht="11.25" customHeight="1">
      <c r="A34" s="504"/>
      <c r="B34" s="504"/>
      <c r="C34" s="82"/>
      <c r="D34" s="504"/>
      <c r="E34" s="504"/>
      <c r="F34" s="504"/>
      <c r="G34" s="504"/>
      <c r="H34" s="504"/>
      <c r="I34" s="504"/>
      <c r="J34" s="504"/>
      <c r="K34" s="504"/>
      <c r="L34" s="504"/>
      <c r="M34" s="504"/>
      <c r="N34" s="504"/>
      <c r="O34" s="504"/>
      <c r="P34" s="504"/>
      <c r="Q34" s="504"/>
      <c r="R34" s="504"/>
      <c r="S34" s="504"/>
      <c r="T34" s="504"/>
      <c r="U34" s="504"/>
      <c r="V34" s="504"/>
    </row>
    <row r="35" spans="1:22" ht="11.25" customHeight="1">
      <c r="A35" s="504"/>
      <c r="B35" s="504"/>
      <c r="C35" s="82"/>
      <c r="D35" s="504"/>
      <c r="E35" s="504"/>
      <c r="F35" s="504"/>
      <c r="G35" s="504"/>
      <c r="H35" s="504"/>
      <c r="I35" s="504"/>
      <c r="J35" s="504"/>
      <c r="K35" s="504"/>
      <c r="L35" s="504"/>
      <c r="M35" s="504"/>
      <c r="N35" s="504"/>
      <c r="O35" s="504"/>
      <c r="P35" s="504"/>
      <c r="Q35" s="504"/>
      <c r="R35" s="504"/>
      <c r="S35" s="504"/>
      <c r="T35" s="504"/>
      <c r="U35" s="504"/>
      <c r="V35" s="504"/>
    </row>
    <row r="36" spans="1:22" ht="11.25" customHeight="1">
      <c r="A36" s="504"/>
      <c r="B36" s="504"/>
      <c r="C36" s="82"/>
      <c r="D36" s="504"/>
      <c r="E36" s="504"/>
      <c r="F36" s="504"/>
      <c r="G36" s="504"/>
      <c r="H36" s="504"/>
      <c r="I36" s="504"/>
      <c r="J36" s="504"/>
      <c r="K36" s="504"/>
      <c r="L36" s="504"/>
      <c r="M36" s="504"/>
      <c r="N36" s="504"/>
      <c r="O36" s="504"/>
      <c r="P36" s="504"/>
      <c r="Q36" s="504"/>
      <c r="R36" s="504"/>
      <c r="S36" s="504"/>
      <c r="T36" s="504"/>
      <c r="U36" s="504"/>
      <c r="V36" s="504"/>
    </row>
    <row r="37" spans="1:22" ht="11.25" customHeight="1">
      <c r="A37" s="504"/>
      <c r="B37" s="504"/>
      <c r="C37" s="82"/>
      <c r="D37" s="504"/>
      <c r="E37" s="504"/>
      <c r="F37" s="504"/>
      <c r="G37" s="504"/>
      <c r="H37" s="504"/>
      <c r="I37" s="504"/>
      <c r="J37" s="504"/>
      <c r="K37" s="504"/>
      <c r="L37" s="504"/>
      <c r="M37" s="504"/>
      <c r="N37" s="504"/>
      <c r="O37" s="504"/>
      <c r="P37" s="504"/>
      <c r="Q37" s="504"/>
      <c r="R37" s="504"/>
      <c r="S37" s="504"/>
      <c r="T37" s="504"/>
      <c r="U37" s="504"/>
      <c r="V37" s="504"/>
    </row>
    <row r="38" spans="1:22" ht="11.25" customHeight="1">
      <c r="A38" s="504"/>
      <c r="B38" s="504"/>
      <c r="C38" s="82"/>
      <c r="D38" s="504"/>
      <c r="E38" s="504"/>
      <c r="F38" s="504"/>
      <c r="G38" s="504"/>
      <c r="H38" s="504"/>
      <c r="I38" s="504"/>
      <c r="J38" s="504"/>
      <c r="K38" s="504"/>
      <c r="L38" s="504"/>
      <c r="M38" s="504"/>
      <c r="N38" s="504"/>
      <c r="O38" s="504"/>
      <c r="P38" s="504"/>
      <c r="Q38" s="504"/>
      <c r="R38" s="504"/>
      <c r="S38" s="504"/>
      <c r="T38" s="504"/>
      <c r="U38" s="504"/>
      <c r="V38" s="504"/>
    </row>
    <row r="39" spans="1:22" ht="11.25" customHeight="1">
      <c r="A39" s="504"/>
      <c r="B39" s="504"/>
      <c r="C39" s="82"/>
      <c r="D39" s="504"/>
      <c r="E39" s="504"/>
      <c r="F39" s="504"/>
      <c r="G39" s="504"/>
      <c r="H39" s="504"/>
      <c r="I39" s="504"/>
      <c r="J39" s="504"/>
      <c r="K39" s="504"/>
      <c r="L39" s="504"/>
      <c r="M39" s="504"/>
      <c r="N39" s="504"/>
      <c r="O39" s="504"/>
      <c r="P39" s="504"/>
      <c r="Q39" s="504"/>
      <c r="R39" s="504"/>
      <c r="S39" s="504"/>
      <c r="T39" s="504"/>
      <c r="U39" s="504"/>
      <c r="V39" s="504"/>
    </row>
    <row r="40" spans="1:22" ht="11.25" customHeight="1">
      <c r="A40" s="504"/>
      <c r="B40" s="504"/>
      <c r="C40" s="82"/>
      <c r="D40" s="504"/>
      <c r="E40" s="504"/>
      <c r="F40" s="504"/>
      <c r="G40" s="504"/>
      <c r="H40" s="504"/>
      <c r="I40" s="504"/>
      <c r="J40" s="504"/>
      <c r="K40" s="504"/>
      <c r="L40" s="504"/>
      <c r="M40" s="504"/>
      <c r="N40" s="504"/>
      <c r="O40" s="504"/>
      <c r="P40" s="504"/>
      <c r="Q40" s="504"/>
      <c r="R40" s="504"/>
      <c r="S40" s="504"/>
      <c r="T40" s="504"/>
      <c r="U40" s="504"/>
      <c r="V40" s="504"/>
    </row>
    <row r="41" spans="1:22" ht="11.25" customHeight="1">
      <c r="A41" s="504"/>
      <c r="B41" s="504"/>
      <c r="C41" s="82"/>
      <c r="D41" s="504"/>
      <c r="E41" s="504"/>
      <c r="F41" s="504"/>
      <c r="G41" s="504"/>
      <c r="H41" s="504"/>
      <c r="I41" s="504"/>
      <c r="J41" s="504"/>
      <c r="K41" s="504"/>
      <c r="L41" s="504"/>
      <c r="M41" s="504"/>
      <c r="N41" s="504"/>
      <c r="O41" s="504"/>
      <c r="P41" s="504"/>
      <c r="Q41" s="504"/>
      <c r="R41" s="504"/>
      <c r="S41" s="504"/>
      <c r="T41" s="504"/>
      <c r="U41" s="504"/>
      <c r="V41" s="504"/>
    </row>
    <row r="42" spans="1:22" ht="11.25" customHeight="1">
      <c r="A42" s="504"/>
      <c r="B42" s="504"/>
      <c r="C42" s="82"/>
      <c r="D42" s="504"/>
      <c r="E42" s="504"/>
      <c r="F42" s="504"/>
      <c r="G42" s="504"/>
      <c r="H42" s="504"/>
      <c r="I42" s="504"/>
      <c r="J42" s="504"/>
      <c r="K42" s="504"/>
      <c r="L42" s="504"/>
      <c r="M42" s="504"/>
      <c r="N42" s="504"/>
      <c r="O42" s="504"/>
      <c r="P42" s="504"/>
      <c r="Q42" s="504"/>
      <c r="R42" s="504"/>
      <c r="S42" s="504"/>
      <c r="T42" s="504"/>
      <c r="U42" s="504"/>
      <c r="V42" s="504"/>
    </row>
    <row r="43" spans="1:22" ht="11.25" customHeight="1">
      <c r="A43" s="504"/>
      <c r="B43" s="504"/>
      <c r="C43" s="82"/>
      <c r="D43" s="504"/>
      <c r="E43" s="504"/>
      <c r="F43" s="504"/>
      <c r="G43" s="504"/>
      <c r="H43" s="504"/>
      <c r="I43" s="504"/>
      <c r="J43" s="504"/>
      <c r="K43" s="504"/>
      <c r="L43" s="504"/>
      <c r="M43" s="504"/>
      <c r="N43" s="504"/>
      <c r="O43" s="504"/>
      <c r="P43" s="504"/>
      <c r="Q43" s="504"/>
      <c r="R43" s="504"/>
      <c r="S43" s="504"/>
      <c r="T43" s="504"/>
      <c r="U43" s="504"/>
      <c r="V43" s="504"/>
    </row>
    <row r="44" spans="1:22" ht="11.25" customHeight="1">
      <c r="A44" s="504"/>
      <c r="B44" s="504"/>
      <c r="C44" s="82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  <c r="S44" s="504"/>
      <c r="T44" s="504"/>
      <c r="U44" s="504"/>
      <c r="V44" s="504"/>
    </row>
    <row r="45" spans="1:22" ht="11.25" customHeight="1">
      <c r="A45" s="504"/>
      <c r="B45" s="504"/>
      <c r="C45" s="82"/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  <c r="S45" s="504"/>
      <c r="T45" s="504"/>
      <c r="U45" s="504"/>
      <c r="V45" s="504"/>
    </row>
    <row r="46" spans="1:22" ht="11.25" customHeight="1">
      <c r="A46" s="504"/>
      <c r="B46" s="504"/>
      <c r="C46" s="82"/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  <c r="S46" s="504"/>
      <c r="T46" s="504"/>
      <c r="U46" s="504"/>
      <c r="V46" s="504"/>
    </row>
    <row r="47" spans="1:22" ht="11.25" customHeight="1">
      <c r="A47" s="504"/>
      <c r="B47" s="504"/>
      <c r="C47" s="82"/>
      <c r="D47" s="504"/>
      <c r="E47" s="504"/>
      <c r="F47" s="504"/>
      <c r="G47" s="504"/>
      <c r="H47" s="504"/>
      <c r="I47" s="504"/>
      <c r="J47" s="504"/>
      <c r="K47" s="504"/>
      <c r="L47" s="504"/>
      <c r="M47" s="504"/>
      <c r="N47" s="504"/>
      <c r="O47" s="504"/>
      <c r="P47" s="504"/>
      <c r="Q47" s="504"/>
      <c r="R47" s="504"/>
      <c r="S47" s="504"/>
      <c r="T47" s="504"/>
      <c r="U47" s="504"/>
      <c r="V47" s="504"/>
    </row>
    <row r="48" spans="1:22" ht="11.25" customHeight="1">
      <c r="A48" s="504"/>
      <c r="B48" s="504"/>
      <c r="C48" s="82"/>
      <c r="D48" s="504"/>
      <c r="E48" s="504"/>
      <c r="F48" s="504"/>
      <c r="G48" s="504"/>
      <c r="H48" s="504"/>
      <c r="I48" s="504"/>
      <c r="J48" s="504"/>
      <c r="K48" s="504"/>
      <c r="L48" s="504"/>
      <c r="M48" s="504"/>
      <c r="N48" s="504"/>
      <c r="O48" s="504"/>
      <c r="P48" s="504"/>
      <c r="Q48" s="504"/>
      <c r="R48" s="504"/>
      <c r="S48" s="504"/>
      <c r="T48" s="504"/>
      <c r="U48" s="504"/>
      <c r="V48" s="504"/>
    </row>
    <row r="49" spans="1:22" ht="11.25" customHeight="1">
      <c r="A49" s="504"/>
      <c r="B49" s="504"/>
      <c r="C49" s="82"/>
      <c r="D49" s="504"/>
      <c r="E49" s="504"/>
      <c r="F49" s="504"/>
      <c r="G49" s="504"/>
      <c r="H49" s="504"/>
      <c r="I49" s="504"/>
      <c r="J49" s="504"/>
      <c r="K49" s="504"/>
      <c r="L49" s="504"/>
      <c r="M49" s="504"/>
      <c r="N49" s="504"/>
      <c r="O49" s="504"/>
      <c r="P49" s="504"/>
      <c r="Q49" s="504"/>
      <c r="R49" s="504"/>
      <c r="S49" s="504"/>
      <c r="T49" s="504"/>
      <c r="U49" s="504"/>
      <c r="V49" s="504"/>
    </row>
    <row r="50" spans="1:22" ht="11.25" customHeight="1">
      <c r="A50" s="504"/>
      <c r="B50" s="504"/>
      <c r="C50" s="82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  <c r="Q50" s="504"/>
      <c r="R50" s="504"/>
      <c r="S50" s="504"/>
      <c r="T50" s="504"/>
      <c r="U50" s="504"/>
      <c r="V50" s="504"/>
    </row>
    <row r="51" spans="1:22" ht="11.25" customHeight="1">
      <c r="A51" s="504"/>
      <c r="B51" s="504"/>
      <c r="C51" s="82"/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  <c r="U51" s="504"/>
      <c r="V51" s="504"/>
    </row>
    <row r="52" spans="1:22" ht="11.25" customHeight="1">
      <c r="A52" s="504"/>
      <c r="B52" s="504"/>
      <c r="C52" s="82"/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</row>
    <row r="53" spans="1:22" ht="11.25" customHeight="1">
      <c r="A53" s="504"/>
      <c r="B53" s="504"/>
      <c r="C53" s="82"/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</row>
    <row r="54" spans="1:22" ht="11.25" customHeight="1">
      <c r="A54" s="504"/>
      <c r="B54" s="504"/>
      <c r="C54" s="82"/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</row>
    <row r="55" spans="1:22" ht="11.25" customHeight="1">
      <c r="A55" s="504"/>
      <c r="B55" s="504"/>
      <c r="C55" s="82"/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</row>
    <row r="56" spans="1:22" ht="11.25" customHeight="1">
      <c r="A56" s="504"/>
      <c r="B56" s="504"/>
      <c r="C56" s="82"/>
      <c r="D56" s="504"/>
      <c r="E56" s="504"/>
      <c r="F56" s="504"/>
      <c r="G56" s="504"/>
      <c r="H56" s="504"/>
      <c r="I56" s="504"/>
      <c r="J56" s="504"/>
      <c r="K56" s="504"/>
      <c r="L56" s="504"/>
      <c r="M56" s="504"/>
      <c r="N56" s="504"/>
      <c r="O56" s="504"/>
      <c r="P56" s="504"/>
      <c r="Q56" s="504"/>
      <c r="R56" s="504"/>
      <c r="S56" s="504"/>
      <c r="T56" s="504"/>
      <c r="U56" s="504"/>
      <c r="V56" s="504"/>
    </row>
    <row r="57" spans="1:22" ht="11.25" customHeight="1">
      <c r="A57" s="504"/>
      <c r="B57" s="504"/>
      <c r="C57" s="82"/>
      <c r="D57" s="504"/>
      <c r="E57" s="504"/>
      <c r="F57" s="504"/>
      <c r="G57" s="504"/>
      <c r="H57" s="504"/>
      <c r="I57" s="504"/>
      <c r="J57" s="504"/>
      <c r="K57" s="504"/>
      <c r="L57" s="504"/>
      <c r="M57" s="504"/>
      <c r="N57" s="504"/>
      <c r="O57" s="504"/>
      <c r="P57" s="504"/>
      <c r="Q57" s="504"/>
      <c r="R57" s="504"/>
      <c r="S57" s="504"/>
      <c r="T57" s="504"/>
      <c r="U57" s="504"/>
      <c r="V57" s="504"/>
    </row>
    <row r="58" spans="1:22" ht="11.25" customHeight="1">
      <c r="A58" s="504"/>
      <c r="B58" s="504"/>
      <c r="C58" s="82"/>
      <c r="D58" s="504"/>
      <c r="E58" s="504"/>
      <c r="F58" s="504"/>
      <c r="G58" s="504"/>
      <c r="H58" s="504"/>
      <c r="I58" s="504"/>
      <c r="J58" s="504"/>
      <c r="K58" s="504"/>
      <c r="L58" s="504"/>
      <c r="M58" s="504"/>
      <c r="N58" s="504"/>
      <c r="O58" s="504"/>
      <c r="P58" s="504"/>
      <c r="Q58" s="504"/>
      <c r="R58" s="504"/>
      <c r="S58" s="504"/>
      <c r="T58" s="504"/>
      <c r="U58" s="504"/>
      <c r="V58" s="504"/>
    </row>
    <row r="59" spans="1:22" ht="11.25" customHeight="1">
      <c r="A59" s="504"/>
      <c r="B59" s="504"/>
      <c r="C59" s="82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504"/>
      <c r="Q59" s="504"/>
      <c r="R59" s="504"/>
      <c r="S59" s="504"/>
      <c r="T59" s="504"/>
      <c r="U59" s="504"/>
      <c r="V59" s="504"/>
    </row>
    <row r="60" spans="1:22" ht="11.25" customHeight="1">
      <c r="A60" s="504"/>
      <c r="B60" s="504"/>
      <c r="C60" s="82"/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  <c r="U60" s="504"/>
      <c r="V60" s="504"/>
    </row>
    <row r="61" spans="1:22" ht="11.25" customHeight="1">
      <c r="A61" s="504"/>
      <c r="B61" s="504"/>
      <c r="C61" s="82"/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504"/>
      <c r="T61" s="504"/>
      <c r="U61" s="504"/>
      <c r="V61" s="504"/>
    </row>
    <row r="62" spans="1:22" ht="11.25" customHeight="1">
      <c r="A62" s="504"/>
      <c r="B62" s="504"/>
      <c r="C62" s="82"/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504"/>
      <c r="T62" s="504"/>
      <c r="U62" s="504"/>
      <c r="V62" s="504"/>
    </row>
    <row r="63" spans="1:22" ht="11.25" customHeight="1">
      <c r="A63" s="504"/>
      <c r="B63" s="504"/>
      <c r="C63" s="82"/>
      <c r="D63" s="504"/>
      <c r="E63" s="504"/>
      <c r="F63" s="504"/>
      <c r="G63" s="504"/>
      <c r="H63" s="504"/>
      <c r="I63" s="504"/>
      <c r="J63" s="504"/>
      <c r="K63" s="504"/>
      <c r="L63" s="504"/>
      <c r="M63" s="504"/>
      <c r="N63" s="504"/>
      <c r="O63" s="504"/>
      <c r="P63" s="504"/>
      <c r="Q63" s="504"/>
      <c r="R63" s="504"/>
      <c r="S63" s="504"/>
      <c r="T63" s="504"/>
      <c r="U63" s="504"/>
      <c r="V63" s="504"/>
    </row>
    <row r="64" spans="1:22" ht="11.25" customHeight="1">
      <c r="A64" s="504"/>
      <c r="B64" s="504"/>
      <c r="C64" s="82"/>
      <c r="D64" s="504"/>
      <c r="E64" s="504"/>
      <c r="F64" s="504"/>
      <c r="G64" s="504"/>
      <c r="H64" s="504"/>
      <c r="I64" s="504"/>
      <c r="J64" s="504"/>
      <c r="K64" s="504"/>
      <c r="L64" s="504"/>
      <c r="M64" s="504"/>
      <c r="N64" s="504"/>
      <c r="O64" s="504"/>
      <c r="P64" s="504"/>
      <c r="Q64" s="504"/>
      <c r="R64" s="504"/>
      <c r="S64" s="504"/>
      <c r="T64" s="504"/>
      <c r="U64" s="504"/>
      <c r="V64" s="504"/>
    </row>
    <row r="65" spans="1:22" ht="11.25" customHeight="1">
      <c r="A65" s="504"/>
      <c r="B65" s="504"/>
      <c r="C65" s="82"/>
      <c r="D65" s="504"/>
      <c r="E65" s="504"/>
      <c r="F65" s="504"/>
      <c r="G65" s="504"/>
      <c r="H65" s="504"/>
      <c r="I65" s="504"/>
      <c r="J65" s="504"/>
      <c r="K65" s="504"/>
      <c r="L65" s="504"/>
      <c r="M65" s="504"/>
      <c r="N65" s="504"/>
      <c r="O65" s="504"/>
      <c r="P65" s="504"/>
      <c r="Q65" s="504"/>
      <c r="R65" s="504"/>
      <c r="S65" s="504"/>
      <c r="T65" s="504"/>
      <c r="U65" s="504"/>
      <c r="V65" s="504"/>
    </row>
    <row r="66" spans="1:22" ht="11.25" customHeight="1">
      <c r="A66" s="504"/>
      <c r="B66" s="504"/>
      <c r="C66" s="82"/>
      <c r="D66" s="504"/>
      <c r="E66" s="504"/>
      <c r="F66" s="504"/>
      <c r="G66" s="504"/>
      <c r="H66" s="504"/>
      <c r="I66" s="504"/>
      <c r="J66" s="504"/>
      <c r="K66" s="504"/>
      <c r="L66" s="504"/>
      <c r="M66" s="504"/>
      <c r="N66" s="504"/>
      <c r="O66" s="504"/>
      <c r="P66" s="504"/>
      <c r="Q66" s="504"/>
      <c r="R66" s="504"/>
      <c r="S66" s="504"/>
      <c r="T66" s="504"/>
      <c r="U66" s="504"/>
      <c r="V66" s="504"/>
    </row>
    <row r="67" spans="1:22" ht="11.25" customHeight="1">
      <c r="A67" s="504"/>
      <c r="B67" s="504"/>
      <c r="C67" s="82"/>
      <c r="D67" s="504"/>
      <c r="E67" s="504"/>
      <c r="F67" s="504"/>
      <c r="G67" s="504"/>
      <c r="H67" s="504"/>
      <c r="I67" s="504"/>
      <c r="J67" s="504"/>
      <c r="K67" s="504"/>
      <c r="L67" s="504"/>
      <c r="M67" s="504"/>
      <c r="N67" s="504"/>
      <c r="O67" s="504"/>
      <c r="P67" s="504"/>
      <c r="Q67" s="504"/>
      <c r="R67" s="504"/>
      <c r="S67" s="504"/>
      <c r="T67" s="504"/>
      <c r="U67" s="504"/>
      <c r="V67" s="504"/>
    </row>
    <row r="68" spans="1:22" ht="11.25" customHeight="1">
      <c r="A68" s="504"/>
      <c r="B68" s="504"/>
      <c r="C68" s="82"/>
      <c r="D68" s="504"/>
      <c r="E68" s="504"/>
      <c r="F68" s="504"/>
      <c r="G68" s="504"/>
      <c r="H68" s="504"/>
      <c r="I68" s="504"/>
      <c r="J68" s="504"/>
      <c r="K68" s="504"/>
      <c r="L68" s="504"/>
      <c r="M68" s="504"/>
      <c r="N68" s="504"/>
      <c r="O68" s="504"/>
      <c r="P68" s="504"/>
      <c r="Q68" s="504"/>
      <c r="R68" s="504"/>
      <c r="S68" s="504"/>
      <c r="T68" s="504"/>
      <c r="U68" s="504"/>
      <c r="V68" s="504"/>
    </row>
    <row r="69" spans="1:22" ht="11.25" customHeight="1">
      <c r="A69" s="504"/>
      <c r="B69" s="504"/>
      <c r="C69" s="82"/>
      <c r="D69" s="504"/>
      <c r="E69" s="504"/>
      <c r="F69" s="504"/>
      <c r="G69" s="504"/>
      <c r="H69" s="504"/>
      <c r="I69" s="504"/>
      <c r="J69" s="504"/>
      <c r="K69" s="504"/>
      <c r="L69" s="504"/>
      <c r="M69" s="504"/>
      <c r="N69" s="504"/>
      <c r="O69" s="504"/>
      <c r="P69" s="504"/>
      <c r="Q69" s="504"/>
      <c r="R69" s="504"/>
      <c r="S69" s="504"/>
      <c r="T69" s="504"/>
      <c r="U69" s="504"/>
      <c r="V69" s="504"/>
    </row>
    <row r="70" spans="1:22" ht="11.25" customHeight="1">
      <c r="A70" s="504"/>
      <c r="B70" s="504"/>
      <c r="C70" s="82"/>
      <c r="D70" s="504"/>
      <c r="E70" s="504"/>
      <c r="F70" s="504"/>
      <c r="G70" s="504"/>
      <c r="H70" s="504"/>
      <c r="I70" s="504"/>
      <c r="J70" s="504"/>
      <c r="K70" s="504"/>
      <c r="L70" s="504"/>
      <c r="M70" s="504"/>
      <c r="N70" s="504"/>
      <c r="O70" s="504"/>
      <c r="P70" s="504"/>
      <c r="Q70" s="504"/>
      <c r="R70" s="504"/>
      <c r="S70" s="504"/>
      <c r="T70" s="504"/>
      <c r="U70" s="504"/>
      <c r="V70" s="504"/>
    </row>
    <row r="71" spans="1:22" ht="11.25" customHeight="1">
      <c r="A71" s="504"/>
      <c r="B71" s="504"/>
      <c r="C71" s="82"/>
      <c r="D71" s="504"/>
      <c r="E71" s="504"/>
      <c r="F71" s="504"/>
      <c r="G71" s="504"/>
      <c r="H71" s="504"/>
      <c r="I71" s="504"/>
      <c r="J71" s="504"/>
      <c r="K71" s="504"/>
      <c r="L71" s="504"/>
      <c r="M71" s="504"/>
      <c r="N71" s="504"/>
      <c r="O71" s="504"/>
      <c r="P71" s="504"/>
      <c r="Q71" s="504"/>
      <c r="R71" s="504"/>
      <c r="S71" s="504"/>
      <c r="T71" s="504"/>
      <c r="U71" s="504"/>
      <c r="V71" s="504"/>
    </row>
    <row r="72" spans="1:22" ht="11.25" customHeight="1">
      <c r="A72" s="504"/>
      <c r="B72" s="504"/>
      <c r="C72" s="82"/>
      <c r="D72" s="504"/>
      <c r="E72" s="504"/>
      <c r="F72" s="504"/>
      <c r="G72" s="504"/>
      <c r="H72" s="504"/>
      <c r="I72" s="504"/>
      <c r="J72" s="504"/>
      <c r="K72" s="504"/>
      <c r="L72" s="504"/>
      <c r="M72" s="504"/>
      <c r="N72" s="504"/>
      <c r="O72" s="504"/>
      <c r="P72" s="504"/>
      <c r="Q72" s="504"/>
      <c r="R72" s="504"/>
      <c r="S72" s="504"/>
      <c r="T72" s="504"/>
      <c r="U72" s="504"/>
      <c r="V72" s="504"/>
    </row>
    <row r="73" spans="1:22" ht="11.25" customHeight="1">
      <c r="A73" s="504"/>
      <c r="B73" s="504"/>
      <c r="C73" s="82"/>
      <c r="D73" s="504"/>
      <c r="E73" s="504"/>
      <c r="F73" s="504"/>
      <c r="G73" s="504"/>
      <c r="H73" s="504"/>
      <c r="I73" s="504"/>
      <c r="J73" s="504"/>
      <c r="K73" s="504"/>
      <c r="L73" s="504"/>
      <c r="M73" s="504"/>
      <c r="N73" s="504"/>
      <c r="O73" s="504"/>
      <c r="P73" s="504"/>
      <c r="Q73" s="504"/>
      <c r="R73" s="504"/>
      <c r="S73" s="504"/>
      <c r="T73" s="504"/>
      <c r="U73" s="504"/>
      <c r="V73" s="504"/>
    </row>
    <row r="74" spans="1:22" ht="11.25" customHeight="1">
      <c r="A74" s="504"/>
      <c r="B74" s="504"/>
      <c r="C74" s="82"/>
      <c r="D74" s="504"/>
      <c r="E74" s="504"/>
      <c r="F74" s="504"/>
      <c r="G74" s="504"/>
      <c r="H74" s="504"/>
      <c r="I74" s="504"/>
      <c r="J74" s="504"/>
      <c r="K74" s="504"/>
      <c r="L74" s="504"/>
      <c r="M74" s="504"/>
      <c r="N74" s="504"/>
      <c r="O74" s="504"/>
      <c r="P74" s="504"/>
      <c r="Q74" s="504"/>
      <c r="R74" s="504"/>
      <c r="S74" s="504"/>
      <c r="T74" s="504"/>
      <c r="U74" s="504"/>
      <c r="V74" s="504"/>
    </row>
    <row r="75" spans="1:22" ht="11.25" customHeight="1">
      <c r="A75" s="504"/>
      <c r="B75" s="504"/>
      <c r="C75" s="82"/>
      <c r="D75" s="504"/>
      <c r="E75" s="504"/>
      <c r="F75" s="504"/>
      <c r="G75" s="504"/>
      <c r="H75" s="504"/>
      <c r="I75" s="504"/>
      <c r="J75" s="504"/>
      <c r="K75" s="504"/>
      <c r="L75" s="504"/>
      <c r="M75" s="504"/>
      <c r="N75" s="504"/>
      <c r="O75" s="504"/>
      <c r="P75" s="504"/>
      <c r="Q75" s="504"/>
      <c r="R75" s="504"/>
      <c r="S75" s="504"/>
      <c r="T75" s="504"/>
      <c r="U75" s="504"/>
      <c r="V75" s="504"/>
    </row>
    <row r="76" spans="1:22" ht="11.25" customHeight="1">
      <c r="A76" s="504"/>
      <c r="B76" s="504"/>
      <c r="C76" s="82"/>
      <c r="D76" s="504"/>
      <c r="E76" s="504"/>
      <c r="F76" s="504"/>
      <c r="G76" s="504"/>
      <c r="H76" s="504"/>
      <c r="I76" s="504"/>
      <c r="J76" s="504"/>
      <c r="K76" s="504"/>
      <c r="L76" s="504"/>
      <c r="M76" s="504"/>
      <c r="N76" s="504"/>
      <c r="O76" s="504"/>
      <c r="P76" s="504"/>
      <c r="Q76" s="504"/>
      <c r="R76" s="504"/>
      <c r="S76" s="504"/>
      <c r="T76" s="504"/>
      <c r="U76" s="504"/>
      <c r="V76" s="504"/>
    </row>
    <row r="77" spans="1:22" ht="11.25" customHeight="1">
      <c r="A77" s="504"/>
      <c r="B77" s="504"/>
      <c r="C77" s="82"/>
      <c r="D77" s="504"/>
      <c r="E77" s="504"/>
      <c r="F77" s="504"/>
      <c r="G77" s="504"/>
      <c r="H77" s="504"/>
      <c r="I77" s="504"/>
      <c r="J77" s="504"/>
      <c r="K77" s="504"/>
      <c r="L77" s="504"/>
      <c r="M77" s="504"/>
      <c r="N77" s="504"/>
      <c r="O77" s="504"/>
      <c r="P77" s="504"/>
      <c r="Q77" s="504"/>
      <c r="R77" s="504"/>
      <c r="S77" s="504"/>
      <c r="T77" s="504"/>
      <c r="U77" s="504"/>
      <c r="V77" s="504"/>
    </row>
    <row r="78" spans="1:22" ht="11.25" customHeight="1">
      <c r="A78" s="504"/>
      <c r="B78" s="504"/>
      <c r="C78" s="82"/>
      <c r="D78" s="504"/>
      <c r="E78" s="504"/>
      <c r="F78" s="504"/>
      <c r="G78" s="504"/>
      <c r="H78" s="504"/>
      <c r="I78" s="504"/>
      <c r="J78" s="504"/>
      <c r="K78" s="504"/>
      <c r="L78" s="504"/>
      <c r="M78" s="504"/>
      <c r="N78" s="504"/>
      <c r="O78" s="504"/>
      <c r="P78" s="504"/>
      <c r="Q78" s="504"/>
      <c r="R78" s="504"/>
      <c r="S78" s="504"/>
      <c r="T78" s="504"/>
      <c r="U78" s="504"/>
      <c r="V78" s="504"/>
    </row>
    <row r="79" spans="1:22" ht="11.25" customHeight="1">
      <c r="A79" s="504"/>
      <c r="B79" s="504"/>
      <c r="C79" s="82"/>
      <c r="D79" s="504"/>
      <c r="E79" s="504"/>
      <c r="F79" s="504"/>
      <c r="G79" s="504"/>
      <c r="H79" s="504"/>
      <c r="I79" s="504"/>
      <c r="J79" s="504"/>
      <c r="K79" s="504"/>
      <c r="L79" s="504"/>
      <c r="M79" s="504"/>
      <c r="N79" s="504"/>
      <c r="O79" s="504"/>
      <c r="P79" s="504"/>
      <c r="Q79" s="504"/>
      <c r="R79" s="504"/>
      <c r="S79" s="504"/>
      <c r="T79" s="504"/>
      <c r="U79" s="504"/>
      <c r="V79" s="504"/>
    </row>
    <row r="80" spans="1:22" ht="11.25" customHeight="1">
      <c r="A80" s="504"/>
      <c r="B80" s="504"/>
      <c r="C80" s="82"/>
      <c r="D80" s="504"/>
      <c r="E80" s="504"/>
      <c r="F80" s="504"/>
      <c r="G80" s="504"/>
      <c r="H80" s="504"/>
      <c r="I80" s="504"/>
      <c r="J80" s="504"/>
      <c r="K80" s="504"/>
      <c r="L80" s="504"/>
      <c r="M80" s="504"/>
      <c r="N80" s="504"/>
      <c r="O80" s="504"/>
      <c r="P80" s="504"/>
      <c r="Q80" s="504"/>
      <c r="R80" s="504"/>
      <c r="S80" s="504"/>
      <c r="T80" s="504"/>
      <c r="U80" s="504"/>
      <c r="V80" s="504"/>
    </row>
    <row r="81" spans="1:22" ht="11.25" customHeight="1">
      <c r="A81" s="504"/>
      <c r="B81" s="504"/>
      <c r="C81" s="82"/>
      <c r="D81" s="504"/>
      <c r="E81" s="504"/>
      <c r="F81" s="504"/>
      <c r="G81" s="504"/>
      <c r="H81" s="504"/>
      <c r="I81" s="504"/>
      <c r="J81" s="504"/>
      <c r="K81" s="504"/>
      <c r="L81" s="504"/>
      <c r="M81" s="504"/>
      <c r="N81" s="504"/>
      <c r="O81" s="504"/>
      <c r="P81" s="504"/>
      <c r="Q81" s="504"/>
      <c r="R81" s="504"/>
      <c r="S81" s="504"/>
      <c r="T81" s="504"/>
      <c r="U81" s="504"/>
      <c r="V81" s="504"/>
    </row>
    <row r="82" spans="1:22" ht="11.25" customHeight="1">
      <c r="A82" s="504"/>
      <c r="B82" s="504"/>
      <c r="C82" s="82"/>
      <c r="D82" s="504"/>
      <c r="E82" s="504"/>
      <c r="F82" s="504"/>
      <c r="G82" s="504"/>
      <c r="H82" s="504"/>
      <c r="I82" s="504"/>
      <c r="J82" s="504"/>
      <c r="K82" s="504"/>
      <c r="L82" s="504"/>
      <c r="M82" s="504"/>
      <c r="N82" s="504"/>
      <c r="O82" s="504"/>
      <c r="P82" s="504"/>
      <c r="Q82" s="504"/>
      <c r="R82" s="504"/>
      <c r="S82" s="504"/>
      <c r="T82" s="504"/>
      <c r="U82" s="504"/>
      <c r="V82" s="504"/>
    </row>
    <row r="83" spans="1:22" ht="11.25" customHeight="1">
      <c r="A83" s="504"/>
      <c r="B83" s="504"/>
      <c r="C83" s="82"/>
      <c r="D83" s="504"/>
      <c r="E83" s="504"/>
      <c r="F83" s="504"/>
      <c r="G83" s="504"/>
      <c r="H83" s="504"/>
      <c r="I83" s="504"/>
      <c r="J83" s="504"/>
      <c r="K83" s="504"/>
      <c r="L83" s="504"/>
      <c r="M83" s="504"/>
      <c r="N83" s="504"/>
      <c r="O83" s="504"/>
      <c r="P83" s="504"/>
      <c r="Q83" s="504"/>
      <c r="R83" s="504"/>
      <c r="S83" s="504"/>
      <c r="T83" s="504"/>
      <c r="U83" s="504"/>
      <c r="V83" s="504"/>
    </row>
    <row r="84" spans="1:22" ht="11.25" customHeight="1">
      <c r="A84" s="504"/>
      <c r="B84" s="504"/>
      <c r="C84" s="82"/>
      <c r="D84" s="504"/>
      <c r="E84" s="504"/>
      <c r="F84" s="504"/>
      <c r="G84" s="504"/>
      <c r="H84" s="504"/>
      <c r="I84" s="504"/>
      <c r="J84" s="504"/>
      <c r="K84" s="504"/>
      <c r="L84" s="504"/>
      <c r="M84" s="504"/>
      <c r="N84" s="504"/>
      <c r="O84" s="504"/>
      <c r="P84" s="504"/>
      <c r="Q84" s="504"/>
      <c r="R84" s="504"/>
      <c r="S84" s="504"/>
      <c r="T84" s="504"/>
      <c r="U84" s="504"/>
      <c r="V84" s="504"/>
    </row>
    <row r="85" spans="1:22" ht="11.25" customHeight="1">
      <c r="A85" s="504"/>
      <c r="B85" s="504"/>
      <c r="C85" s="82"/>
      <c r="D85" s="504"/>
      <c r="E85" s="504"/>
      <c r="F85" s="504"/>
      <c r="G85" s="504"/>
      <c r="H85" s="504"/>
      <c r="I85" s="504"/>
      <c r="J85" s="504"/>
      <c r="K85" s="504"/>
      <c r="L85" s="504"/>
      <c r="M85" s="504"/>
      <c r="N85" s="504"/>
      <c r="O85" s="504"/>
      <c r="P85" s="504"/>
      <c r="Q85" s="504"/>
      <c r="R85" s="504"/>
      <c r="S85" s="504"/>
      <c r="T85" s="504"/>
      <c r="U85" s="504"/>
      <c r="V85" s="504"/>
    </row>
    <row r="86" spans="1:22" ht="11.25" customHeight="1">
      <c r="A86" s="504"/>
      <c r="B86" s="504"/>
      <c r="C86" s="82"/>
      <c r="D86" s="504"/>
      <c r="E86" s="504"/>
      <c r="F86" s="504"/>
      <c r="G86" s="504"/>
      <c r="H86" s="504"/>
      <c r="I86" s="504"/>
      <c r="J86" s="504"/>
      <c r="K86" s="504"/>
      <c r="L86" s="504"/>
      <c r="M86" s="504"/>
      <c r="N86" s="504"/>
      <c r="O86" s="504"/>
      <c r="P86" s="504"/>
      <c r="Q86" s="504"/>
      <c r="R86" s="504"/>
      <c r="S86" s="504"/>
      <c r="T86" s="504"/>
      <c r="U86" s="504"/>
      <c r="V86" s="504"/>
    </row>
    <row r="87" spans="1:22" ht="11.25" customHeight="1">
      <c r="A87" s="504"/>
      <c r="B87" s="504"/>
      <c r="C87" s="82"/>
      <c r="D87" s="504"/>
      <c r="E87" s="504"/>
      <c r="F87" s="504"/>
      <c r="G87" s="504"/>
      <c r="H87" s="504"/>
      <c r="I87" s="504"/>
      <c r="J87" s="504"/>
      <c r="K87" s="504"/>
      <c r="L87" s="504"/>
      <c r="M87" s="504"/>
      <c r="N87" s="504"/>
      <c r="O87" s="504"/>
      <c r="P87" s="504"/>
      <c r="Q87" s="504"/>
      <c r="R87" s="504"/>
      <c r="S87" s="504"/>
      <c r="T87" s="504"/>
      <c r="U87" s="504"/>
      <c r="V87" s="504"/>
    </row>
    <row r="88" spans="1:22" ht="11.25" customHeight="1">
      <c r="A88" s="504"/>
      <c r="B88" s="504"/>
      <c r="C88" s="82"/>
      <c r="D88" s="504"/>
      <c r="E88" s="504"/>
      <c r="F88" s="504"/>
      <c r="G88" s="504"/>
      <c r="H88" s="504"/>
      <c r="I88" s="504"/>
      <c r="J88" s="504"/>
      <c r="K88" s="504"/>
      <c r="L88" s="504"/>
      <c r="M88" s="504"/>
      <c r="N88" s="504"/>
      <c r="O88" s="504"/>
      <c r="P88" s="504"/>
      <c r="Q88" s="504"/>
      <c r="R88" s="504"/>
      <c r="S88" s="504"/>
      <c r="T88" s="504"/>
      <c r="U88" s="504"/>
      <c r="V88" s="504"/>
    </row>
    <row r="89" spans="1:22" ht="11.25" customHeight="1">
      <c r="A89" s="504"/>
      <c r="B89" s="504"/>
      <c r="C89" s="82"/>
      <c r="D89" s="504"/>
      <c r="E89" s="504"/>
      <c r="F89" s="504"/>
      <c r="G89" s="504"/>
      <c r="H89" s="504"/>
      <c r="I89" s="504"/>
      <c r="J89" s="504"/>
      <c r="K89" s="504"/>
      <c r="L89" s="504"/>
      <c r="M89" s="504"/>
      <c r="N89" s="504"/>
      <c r="O89" s="504"/>
      <c r="P89" s="504"/>
      <c r="Q89" s="504"/>
      <c r="R89" s="504"/>
      <c r="S89" s="504"/>
      <c r="T89" s="504"/>
      <c r="U89" s="504"/>
      <c r="V89" s="504"/>
    </row>
    <row r="90" spans="1:22" ht="11.25" customHeight="1">
      <c r="A90" s="504"/>
      <c r="B90" s="504"/>
      <c r="C90" s="82"/>
      <c r="D90" s="504"/>
      <c r="E90" s="504"/>
      <c r="F90" s="504"/>
      <c r="G90" s="504"/>
      <c r="H90" s="504"/>
      <c r="I90" s="504"/>
      <c r="J90" s="504"/>
      <c r="K90" s="504"/>
      <c r="L90" s="504"/>
      <c r="M90" s="504"/>
      <c r="N90" s="504"/>
      <c r="O90" s="504"/>
      <c r="P90" s="504"/>
      <c r="Q90" s="504"/>
      <c r="R90" s="504"/>
      <c r="S90" s="504"/>
      <c r="T90" s="504"/>
      <c r="U90" s="504"/>
      <c r="V90" s="504"/>
    </row>
    <row r="91" spans="1:22" ht="11.25" customHeight="1">
      <c r="A91" s="504"/>
      <c r="B91" s="504"/>
      <c r="C91" s="82"/>
      <c r="D91" s="504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4"/>
    </row>
    <row r="92" spans="1:22" ht="11.25" customHeight="1">
      <c r="A92" s="504"/>
      <c r="B92" s="504"/>
      <c r="C92" s="82"/>
      <c r="D92" s="504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4"/>
    </row>
    <row r="93" spans="1:22" ht="11.25" customHeight="1">
      <c r="A93" s="504"/>
      <c r="B93" s="504"/>
      <c r="C93" s="82"/>
      <c r="D93" s="504"/>
      <c r="E93" s="504"/>
      <c r="F93" s="504"/>
      <c r="G93" s="504"/>
      <c r="H93" s="504"/>
      <c r="I93" s="504"/>
      <c r="J93" s="504"/>
      <c r="K93" s="504"/>
      <c r="L93" s="504"/>
      <c r="M93" s="504"/>
      <c r="N93" s="504"/>
      <c r="O93" s="504"/>
      <c r="P93" s="504"/>
      <c r="Q93" s="504"/>
      <c r="R93" s="504"/>
      <c r="S93" s="504"/>
      <c r="T93" s="504"/>
      <c r="U93" s="504"/>
      <c r="V93" s="504"/>
    </row>
    <row r="94" spans="1:22" ht="11.25" customHeight="1">
      <c r="A94" s="504"/>
      <c r="B94" s="504"/>
      <c r="C94" s="82"/>
      <c r="D94" s="504"/>
      <c r="E94" s="504"/>
      <c r="F94" s="504"/>
      <c r="G94" s="504"/>
      <c r="H94" s="504"/>
      <c r="I94" s="504"/>
      <c r="J94" s="504"/>
      <c r="K94" s="504"/>
      <c r="L94" s="504"/>
      <c r="M94" s="504"/>
      <c r="N94" s="504"/>
      <c r="O94" s="504"/>
      <c r="P94" s="504"/>
      <c r="Q94" s="504"/>
      <c r="R94" s="504"/>
      <c r="S94" s="504"/>
      <c r="T94" s="504"/>
      <c r="U94" s="504"/>
      <c r="V94" s="504"/>
    </row>
    <row r="95" spans="1:22" ht="11.25" customHeight="1">
      <c r="A95" s="504"/>
      <c r="B95" s="504"/>
      <c r="C95" s="82"/>
      <c r="D95" s="504"/>
      <c r="E95" s="504"/>
      <c r="F95" s="504"/>
      <c r="G95" s="504"/>
      <c r="H95" s="504"/>
      <c r="I95" s="504"/>
      <c r="J95" s="504"/>
      <c r="K95" s="504"/>
      <c r="L95" s="504"/>
      <c r="M95" s="504"/>
      <c r="N95" s="504"/>
      <c r="O95" s="504"/>
      <c r="P95" s="504"/>
      <c r="Q95" s="504"/>
      <c r="R95" s="504"/>
      <c r="S95" s="504"/>
      <c r="T95" s="504"/>
      <c r="U95" s="504"/>
      <c r="V95" s="504"/>
    </row>
    <row r="96" spans="1:22" ht="11.25" customHeight="1">
      <c r="A96" s="504"/>
      <c r="B96" s="504"/>
      <c r="C96" s="82"/>
      <c r="D96" s="504"/>
      <c r="E96" s="504"/>
      <c r="F96" s="504"/>
      <c r="G96" s="504"/>
      <c r="H96" s="504"/>
      <c r="I96" s="504"/>
      <c r="J96" s="504"/>
      <c r="K96" s="504"/>
      <c r="L96" s="504"/>
      <c r="M96" s="504"/>
      <c r="N96" s="504"/>
      <c r="O96" s="504"/>
      <c r="P96" s="504"/>
      <c r="Q96" s="504"/>
      <c r="R96" s="504"/>
      <c r="S96" s="504"/>
      <c r="T96" s="504"/>
      <c r="U96" s="504"/>
      <c r="V96" s="504"/>
    </row>
    <row r="97" spans="1:22" ht="11.25" customHeight="1">
      <c r="A97" s="504"/>
      <c r="B97" s="504"/>
      <c r="C97" s="82"/>
      <c r="D97" s="504"/>
      <c r="E97" s="504"/>
      <c r="F97" s="504"/>
      <c r="G97" s="504"/>
      <c r="H97" s="504"/>
      <c r="I97" s="504"/>
      <c r="J97" s="504"/>
      <c r="K97" s="504"/>
      <c r="L97" s="504"/>
      <c r="M97" s="504"/>
      <c r="N97" s="504"/>
      <c r="O97" s="504"/>
      <c r="P97" s="504"/>
      <c r="Q97" s="504"/>
      <c r="R97" s="504"/>
      <c r="S97" s="504"/>
      <c r="T97" s="504"/>
      <c r="U97" s="504"/>
      <c r="V97" s="504"/>
    </row>
    <row r="98" spans="1:22" ht="11.25" customHeight="1">
      <c r="A98" s="504"/>
      <c r="B98" s="504"/>
      <c r="C98" s="82"/>
      <c r="D98" s="504"/>
      <c r="E98" s="504"/>
      <c r="F98" s="504"/>
      <c r="G98" s="504"/>
      <c r="H98" s="504"/>
      <c r="I98" s="504"/>
      <c r="J98" s="504"/>
      <c r="K98" s="504"/>
      <c r="L98" s="504"/>
      <c r="M98" s="504"/>
      <c r="N98" s="504"/>
      <c r="O98" s="504"/>
      <c r="P98" s="504"/>
      <c r="Q98" s="504"/>
      <c r="R98" s="504"/>
      <c r="S98" s="504"/>
      <c r="T98" s="504"/>
      <c r="U98" s="504"/>
      <c r="V98" s="504"/>
    </row>
    <row r="99" spans="1:22" ht="11.25" customHeight="1">
      <c r="A99" s="504"/>
      <c r="B99" s="504"/>
      <c r="C99" s="82"/>
      <c r="D99" s="504"/>
      <c r="E99" s="504"/>
      <c r="F99" s="504"/>
      <c r="G99" s="504"/>
      <c r="H99" s="504"/>
      <c r="I99" s="504"/>
      <c r="J99" s="504"/>
      <c r="K99" s="504"/>
      <c r="L99" s="504"/>
      <c r="M99" s="504"/>
      <c r="N99" s="504"/>
      <c r="O99" s="504"/>
      <c r="P99" s="504"/>
      <c r="Q99" s="504"/>
      <c r="R99" s="504"/>
      <c r="S99" s="504"/>
      <c r="T99" s="504"/>
      <c r="U99" s="504"/>
      <c r="V99" s="504"/>
    </row>
    <row r="100" spans="1:22" ht="11.25" customHeight="1">
      <c r="A100" s="504"/>
      <c r="B100" s="504"/>
      <c r="C100" s="82"/>
      <c r="D100" s="504"/>
      <c r="E100" s="504"/>
      <c r="F100" s="504"/>
      <c r="G100" s="504"/>
      <c r="H100" s="504"/>
      <c r="I100" s="504"/>
      <c r="J100" s="504"/>
      <c r="K100" s="504"/>
      <c r="L100" s="504"/>
      <c r="M100" s="504"/>
      <c r="N100" s="504"/>
      <c r="O100" s="504"/>
      <c r="P100" s="504"/>
      <c r="Q100" s="504"/>
      <c r="R100" s="504"/>
      <c r="S100" s="504"/>
      <c r="T100" s="504"/>
      <c r="U100" s="504"/>
      <c r="V100" s="504"/>
    </row>
    <row r="101" spans="1:22" ht="11.25" customHeight="1">
      <c r="A101" s="504"/>
      <c r="B101" s="504"/>
      <c r="C101" s="82"/>
      <c r="D101" s="504"/>
      <c r="E101" s="504"/>
      <c r="F101" s="504"/>
      <c r="G101" s="504"/>
      <c r="H101" s="504"/>
      <c r="I101" s="504"/>
      <c r="J101" s="504"/>
      <c r="K101" s="504"/>
      <c r="L101" s="504"/>
      <c r="M101" s="504"/>
      <c r="N101" s="504"/>
      <c r="O101" s="504"/>
      <c r="P101" s="504"/>
      <c r="Q101" s="504"/>
      <c r="R101" s="504"/>
      <c r="S101" s="504"/>
      <c r="T101" s="504"/>
      <c r="U101" s="504"/>
      <c r="V101" s="504"/>
    </row>
    <row r="102" spans="1:22" ht="11.25" customHeight="1">
      <c r="A102" s="504"/>
      <c r="B102" s="504"/>
      <c r="C102" s="82"/>
      <c r="D102" s="504"/>
      <c r="E102" s="504"/>
      <c r="F102" s="504"/>
      <c r="G102" s="504"/>
      <c r="H102" s="504"/>
      <c r="I102" s="504"/>
      <c r="J102" s="504"/>
      <c r="K102" s="504"/>
      <c r="L102" s="504"/>
      <c r="M102" s="504"/>
      <c r="N102" s="504"/>
      <c r="O102" s="504"/>
      <c r="P102" s="504"/>
      <c r="Q102" s="504"/>
      <c r="R102" s="504"/>
      <c r="S102" s="504"/>
      <c r="T102" s="504"/>
      <c r="U102" s="504"/>
      <c r="V102" s="504"/>
    </row>
    <row r="103" spans="1:22" ht="11.25" customHeight="1">
      <c r="A103" s="504"/>
      <c r="B103" s="504"/>
      <c r="C103" s="82"/>
      <c r="D103" s="504"/>
      <c r="E103" s="504"/>
      <c r="F103" s="504"/>
      <c r="G103" s="504"/>
      <c r="H103" s="504"/>
      <c r="I103" s="504"/>
      <c r="J103" s="504"/>
      <c r="K103" s="504"/>
      <c r="L103" s="504"/>
      <c r="M103" s="504"/>
      <c r="N103" s="504"/>
      <c r="O103" s="504"/>
      <c r="P103" s="504"/>
      <c r="Q103" s="504"/>
      <c r="R103" s="504"/>
      <c r="S103" s="504"/>
      <c r="T103" s="504"/>
      <c r="U103" s="504"/>
      <c r="V103" s="504"/>
    </row>
    <row r="104" spans="1:22" ht="11.25" customHeight="1">
      <c r="A104" s="504"/>
      <c r="B104" s="504"/>
      <c r="C104" s="82"/>
      <c r="D104" s="504"/>
      <c r="E104" s="504"/>
      <c r="F104" s="504"/>
      <c r="G104" s="504"/>
      <c r="H104" s="504"/>
      <c r="I104" s="504"/>
      <c r="J104" s="504"/>
      <c r="K104" s="504"/>
      <c r="L104" s="504"/>
      <c r="M104" s="504"/>
      <c r="N104" s="504"/>
      <c r="O104" s="504"/>
      <c r="P104" s="504"/>
      <c r="Q104" s="504"/>
      <c r="R104" s="504"/>
      <c r="S104" s="504"/>
      <c r="T104" s="504"/>
      <c r="U104" s="504"/>
      <c r="V104" s="504"/>
    </row>
    <row r="105" spans="1:22" ht="11.25" customHeight="1">
      <c r="A105" s="504"/>
      <c r="B105" s="504"/>
      <c r="C105" s="82"/>
      <c r="D105" s="504"/>
      <c r="E105" s="504"/>
      <c r="F105" s="504"/>
      <c r="G105" s="504"/>
      <c r="H105" s="504"/>
      <c r="I105" s="504"/>
      <c r="J105" s="504"/>
      <c r="K105" s="504"/>
      <c r="L105" s="504"/>
      <c r="M105" s="504"/>
      <c r="N105" s="504"/>
      <c r="O105" s="504"/>
      <c r="P105" s="504"/>
      <c r="Q105" s="504"/>
      <c r="R105" s="504"/>
      <c r="S105" s="504"/>
      <c r="T105" s="504"/>
      <c r="U105" s="504"/>
      <c r="V105" s="504"/>
    </row>
    <row r="106" spans="1:22" ht="11.25" customHeight="1">
      <c r="A106" s="504"/>
      <c r="B106" s="504"/>
      <c r="C106" s="82"/>
      <c r="D106" s="504"/>
      <c r="E106" s="504"/>
      <c r="F106" s="504"/>
      <c r="G106" s="504"/>
      <c r="H106" s="504"/>
      <c r="I106" s="504"/>
      <c r="J106" s="504"/>
      <c r="K106" s="504"/>
      <c r="L106" s="504"/>
      <c r="M106" s="504"/>
      <c r="N106" s="504"/>
      <c r="O106" s="504"/>
      <c r="P106" s="504"/>
      <c r="Q106" s="504"/>
      <c r="R106" s="504"/>
      <c r="S106" s="504"/>
      <c r="T106" s="504"/>
      <c r="U106" s="504"/>
      <c r="V106" s="504"/>
    </row>
    <row r="107" spans="1:22" ht="11.25" customHeight="1">
      <c r="A107" s="504"/>
      <c r="B107" s="504"/>
      <c r="C107" s="82"/>
      <c r="D107" s="504"/>
      <c r="E107" s="504"/>
      <c r="F107" s="504"/>
      <c r="G107" s="504"/>
      <c r="H107" s="504"/>
      <c r="I107" s="504"/>
      <c r="J107" s="504"/>
      <c r="K107" s="504"/>
      <c r="L107" s="504"/>
      <c r="M107" s="504"/>
      <c r="N107" s="504"/>
      <c r="O107" s="504"/>
      <c r="P107" s="504"/>
      <c r="Q107" s="504"/>
      <c r="R107" s="504"/>
      <c r="S107" s="504"/>
      <c r="T107" s="504"/>
      <c r="U107" s="504"/>
      <c r="V107" s="504"/>
    </row>
    <row r="108" spans="1:22" ht="11.25" customHeight="1">
      <c r="A108" s="504"/>
      <c r="B108" s="504"/>
      <c r="C108" s="82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</row>
    <row r="109" spans="1:22" ht="11.25" customHeight="1">
      <c r="A109" s="504"/>
      <c r="B109" s="504"/>
      <c r="C109" s="82"/>
      <c r="D109" s="504"/>
      <c r="E109" s="504"/>
      <c r="F109" s="504"/>
      <c r="G109" s="504"/>
      <c r="H109" s="504"/>
      <c r="I109" s="504"/>
      <c r="J109" s="504"/>
      <c r="K109" s="504"/>
      <c r="L109" s="504"/>
      <c r="M109" s="504"/>
      <c r="N109" s="504"/>
      <c r="O109" s="504"/>
      <c r="P109" s="504"/>
      <c r="Q109" s="504"/>
      <c r="R109" s="504"/>
      <c r="S109" s="504"/>
      <c r="T109" s="504"/>
      <c r="U109" s="504"/>
      <c r="V109" s="504"/>
    </row>
    <row r="110" spans="1:22" ht="11.25" customHeight="1">
      <c r="A110" s="504"/>
      <c r="B110" s="504"/>
      <c r="C110" s="82"/>
      <c r="D110" s="504"/>
      <c r="E110" s="504"/>
      <c r="F110" s="504"/>
      <c r="G110" s="504"/>
      <c r="H110" s="504"/>
      <c r="I110" s="504"/>
      <c r="J110" s="504"/>
      <c r="K110" s="504"/>
      <c r="L110" s="504"/>
      <c r="M110" s="504"/>
      <c r="N110" s="504"/>
      <c r="O110" s="504"/>
      <c r="P110" s="504"/>
      <c r="Q110" s="504"/>
      <c r="R110" s="504"/>
      <c r="S110" s="504"/>
      <c r="T110" s="504"/>
      <c r="U110" s="504"/>
      <c r="V110" s="504"/>
    </row>
    <row r="111" spans="1:22" ht="11.25" customHeight="1">
      <c r="A111" s="504"/>
      <c r="B111" s="504"/>
      <c r="C111" s="82"/>
      <c r="D111" s="504"/>
      <c r="E111" s="504"/>
      <c r="F111" s="504"/>
      <c r="G111" s="504"/>
      <c r="H111" s="504"/>
      <c r="I111" s="504"/>
      <c r="J111" s="504"/>
      <c r="K111" s="504"/>
      <c r="L111" s="504"/>
      <c r="M111" s="504"/>
      <c r="N111" s="504"/>
      <c r="O111" s="504"/>
      <c r="P111" s="504"/>
      <c r="Q111" s="504"/>
      <c r="R111" s="504"/>
      <c r="S111" s="504"/>
      <c r="T111" s="504"/>
      <c r="U111" s="504"/>
      <c r="V111" s="504"/>
    </row>
    <row r="112" spans="1:22" ht="11.25" customHeight="1">
      <c r="A112" s="504"/>
      <c r="B112" s="504"/>
      <c r="C112" s="82"/>
      <c r="D112" s="504"/>
      <c r="E112" s="504"/>
      <c r="F112" s="504"/>
      <c r="G112" s="504"/>
      <c r="H112" s="504"/>
      <c r="I112" s="504"/>
      <c r="J112" s="504"/>
      <c r="K112" s="504"/>
      <c r="L112" s="504"/>
      <c r="M112" s="504"/>
      <c r="N112" s="504"/>
      <c r="O112" s="504"/>
      <c r="P112" s="504"/>
      <c r="Q112" s="504"/>
      <c r="R112" s="504"/>
      <c r="S112" s="504"/>
      <c r="T112" s="504"/>
      <c r="U112" s="504"/>
      <c r="V112" s="504"/>
    </row>
    <row r="113" spans="1:22" ht="11.25" customHeight="1">
      <c r="A113" s="504"/>
      <c r="B113" s="504"/>
      <c r="C113" s="82"/>
      <c r="D113" s="504"/>
      <c r="E113" s="504"/>
      <c r="F113" s="504"/>
      <c r="G113" s="504"/>
      <c r="H113" s="504"/>
      <c r="I113" s="504"/>
      <c r="J113" s="504"/>
      <c r="K113" s="504"/>
      <c r="L113" s="504"/>
      <c r="M113" s="504"/>
      <c r="N113" s="504"/>
      <c r="O113" s="504"/>
      <c r="P113" s="504"/>
      <c r="Q113" s="504"/>
      <c r="R113" s="504"/>
      <c r="S113" s="504"/>
      <c r="T113" s="504"/>
      <c r="U113" s="504"/>
      <c r="V113" s="504"/>
    </row>
    <row r="114" spans="1:22" ht="11.25" customHeight="1">
      <c r="A114" s="504"/>
      <c r="B114" s="504"/>
      <c r="C114" s="82"/>
      <c r="D114" s="504"/>
      <c r="E114" s="504"/>
      <c r="F114" s="504"/>
      <c r="G114" s="504"/>
      <c r="H114" s="504"/>
      <c r="I114" s="504"/>
      <c r="J114" s="504"/>
      <c r="K114" s="504"/>
      <c r="L114" s="504"/>
      <c r="M114" s="504"/>
      <c r="N114" s="504"/>
      <c r="O114" s="504"/>
      <c r="P114" s="504"/>
      <c r="Q114" s="504"/>
      <c r="R114" s="504"/>
      <c r="S114" s="504"/>
      <c r="T114" s="504"/>
      <c r="U114" s="504"/>
      <c r="V114" s="504"/>
    </row>
    <row r="115" spans="1:22" ht="11.25" customHeight="1">
      <c r="A115" s="504"/>
      <c r="B115" s="504"/>
      <c r="C115" s="82"/>
      <c r="D115" s="504"/>
      <c r="E115" s="504"/>
      <c r="F115" s="504"/>
      <c r="G115" s="504"/>
      <c r="H115" s="504"/>
      <c r="I115" s="504"/>
      <c r="J115" s="504"/>
      <c r="K115" s="504"/>
      <c r="L115" s="504"/>
      <c r="M115" s="504"/>
      <c r="N115" s="504"/>
      <c r="O115" s="504"/>
      <c r="P115" s="504"/>
      <c r="Q115" s="504"/>
      <c r="R115" s="504"/>
      <c r="S115" s="504"/>
      <c r="T115" s="504"/>
      <c r="U115" s="504"/>
      <c r="V115" s="504"/>
    </row>
    <row r="116" spans="1:22" ht="11.25" customHeight="1">
      <c r="A116" s="504"/>
      <c r="B116" s="504"/>
      <c r="C116" s="82"/>
      <c r="D116" s="504"/>
      <c r="E116" s="504"/>
      <c r="F116" s="504"/>
      <c r="G116" s="504"/>
      <c r="H116" s="504"/>
      <c r="I116" s="504"/>
      <c r="J116" s="504"/>
      <c r="K116" s="504"/>
      <c r="L116" s="504"/>
      <c r="M116" s="504"/>
      <c r="N116" s="504"/>
      <c r="O116" s="504"/>
      <c r="P116" s="504"/>
      <c r="Q116" s="504"/>
      <c r="R116" s="504"/>
      <c r="S116" s="504"/>
      <c r="T116" s="504"/>
      <c r="U116" s="504"/>
      <c r="V116" s="504"/>
    </row>
    <row r="117" spans="1:22" ht="11.25" customHeight="1">
      <c r="A117" s="504"/>
      <c r="B117" s="504"/>
      <c r="C117" s="82"/>
      <c r="D117" s="504"/>
      <c r="E117" s="504"/>
      <c r="F117" s="504"/>
      <c r="G117" s="504"/>
      <c r="H117" s="504"/>
      <c r="I117" s="504"/>
      <c r="J117" s="504"/>
      <c r="K117" s="504"/>
      <c r="L117" s="504"/>
      <c r="M117" s="504"/>
      <c r="N117" s="504"/>
      <c r="O117" s="504"/>
      <c r="P117" s="504"/>
      <c r="Q117" s="504"/>
      <c r="R117" s="504"/>
      <c r="S117" s="504"/>
      <c r="T117" s="504"/>
      <c r="U117" s="504"/>
      <c r="V117" s="504"/>
    </row>
    <row r="118" spans="1:22" ht="11.25" customHeight="1">
      <c r="A118" s="504"/>
      <c r="B118" s="504"/>
      <c r="C118" s="82"/>
      <c r="D118" s="504"/>
      <c r="E118" s="504"/>
      <c r="F118" s="504"/>
      <c r="G118" s="504"/>
      <c r="H118" s="504"/>
      <c r="I118" s="504"/>
      <c r="J118" s="504"/>
      <c r="K118" s="504"/>
      <c r="L118" s="504"/>
      <c r="M118" s="504"/>
      <c r="N118" s="504"/>
      <c r="O118" s="504"/>
      <c r="P118" s="504"/>
      <c r="Q118" s="504"/>
      <c r="R118" s="504"/>
      <c r="S118" s="504"/>
      <c r="T118" s="504"/>
      <c r="U118" s="504"/>
      <c r="V118" s="504"/>
    </row>
    <row r="119" spans="1:22" ht="11.25" customHeight="1">
      <c r="A119" s="504"/>
      <c r="B119" s="504"/>
      <c r="C119" s="82"/>
      <c r="D119" s="504"/>
      <c r="E119" s="504"/>
      <c r="F119" s="504"/>
      <c r="G119" s="504"/>
      <c r="H119" s="504"/>
      <c r="I119" s="504"/>
      <c r="J119" s="504"/>
      <c r="K119" s="504"/>
      <c r="L119" s="504"/>
      <c r="M119" s="504"/>
      <c r="N119" s="504"/>
      <c r="O119" s="504"/>
      <c r="P119" s="504"/>
      <c r="Q119" s="504"/>
      <c r="R119" s="504"/>
      <c r="S119" s="504"/>
      <c r="T119" s="504"/>
      <c r="U119" s="504"/>
      <c r="V119" s="504"/>
    </row>
    <row r="120" spans="1:22" ht="11.25" customHeight="1">
      <c r="A120" s="504"/>
      <c r="B120" s="504"/>
      <c r="C120" s="82"/>
      <c r="D120" s="504"/>
      <c r="E120" s="504"/>
      <c r="F120" s="504"/>
      <c r="G120" s="504"/>
      <c r="H120" s="504"/>
      <c r="I120" s="504"/>
      <c r="J120" s="504"/>
      <c r="K120" s="504"/>
      <c r="L120" s="504"/>
      <c r="M120" s="504"/>
      <c r="N120" s="504"/>
      <c r="O120" s="504"/>
      <c r="P120" s="504"/>
      <c r="Q120" s="504"/>
      <c r="R120" s="504"/>
      <c r="S120" s="504"/>
      <c r="T120" s="504"/>
      <c r="U120" s="504"/>
      <c r="V120" s="504"/>
    </row>
    <row r="121" spans="1:22" ht="11.25" customHeight="1">
      <c r="A121" s="504"/>
      <c r="B121" s="504"/>
      <c r="C121" s="82"/>
      <c r="D121" s="504"/>
      <c r="E121" s="504"/>
      <c r="F121" s="504"/>
      <c r="G121" s="504"/>
      <c r="H121" s="504"/>
      <c r="I121" s="504"/>
      <c r="J121" s="504"/>
      <c r="K121" s="504"/>
      <c r="L121" s="504"/>
      <c r="M121" s="504"/>
      <c r="N121" s="504"/>
      <c r="O121" s="504"/>
      <c r="P121" s="504"/>
      <c r="Q121" s="504"/>
      <c r="R121" s="504"/>
      <c r="S121" s="504"/>
      <c r="T121" s="504"/>
      <c r="U121" s="504"/>
      <c r="V121" s="504"/>
    </row>
    <row r="122" spans="1:22" ht="11.25" customHeight="1">
      <c r="A122" s="504"/>
      <c r="B122" s="504"/>
      <c r="C122" s="82"/>
      <c r="D122" s="504"/>
      <c r="E122" s="504"/>
      <c r="F122" s="504"/>
      <c r="G122" s="504"/>
      <c r="H122" s="504"/>
      <c r="I122" s="504"/>
      <c r="J122" s="504"/>
      <c r="K122" s="504"/>
      <c r="L122" s="504"/>
      <c r="M122" s="504"/>
      <c r="N122" s="504"/>
      <c r="O122" s="504"/>
      <c r="P122" s="504"/>
      <c r="Q122" s="504"/>
      <c r="R122" s="504"/>
      <c r="S122" s="504"/>
      <c r="T122" s="504"/>
      <c r="U122" s="504"/>
      <c r="V122" s="504"/>
    </row>
    <row r="123" spans="1:22" ht="11.25" customHeight="1">
      <c r="A123" s="504"/>
      <c r="B123" s="504"/>
      <c r="C123" s="82"/>
      <c r="D123" s="504"/>
      <c r="E123" s="504"/>
      <c r="F123" s="504"/>
      <c r="G123" s="504"/>
      <c r="H123" s="504"/>
      <c r="I123" s="504"/>
      <c r="J123" s="504"/>
      <c r="K123" s="504"/>
      <c r="L123" s="504"/>
      <c r="M123" s="504"/>
      <c r="N123" s="504"/>
      <c r="O123" s="504"/>
      <c r="P123" s="504"/>
      <c r="Q123" s="504"/>
      <c r="R123" s="504"/>
      <c r="S123" s="504"/>
      <c r="T123" s="504"/>
      <c r="U123" s="504"/>
      <c r="V123" s="504"/>
    </row>
    <row r="124" spans="1:22" ht="11.25" customHeight="1">
      <c r="A124" s="504"/>
      <c r="B124" s="504"/>
      <c r="C124" s="82"/>
      <c r="D124" s="504"/>
      <c r="E124" s="504"/>
      <c r="F124" s="504"/>
      <c r="G124" s="504"/>
      <c r="H124" s="504"/>
      <c r="I124" s="504"/>
      <c r="J124" s="504"/>
      <c r="K124" s="504"/>
      <c r="L124" s="504"/>
      <c r="M124" s="504"/>
      <c r="N124" s="504"/>
      <c r="O124" s="504"/>
      <c r="P124" s="504"/>
      <c r="Q124" s="504"/>
      <c r="R124" s="504"/>
      <c r="S124" s="504"/>
      <c r="T124" s="504"/>
      <c r="U124" s="504"/>
      <c r="V124" s="504"/>
    </row>
    <row r="125" spans="1:22" ht="11.25" customHeight="1">
      <c r="A125" s="504"/>
      <c r="B125" s="504"/>
      <c r="C125" s="82"/>
      <c r="D125" s="504"/>
      <c r="E125" s="504"/>
      <c r="F125" s="504"/>
      <c r="G125" s="504"/>
      <c r="H125" s="504"/>
      <c r="I125" s="504"/>
      <c r="J125" s="504"/>
      <c r="K125" s="504"/>
      <c r="L125" s="504"/>
      <c r="M125" s="504"/>
      <c r="N125" s="504"/>
      <c r="O125" s="504"/>
      <c r="P125" s="504"/>
      <c r="Q125" s="504"/>
      <c r="R125" s="504"/>
      <c r="S125" s="504"/>
      <c r="T125" s="504"/>
      <c r="U125" s="504"/>
      <c r="V125" s="504"/>
    </row>
    <row r="126" spans="1:22" ht="11.25" customHeight="1">
      <c r="A126" s="504"/>
      <c r="B126" s="504"/>
      <c r="C126" s="82"/>
      <c r="D126" s="504"/>
      <c r="E126" s="504"/>
      <c r="F126" s="504"/>
      <c r="G126" s="504"/>
      <c r="H126" s="504"/>
      <c r="I126" s="504"/>
      <c r="J126" s="504"/>
      <c r="K126" s="504"/>
      <c r="L126" s="504"/>
      <c r="M126" s="504"/>
      <c r="N126" s="504"/>
      <c r="O126" s="504"/>
      <c r="P126" s="504"/>
      <c r="Q126" s="504"/>
      <c r="R126" s="504"/>
      <c r="S126" s="504"/>
      <c r="T126" s="504"/>
      <c r="U126" s="504"/>
      <c r="V126" s="504"/>
    </row>
    <row r="127" spans="1:22" ht="11.25" customHeight="1">
      <c r="A127" s="504"/>
      <c r="B127" s="504"/>
      <c r="C127" s="82"/>
      <c r="D127" s="504"/>
      <c r="E127" s="504"/>
      <c r="F127" s="504"/>
      <c r="G127" s="504"/>
      <c r="H127" s="504"/>
      <c r="I127" s="504"/>
      <c r="J127" s="504"/>
      <c r="K127" s="504"/>
      <c r="L127" s="504"/>
      <c r="M127" s="504"/>
      <c r="N127" s="504"/>
      <c r="O127" s="504"/>
      <c r="P127" s="504"/>
      <c r="Q127" s="504"/>
      <c r="R127" s="504"/>
      <c r="S127" s="504"/>
      <c r="T127" s="504"/>
      <c r="U127" s="504"/>
      <c r="V127" s="504"/>
    </row>
    <row r="128" spans="1:22" ht="11.25" customHeight="1">
      <c r="A128" s="504"/>
      <c r="B128" s="504"/>
      <c r="C128" s="82"/>
      <c r="D128" s="504"/>
      <c r="E128" s="504"/>
      <c r="F128" s="504"/>
      <c r="G128" s="504"/>
      <c r="H128" s="504"/>
      <c r="I128" s="504"/>
      <c r="J128" s="504"/>
      <c r="K128" s="504"/>
      <c r="L128" s="504"/>
      <c r="M128" s="504"/>
      <c r="N128" s="504"/>
      <c r="O128" s="504"/>
      <c r="P128" s="504"/>
      <c r="Q128" s="504"/>
      <c r="R128" s="504"/>
      <c r="S128" s="504"/>
      <c r="T128" s="504"/>
      <c r="U128" s="504"/>
      <c r="V128" s="504"/>
    </row>
    <row r="129" spans="1:22" ht="11.25" customHeight="1">
      <c r="A129" s="504"/>
      <c r="B129" s="504"/>
      <c r="C129" s="82"/>
      <c r="D129" s="504"/>
      <c r="E129" s="504"/>
      <c r="F129" s="504"/>
      <c r="G129" s="504"/>
      <c r="H129" s="504"/>
      <c r="I129" s="504"/>
      <c r="J129" s="504"/>
      <c r="K129" s="504"/>
      <c r="L129" s="504"/>
      <c r="M129" s="504"/>
      <c r="N129" s="504"/>
      <c r="O129" s="504"/>
      <c r="P129" s="504"/>
      <c r="Q129" s="504"/>
      <c r="R129" s="504"/>
      <c r="S129" s="504"/>
      <c r="T129" s="504"/>
      <c r="U129" s="504"/>
      <c r="V129" s="504"/>
    </row>
    <row r="130" spans="1:22" ht="11.25" customHeight="1">
      <c r="A130" s="504"/>
      <c r="B130" s="504"/>
      <c r="C130" s="82"/>
      <c r="D130" s="504"/>
      <c r="E130" s="504"/>
      <c r="F130" s="504"/>
      <c r="G130" s="504"/>
      <c r="H130" s="504"/>
      <c r="I130" s="504"/>
      <c r="J130" s="504"/>
      <c r="K130" s="504"/>
      <c r="L130" s="504"/>
      <c r="M130" s="504"/>
      <c r="N130" s="504"/>
      <c r="O130" s="504"/>
      <c r="P130" s="504"/>
      <c r="Q130" s="504"/>
      <c r="R130" s="504"/>
      <c r="S130" s="504"/>
      <c r="T130" s="504"/>
      <c r="U130" s="504"/>
      <c r="V130" s="504"/>
    </row>
    <row r="131" spans="1:22" ht="11.25" customHeight="1">
      <c r="A131" s="504"/>
      <c r="B131" s="504"/>
      <c r="C131" s="82"/>
      <c r="D131" s="504"/>
      <c r="E131" s="504"/>
      <c r="F131" s="504"/>
      <c r="G131" s="504"/>
      <c r="H131" s="504"/>
      <c r="I131" s="504"/>
      <c r="J131" s="504"/>
      <c r="K131" s="504"/>
      <c r="L131" s="504"/>
      <c r="M131" s="504"/>
      <c r="N131" s="504"/>
      <c r="O131" s="504"/>
      <c r="P131" s="504"/>
      <c r="Q131" s="504"/>
      <c r="R131" s="504"/>
      <c r="S131" s="504"/>
      <c r="T131" s="504"/>
      <c r="U131" s="504"/>
      <c r="V131" s="504"/>
    </row>
    <row r="132" spans="1:22" ht="11.25" customHeight="1">
      <c r="A132" s="504"/>
      <c r="B132" s="504"/>
      <c r="C132" s="82"/>
      <c r="D132" s="504"/>
      <c r="E132" s="504"/>
      <c r="F132" s="504"/>
      <c r="G132" s="504"/>
      <c r="H132" s="504"/>
      <c r="I132" s="504"/>
      <c r="J132" s="504"/>
      <c r="K132" s="504"/>
      <c r="L132" s="504"/>
      <c r="M132" s="504"/>
      <c r="N132" s="504"/>
      <c r="O132" s="504"/>
      <c r="P132" s="504"/>
      <c r="Q132" s="504"/>
      <c r="R132" s="504"/>
      <c r="S132" s="504"/>
      <c r="T132" s="504"/>
      <c r="U132" s="504"/>
      <c r="V132" s="504"/>
    </row>
    <row r="133" spans="1:22" ht="11.25" customHeight="1">
      <c r="A133" s="504"/>
      <c r="B133" s="504"/>
      <c r="C133" s="82"/>
      <c r="D133" s="504"/>
      <c r="E133" s="504"/>
      <c r="F133" s="504"/>
      <c r="G133" s="504"/>
      <c r="H133" s="504"/>
      <c r="I133" s="504"/>
      <c r="J133" s="504"/>
      <c r="K133" s="504"/>
      <c r="L133" s="504"/>
      <c r="M133" s="504"/>
      <c r="N133" s="504"/>
      <c r="O133" s="504"/>
      <c r="P133" s="504"/>
      <c r="Q133" s="504"/>
      <c r="R133" s="504"/>
      <c r="S133" s="504"/>
      <c r="T133" s="504"/>
      <c r="U133" s="504"/>
      <c r="V133" s="504"/>
    </row>
    <row r="134" spans="1:22" ht="11.25" customHeight="1">
      <c r="A134" s="504"/>
      <c r="B134" s="504"/>
      <c r="C134" s="82"/>
      <c r="D134" s="504"/>
      <c r="E134" s="504"/>
      <c r="F134" s="504"/>
      <c r="G134" s="504"/>
      <c r="H134" s="504"/>
      <c r="I134" s="504"/>
      <c r="J134" s="504"/>
      <c r="K134" s="504"/>
      <c r="L134" s="504"/>
      <c r="M134" s="504"/>
      <c r="N134" s="504"/>
      <c r="O134" s="504"/>
      <c r="P134" s="504"/>
      <c r="Q134" s="504"/>
      <c r="R134" s="504"/>
      <c r="S134" s="504"/>
      <c r="T134" s="504"/>
      <c r="U134" s="504"/>
      <c r="V134" s="504"/>
    </row>
    <row r="135" spans="1:22" ht="11.25" customHeight="1">
      <c r="A135" s="504"/>
      <c r="B135" s="504"/>
      <c r="C135" s="82"/>
      <c r="D135" s="504"/>
      <c r="E135" s="504"/>
      <c r="F135" s="504"/>
      <c r="G135" s="504"/>
      <c r="H135" s="504"/>
      <c r="I135" s="504"/>
      <c r="J135" s="504"/>
      <c r="K135" s="504"/>
      <c r="L135" s="504"/>
      <c r="M135" s="504"/>
      <c r="N135" s="504"/>
      <c r="O135" s="504"/>
      <c r="P135" s="504"/>
      <c r="Q135" s="504"/>
      <c r="R135" s="504"/>
      <c r="S135" s="504"/>
      <c r="T135" s="504"/>
      <c r="U135" s="504"/>
      <c r="V135" s="504"/>
    </row>
    <row r="136" spans="1:22" ht="11.25" customHeight="1">
      <c r="A136" s="504"/>
      <c r="B136" s="504"/>
      <c r="C136" s="82"/>
      <c r="D136" s="504"/>
      <c r="E136" s="504"/>
      <c r="F136" s="504"/>
      <c r="G136" s="504"/>
      <c r="H136" s="504"/>
      <c r="I136" s="504"/>
      <c r="J136" s="504"/>
      <c r="K136" s="504"/>
      <c r="L136" s="504"/>
      <c r="M136" s="504"/>
      <c r="N136" s="504"/>
      <c r="O136" s="504"/>
      <c r="P136" s="504"/>
      <c r="Q136" s="504"/>
      <c r="R136" s="504"/>
      <c r="S136" s="504"/>
      <c r="T136" s="504"/>
      <c r="U136" s="504"/>
      <c r="V136" s="504"/>
    </row>
    <row r="137" spans="1:22" ht="11.25" customHeight="1">
      <c r="A137" s="504"/>
      <c r="B137" s="504"/>
      <c r="C137" s="82"/>
      <c r="D137" s="504"/>
      <c r="E137" s="504"/>
      <c r="F137" s="504"/>
      <c r="G137" s="504"/>
      <c r="H137" s="504"/>
      <c r="I137" s="504"/>
      <c r="J137" s="504"/>
      <c r="K137" s="504"/>
      <c r="L137" s="504"/>
      <c r="M137" s="504"/>
      <c r="N137" s="504"/>
      <c r="O137" s="504"/>
      <c r="P137" s="504"/>
      <c r="Q137" s="504"/>
      <c r="R137" s="504"/>
      <c r="S137" s="504"/>
      <c r="T137" s="504"/>
      <c r="U137" s="504"/>
      <c r="V137" s="504"/>
    </row>
    <row r="138" spans="1:22" ht="11.25" customHeight="1">
      <c r="A138" s="504"/>
      <c r="B138" s="504"/>
      <c r="C138" s="82"/>
      <c r="D138" s="504"/>
      <c r="E138" s="504"/>
      <c r="F138" s="504"/>
      <c r="G138" s="504"/>
      <c r="H138" s="504"/>
      <c r="I138" s="504"/>
      <c r="J138" s="504"/>
      <c r="K138" s="504"/>
      <c r="L138" s="504"/>
      <c r="M138" s="504"/>
      <c r="N138" s="504"/>
      <c r="O138" s="504"/>
      <c r="P138" s="504"/>
      <c r="Q138" s="504"/>
      <c r="R138" s="504"/>
      <c r="S138" s="504"/>
      <c r="T138" s="504"/>
      <c r="U138" s="504"/>
      <c r="V138" s="504"/>
    </row>
    <row r="139" spans="1:22" ht="11.25" customHeight="1">
      <c r="A139" s="504"/>
      <c r="B139" s="504"/>
      <c r="C139" s="82"/>
      <c r="D139" s="504"/>
      <c r="E139" s="504"/>
      <c r="F139" s="504"/>
      <c r="G139" s="504"/>
      <c r="H139" s="504"/>
      <c r="I139" s="504"/>
      <c r="J139" s="504"/>
      <c r="K139" s="504"/>
      <c r="L139" s="504"/>
      <c r="M139" s="504"/>
      <c r="N139" s="504"/>
      <c r="O139" s="504"/>
      <c r="P139" s="504"/>
      <c r="Q139" s="504"/>
      <c r="R139" s="504"/>
      <c r="S139" s="504"/>
      <c r="T139" s="504"/>
      <c r="U139" s="504"/>
      <c r="V139" s="504"/>
    </row>
    <row r="140" spans="1:22" ht="11.25" customHeight="1">
      <c r="A140" s="504"/>
      <c r="B140" s="504"/>
      <c r="C140" s="82"/>
      <c r="D140" s="504"/>
      <c r="E140" s="504"/>
      <c r="F140" s="504"/>
      <c r="G140" s="504"/>
      <c r="H140" s="504"/>
      <c r="I140" s="504"/>
      <c r="J140" s="504"/>
      <c r="K140" s="504"/>
      <c r="L140" s="504"/>
      <c r="M140" s="504"/>
      <c r="N140" s="504"/>
      <c r="O140" s="504"/>
      <c r="P140" s="504"/>
      <c r="Q140" s="504"/>
      <c r="R140" s="504"/>
      <c r="S140" s="504"/>
      <c r="T140" s="504"/>
      <c r="U140" s="504"/>
      <c r="V140" s="504"/>
    </row>
    <row r="141" spans="1:22" ht="11.25" customHeight="1">
      <c r="A141" s="504"/>
      <c r="B141" s="504"/>
      <c r="C141" s="82"/>
      <c r="D141" s="504"/>
      <c r="E141" s="504"/>
      <c r="F141" s="504"/>
      <c r="G141" s="504"/>
      <c r="H141" s="504"/>
      <c r="I141" s="504"/>
      <c r="J141" s="504"/>
      <c r="K141" s="504"/>
      <c r="L141" s="504"/>
      <c r="M141" s="504"/>
      <c r="N141" s="504"/>
      <c r="O141" s="504"/>
      <c r="P141" s="504"/>
      <c r="Q141" s="504"/>
      <c r="R141" s="504"/>
      <c r="S141" s="504"/>
      <c r="T141" s="504"/>
      <c r="U141" s="504"/>
      <c r="V141" s="504"/>
    </row>
    <row r="142" spans="1:22" ht="11.25" customHeight="1">
      <c r="A142" s="504"/>
      <c r="B142" s="504"/>
      <c r="C142" s="82"/>
      <c r="D142" s="504"/>
      <c r="E142" s="504"/>
      <c r="F142" s="504"/>
      <c r="G142" s="504"/>
      <c r="H142" s="504"/>
      <c r="I142" s="504"/>
      <c r="J142" s="504"/>
      <c r="K142" s="504"/>
      <c r="L142" s="504"/>
      <c r="M142" s="504"/>
      <c r="N142" s="504"/>
      <c r="O142" s="504"/>
      <c r="P142" s="504"/>
      <c r="Q142" s="504"/>
      <c r="R142" s="504"/>
      <c r="S142" s="504"/>
      <c r="T142" s="504"/>
      <c r="U142" s="504"/>
      <c r="V142" s="504"/>
    </row>
    <row r="143" spans="1:22" ht="11.25" customHeight="1">
      <c r="A143" s="504"/>
      <c r="B143" s="504"/>
      <c r="C143" s="82"/>
      <c r="D143" s="504"/>
      <c r="E143" s="504"/>
      <c r="F143" s="504"/>
      <c r="G143" s="504"/>
      <c r="H143" s="504"/>
      <c r="I143" s="504"/>
      <c r="J143" s="504"/>
      <c r="K143" s="504"/>
      <c r="L143" s="504"/>
      <c r="M143" s="504"/>
      <c r="N143" s="504"/>
      <c r="O143" s="504"/>
      <c r="P143" s="504"/>
      <c r="Q143" s="504"/>
      <c r="R143" s="504"/>
      <c r="S143" s="504"/>
      <c r="T143" s="504"/>
      <c r="U143" s="504"/>
      <c r="V143" s="504"/>
    </row>
    <row r="144" spans="1:22" ht="11.25" customHeight="1">
      <c r="A144" s="504"/>
      <c r="B144" s="504"/>
      <c r="C144" s="82"/>
      <c r="D144" s="504"/>
      <c r="E144" s="504"/>
      <c r="F144" s="504"/>
      <c r="G144" s="504"/>
      <c r="H144" s="504"/>
      <c r="I144" s="504"/>
      <c r="J144" s="504"/>
      <c r="K144" s="504"/>
      <c r="L144" s="504"/>
      <c r="M144" s="504"/>
      <c r="N144" s="504"/>
      <c r="O144" s="504"/>
      <c r="P144" s="504"/>
      <c r="Q144" s="504"/>
      <c r="R144" s="504"/>
      <c r="S144" s="504"/>
      <c r="T144" s="504"/>
      <c r="U144" s="504"/>
      <c r="V144" s="504"/>
    </row>
    <row r="145" spans="1:22" ht="11.25" customHeight="1">
      <c r="A145" s="504"/>
      <c r="B145" s="504"/>
      <c r="C145" s="82"/>
      <c r="D145" s="504"/>
      <c r="E145" s="504"/>
      <c r="F145" s="504"/>
      <c r="G145" s="504"/>
      <c r="H145" s="504"/>
      <c r="I145" s="504"/>
      <c r="J145" s="504"/>
      <c r="K145" s="504"/>
      <c r="L145" s="504"/>
      <c r="M145" s="504"/>
      <c r="N145" s="504"/>
      <c r="O145" s="504"/>
      <c r="P145" s="504"/>
      <c r="Q145" s="504"/>
      <c r="R145" s="504"/>
      <c r="S145" s="504"/>
      <c r="T145" s="504"/>
      <c r="U145" s="504"/>
      <c r="V145" s="504"/>
    </row>
    <row r="146" spans="1:22" ht="11.25" customHeight="1">
      <c r="A146" s="504"/>
      <c r="B146" s="504"/>
      <c r="C146" s="82"/>
      <c r="D146" s="504"/>
      <c r="E146" s="504"/>
      <c r="F146" s="504"/>
      <c r="G146" s="504"/>
      <c r="H146" s="504"/>
      <c r="I146" s="504"/>
      <c r="J146" s="504"/>
      <c r="K146" s="504"/>
      <c r="L146" s="504"/>
      <c r="M146" s="504"/>
      <c r="N146" s="504"/>
      <c r="O146" s="504"/>
      <c r="P146" s="504"/>
      <c r="Q146" s="504"/>
      <c r="R146" s="504"/>
      <c r="S146" s="504"/>
      <c r="T146" s="504"/>
      <c r="U146" s="504"/>
      <c r="V146" s="504"/>
    </row>
    <row r="147" spans="1:22" ht="11.25" customHeight="1">
      <c r="A147" s="504"/>
      <c r="B147" s="504"/>
      <c r="C147" s="82"/>
      <c r="D147" s="504"/>
      <c r="E147" s="504"/>
      <c r="F147" s="504"/>
      <c r="G147" s="504"/>
      <c r="H147" s="504"/>
      <c r="I147" s="504"/>
      <c r="J147" s="504"/>
      <c r="K147" s="504"/>
      <c r="L147" s="504"/>
      <c r="M147" s="504"/>
      <c r="N147" s="504"/>
      <c r="O147" s="504"/>
      <c r="P147" s="504"/>
      <c r="Q147" s="504"/>
      <c r="R147" s="504"/>
      <c r="S147" s="504"/>
      <c r="T147" s="504"/>
      <c r="U147" s="504"/>
      <c r="V147" s="504"/>
    </row>
    <row r="148" spans="1:22" ht="11.25" customHeight="1">
      <c r="A148" s="504"/>
      <c r="B148" s="504"/>
      <c r="C148" s="82"/>
      <c r="D148" s="504"/>
      <c r="E148" s="504"/>
      <c r="F148" s="504"/>
      <c r="G148" s="504"/>
      <c r="H148" s="504"/>
      <c r="I148" s="504"/>
      <c r="J148" s="504"/>
      <c r="K148" s="504"/>
      <c r="L148" s="504"/>
      <c r="M148" s="504"/>
      <c r="N148" s="504"/>
      <c r="O148" s="504"/>
      <c r="P148" s="504"/>
      <c r="Q148" s="504"/>
      <c r="R148" s="504"/>
      <c r="S148" s="504"/>
      <c r="T148" s="504"/>
      <c r="U148" s="504"/>
      <c r="V148" s="504"/>
    </row>
    <row r="149" spans="1:22" ht="11.25" customHeight="1">
      <c r="A149" s="504"/>
      <c r="B149" s="504"/>
      <c r="C149" s="82"/>
      <c r="D149" s="504"/>
      <c r="E149" s="504"/>
      <c r="F149" s="504"/>
      <c r="G149" s="504"/>
      <c r="H149" s="504"/>
      <c r="I149" s="504"/>
      <c r="J149" s="504"/>
      <c r="K149" s="504"/>
      <c r="L149" s="504"/>
      <c r="M149" s="504"/>
      <c r="N149" s="504"/>
      <c r="O149" s="504"/>
      <c r="P149" s="504"/>
      <c r="Q149" s="504"/>
      <c r="R149" s="504"/>
      <c r="S149" s="504"/>
      <c r="T149" s="504"/>
      <c r="U149" s="504"/>
      <c r="V149" s="504"/>
    </row>
    <row r="150" spans="1:22" ht="11.25" customHeight="1">
      <c r="A150" s="504"/>
      <c r="B150" s="504"/>
      <c r="C150" s="82"/>
      <c r="D150" s="504"/>
      <c r="E150" s="504"/>
      <c r="F150" s="504"/>
      <c r="G150" s="504"/>
      <c r="H150" s="504"/>
      <c r="I150" s="504"/>
      <c r="J150" s="504"/>
      <c r="K150" s="504"/>
      <c r="L150" s="504"/>
      <c r="M150" s="504"/>
      <c r="N150" s="504"/>
      <c r="O150" s="504"/>
      <c r="P150" s="504"/>
      <c r="Q150" s="504"/>
      <c r="R150" s="504"/>
      <c r="S150" s="504"/>
      <c r="T150" s="504"/>
      <c r="U150" s="504"/>
      <c r="V150" s="504"/>
    </row>
    <row r="151" spans="1:22" ht="11.25" customHeight="1">
      <c r="A151" s="504"/>
      <c r="B151" s="504"/>
      <c r="C151" s="82"/>
      <c r="D151" s="504"/>
      <c r="E151" s="504"/>
      <c r="F151" s="504"/>
      <c r="G151" s="504"/>
      <c r="H151" s="504"/>
      <c r="I151" s="504"/>
      <c r="J151" s="504"/>
      <c r="K151" s="504"/>
      <c r="L151" s="504"/>
      <c r="M151" s="504"/>
      <c r="N151" s="504"/>
      <c r="O151" s="504"/>
      <c r="P151" s="504"/>
      <c r="Q151" s="504"/>
      <c r="R151" s="504"/>
      <c r="S151" s="504"/>
      <c r="T151" s="504"/>
      <c r="U151" s="504"/>
      <c r="V151" s="504"/>
    </row>
    <row r="152" spans="1:22" ht="11.25" customHeight="1">
      <c r="A152" s="504"/>
      <c r="B152" s="504"/>
      <c r="C152" s="82"/>
      <c r="D152" s="504"/>
      <c r="E152" s="504"/>
      <c r="F152" s="504"/>
      <c r="G152" s="504"/>
      <c r="H152" s="504"/>
      <c r="I152" s="504"/>
      <c r="J152" s="504"/>
      <c r="K152" s="504"/>
      <c r="L152" s="504"/>
      <c r="M152" s="504"/>
      <c r="N152" s="504"/>
      <c r="O152" s="504"/>
      <c r="P152" s="504"/>
      <c r="Q152" s="504"/>
      <c r="R152" s="504"/>
      <c r="S152" s="504"/>
      <c r="T152" s="504"/>
      <c r="U152" s="504"/>
      <c r="V152" s="504"/>
    </row>
    <row r="153" spans="1:22" ht="11.25" customHeight="1">
      <c r="A153" s="504"/>
      <c r="B153" s="504"/>
      <c r="C153" s="82"/>
      <c r="D153" s="504"/>
      <c r="E153" s="504"/>
      <c r="F153" s="504"/>
      <c r="G153" s="504"/>
      <c r="H153" s="504"/>
      <c r="I153" s="504"/>
      <c r="J153" s="504"/>
      <c r="K153" s="504"/>
      <c r="L153" s="504"/>
      <c r="M153" s="504"/>
      <c r="N153" s="504"/>
      <c r="O153" s="504"/>
      <c r="P153" s="504"/>
      <c r="Q153" s="504"/>
      <c r="R153" s="504"/>
      <c r="S153" s="504"/>
      <c r="T153" s="504"/>
      <c r="U153" s="504"/>
      <c r="V153" s="504"/>
    </row>
    <row r="154" spans="1:22" ht="11.25" customHeight="1">
      <c r="A154" s="504"/>
      <c r="B154" s="504"/>
      <c r="C154" s="82"/>
      <c r="D154" s="504"/>
      <c r="E154" s="504"/>
      <c r="F154" s="504"/>
      <c r="G154" s="504"/>
      <c r="H154" s="504"/>
      <c r="I154" s="504"/>
      <c r="J154" s="504"/>
      <c r="K154" s="504"/>
      <c r="L154" s="504"/>
      <c r="M154" s="504"/>
      <c r="N154" s="504"/>
      <c r="O154" s="504"/>
      <c r="P154" s="504"/>
      <c r="Q154" s="504"/>
      <c r="R154" s="504"/>
      <c r="S154" s="504"/>
      <c r="T154" s="504"/>
      <c r="U154" s="504"/>
      <c r="V154" s="504"/>
    </row>
    <row r="155" spans="1:22" ht="11.25" customHeight="1">
      <c r="A155" s="504"/>
      <c r="B155" s="504"/>
      <c r="C155" s="82"/>
      <c r="D155" s="504"/>
      <c r="E155" s="504"/>
      <c r="F155" s="504"/>
      <c r="G155" s="504"/>
      <c r="H155" s="504"/>
      <c r="I155" s="504"/>
      <c r="J155" s="504"/>
      <c r="K155" s="504"/>
      <c r="L155" s="504"/>
      <c r="M155" s="504"/>
      <c r="N155" s="504"/>
      <c r="O155" s="504"/>
      <c r="P155" s="504"/>
      <c r="Q155" s="504"/>
      <c r="R155" s="504"/>
      <c r="S155" s="504"/>
      <c r="T155" s="504"/>
      <c r="U155" s="504"/>
      <c r="V155" s="504"/>
    </row>
    <row r="156" spans="1:22" ht="11.25" customHeight="1">
      <c r="A156" s="504"/>
      <c r="B156" s="504"/>
      <c r="C156" s="82"/>
      <c r="D156" s="504"/>
      <c r="E156" s="504"/>
      <c r="F156" s="504"/>
      <c r="G156" s="504"/>
      <c r="H156" s="504"/>
      <c r="I156" s="504"/>
      <c r="J156" s="504"/>
      <c r="K156" s="504"/>
      <c r="L156" s="504"/>
      <c r="M156" s="504"/>
      <c r="N156" s="504"/>
      <c r="O156" s="504"/>
      <c r="P156" s="504"/>
      <c r="Q156" s="504"/>
      <c r="R156" s="504"/>
      <c r="S156" s="504"/>
      <c r="T156" s="504"/>
      <c r="U156" s="504"/>
      <c r="V156" s="504"/>
    </row>
    <row r="157" spans="1:22" ht="11.25" customHeight="1">
      <c r="A157" s="504"/>
      <c r="B157" s="504"/>
      <c r="C157" s="82"/>
      <c r="D157" s="504"/>
      <c r="E157" s="504"/>
      <c r="F157" s="504"/>
      <c r="G157" s="504"/>
      <c r="H157" s="504"/>
      <c r="I157" s="504"/>
      <c r="J157" s="504"/>
      <c r="K157" s="504"/>
      <c r="L157" s="504"/>
      <c r="M157" s="504"/>
      <c r="N157" s="504"/>
      <c r="O157" s="504"/>
      <c r="P157" s="504"/>
      <c r="Q157" s="504"/>
      <c r="R157" s="504"/>
      <c r="S157" s="504"/>
      <c r="T157" s="504"/>
      <c r="U157" s="504"/>
      <c r="V157" s="504"/>
    </row>
    <row r="158" spans="1:22" ht="11.25" customHeight="1">
      <c r="A158" s="504"/>
      <c r="B158" s="504"/>
      <c r="C158" s="82"/>
      <c r="D158" s="504"/>
      <c r="E158" s="504"/>
      <c r="F158" s="504"/>
      <c r="G158" s="504"/>
      <c r="H158" s="504"/>
      <c r="I158" s="504"/>
      <c r="J158" s="504"/>
      <c r="K158" s="504"/>
      <c r="L158" s="504"/>
      <c r="M158" s="504"/>
      <c r="N158" s="504"/>
      <c r="O158" s="504"/>
      <c r="P158" s="504"/>
      <c r="Q158" s="504"/>
      <c r="R158" s="504"/>
      <c r="S158" s="504"/>
      <c r="T158" s="504"/>
      <c r="U158" s="504"/>
      <c r="V158" s="504"/>
    </row>
    <row r="159" spans="1:22" ht="11.25" customHeight="1">
      <c r="A159" s="504"/>
      <c r="B159" s="504"/>
      <c r="C159" s="82"/>
      <c r="D159" s="504"/>
      <c r="E159" s="504"/>
      <c r="F159" s="504"/>
      <c r="G159" s="504"/>
      <c r="H159" s="504"/>
      <c r="I159" s="504"/>
      <c r="J159" s="504"/>
      <c r="K159" s="504"/>
      <c r="L159" s="504"/>
      <c r="M159" s="504"/>
      <c r="N159" s="504"/>
      <c r="O159" s="504"/>
      <c r="P159" s="504"/>
      <c r="Q159" s="504"/>
      <c r="R159" s="504"/>
      <c r="S159" s="504"/>
      <c r="T159" s="504"/>
      <c r="U159" s="504"/>
      <c r="V159" s="504"/>
    </row>
    <row r="160" spans="1:22" ht="11.25" customHeight="1">
      <c r="A160" s="504"/>
      <c r="B160" s="504"/>
      <c r="C160" s="82"/>
      <c r="D160" s="504"/>
      <c r="E160" s="504"/>
      <c r="F160" s="504"/>
      <c r="G160" s="504"/>
      <c r="H160" s="504"/>
      <c r="I160" s="504"/>
      <c r="J160" s="504"/>
      <c r="K160" s="504"/>
      <c r="L160" s="504"/>
      <c r="M160" s="504"/>
      <c r="N160" s="504"/>
      <c r="O160" s="504"/>
      <c r="P160" s="504"/>
      <c r="Q160" s="504"/>
      <c r="R160" s="504"/>
      <c r="S160" s="504"/>
      <c r="T160" s="504"/>
      <c r="U160" s="504"/>
      <c r="V160" s="504"/>
    </row>
    <row r="161" spans="1:22" ht="11.25" customHeight="1">
      <c r="A161" s="504"/>
      <c r="B161" s="504"/>
      <c r="C161" s="82"/>
      <c r="D161" s="504"/>
      <c r="E161" s="504"/>
      <c r="F161" s="504"/>
      <c r="G161" s="504"/>
      <c r="H161" s="504"/>
      <c r="I161" s="504"/>
      <c r="J161" s="504"/>
      <c r="K161" s="504"/>
      <c r="L161" s="504"/>
      <c r="M161" s="504"/>
      <c r="N161" s="504"/>
      <c r="O161" s="504"/>
      <c r="P161" s="504"/>
      <c r="Q161" s="504"/>
      <c r="R161" s="504"/>
      <c r="S161" s="504"/>
      <c r="T161" s="504"/>
      <c r="U161" s="504"/>
      <c r="V161" s="504"/>
    </row>
    <row r="162" spans="1:22" ht="11.25" customHeight="1">
      <c r="A162" s="504"/>
      <c r="B162" s="504"/>
      <c r="C162" s="82"/>
      <c r="D162" s="504"/>
      <c r="E162" s="504"/>
      <c r="F162" s="504"/>
      <c r="G162" s="504"/>
      <c r="H162" s="504"/>
      <c r="I162" s="504"/>
      <c r="J162" s="504"/>
      <c r="K162" s="504"/>
      <c r="L162" s="504"/>
      <c r="M162" s="504"/>
      <c r="N162" s="504"/>
      <c r="O162" s="504"/>
      <c r="P162" s="504"/>
      <c r="Q162" s="504"/>
      <c r="R162" s="504"/>
      <c r="S162" s="504"/>
      <c r="T162" s="504"/>
      <c r="U162" s="504"/>
      <c r="V162" s="504"/>
    </row>
    <row r="163" spans="1:22" ht="11.25" customHeight="1">
      <c r="A163" s="504"/>
      <c r="B163" s="504"/>
      <c r="C163" s="82"/>
      <c r="D163" s="504"/>
      <c r="E163" s="504"/>
      <c r="F163" s="504"/>
      <c r="G163" s="504"/>
      <c r="H163" s="504"/>
      <c r="I163" s="504"/>
      <c r="J163" s="504"/>
      <c r="K163" s="504"/>
      <c r="L163" s="504"/>
      <c r="M163" s="504"/>
      <c r="N163" s="504"/>
      <c r="O163" s="504"/>
      <c r="P163" s="504"/>
      <c r="Q163" s="504"/>
      <c r="R163" s="504"/>
      <c r="S163" s="504"/>
      <c r="T163" s="504"/>
      <c r="U163" s="504"/>
      <c r="V163" s="504"/>
    </row>
    <row r="164" spans="1:22" ht="11.25" customHeight="1">
      <c r="A164" s="504"/>
      <c r="B164" s="504"/>
      <c r="C164" s="82"/>
      <c r="D164" s="504"/>
      <c r="E164" s="504"/>
      <c r="F164" s="504"/>
      <c r="G164" s="504"/>
      <c r="H164" s="504"/>
      <c r="I164" s="504"/>
      <c r="J164" s="504"/>
      <c r="K164" s="504"/>
      <c r="L164" s="504"/>
      <c r="M164" s="504"/>
      <c r="N164" s="504"/>
      <c r="O164" s="504"/>
      <c r="P164" s="504"/>
      <c r="Q164" s="504"/>
      <c r="R164" s="504"/>
      <c r="S164" s="504"/>
      <c r="T164" s="504"/>
      <c r="U164" s="504"/>
      <c r="V164" s="504"/>
    </row>
    <row r="165" spans="1:22" ht="11.25" customHeight="1">
      <c r="A165" s="504"/>
      <c r="B165" s="504"/>
      <c r="C165" s="82"/>
      <c r="D165" s="504"/>
      <c r="E165" s="504"/>
      <c r="F165" s="504"/>
      <c r="G165" s="504"/>
      <c r="H165" s="504"/>
      <c r="I165" s="504"/>
      <c r="J165" s="504"/>
      <c r="K165" s="504"/>
      <c r="L165" s="504"/>
      <c r="M165" s="504"/>
      <c r="N165" s="504"/>
      <c r="O165" s="504"/>
      <c r="P165" s="504"/>
      <c r="Q165" s="504"/>
      <c r="R165" s="504"/>
      <c r="S165" s="504"/>
      <c r="T165" s="504"/>
      <c r="U165" s="504"/>
      <c r="V165" s="504"/>
    </row>
    <row r="166" spans="1:22" ht="11.25" customHeight="1">
      <c r="A166" s="504"/>
      <c r="B166" s="504"/>
      <c r="C166" s="82"/>
      <c r="D166" s="504"/>
      <c r="E166" s="504"/>
      <c r="F166" s="504"/>
      <c r="G166" s="504"/>
      <c r="H166" s="504"/>
      <c r="I166" s="504"/>
      <c r="J166" s="504"/>
      <c r="K166" s="504"/>
      <c r="L166" s="504"/>
      <c r="M166" s="504"/>
      <c r="N166" s="504"/>
      <c r="O166" s="504"/>
      <c r="P166" s="504"/>
      <c r="Q166" s="504"/>
      <c r="R166" s="504"/>
      <c r="S166" s="504"/>
      <c r="T166" s="504"/>
      <c r="U166" s="504"/>
      <c r="V166" s="504"/>
    </row>
    <row r="167" spans="1:22" ht="11.25" customHeight="1">
      <c r="A167" s="504"/>
      <c r="B167" s="504"/>
      <c r="C167" s="82"/>
      <c r="D167" s="504"/>
      <c r="E167" s="504"/>
      <c r="F167" s="504"/>
      <c r="G167" s="504"/>
      <c r="H167" s="504"/>
      <c r="I167" s="504"/>
      <c r="J167" s="504"/>
      <c r="K167" s="504"/>
      <c r="L167" s="504"/>
      <c r="M167" s="504"/>
      <c r="N167" s="504"/>
      <c r="O167" s="504"/>
      <c r="P167" s="504"/>
      <c r="Q167" s="504"/>
      <c r="R167" s="504"/>
      <c r="S167" s="504"/>
      <c r="T167" s="504"/>
      <c r="U167" s="504"/>
      <c r="V167" s="504"/>
    </row>
    <row r="168" spans="1:22" ht="11.25" customHeight="1">
      <c r="A168" s="504"/>
      <c r="B168" s="504"/>
      <c r="C168" s="82"/>
      <c r="D168" s="504"/>
      <c r="E168" s="504"/>
      <c r="F168" s="504"/>
      <c r="G168" s="504"/>
      <c r="H168" s="504"/>
      <c r="I168" s="504"/>
      <c r="J168" s="504"/>
      <c r="K168" s="504"/>
      <c r="L168" s="504"/>
      <c r="M168" s="504"/>
      <c r="N168" s="504"/>
      <c r="O168" s="504"/>
      <c r="P168" s="504"/>
      <c r="Q168" s="504"/>
      <c r="R168" s="504"/>
      <c r="S168" s="504"/>
      <c r="T168" s="504"/>
      <c r="U168" s="504"/>
      <c r="V168" s="504"/>
    </row>
    <row r="169" spans="1:22" ht="11.25" customHeight="1">
      <c r="A169" s="504"/>
      <c r="B169" s="504"/>
      <c r="C169" s="82"/>
      <c r="D169" s="504"/>
      <c r="E169" s="504"/>
      <c r="F169" s="504"/>
      <c r="G169" s="504"/>
      <c r="H169" s="504"/>
      <c r="I169" s="504"/>
      <c r="J169" s="504"/>
      <c r="K169" s="504"/>
      <c r="L169" s="504"/>
      <c r="M169" s="504"/>
      <c r="N169" s="504"/>
      <c r="O169" s="504"/>
      <c r="P169" s="504"/>
      <c r="Q169" s="504"/>
      <c r="R169" s="504"/>
      <c r="S169" s="504"/>
      <c r="T169" s="504"/>
      <c r="U169" s="504"/>
      <c r="V169" s="504"/>
    </row>
    <row r="170" spans="1:22" ht="11.25" customHeight="1">
      <c r="A170" s="504"/>
      <c r="B170" s="504"/>
      <c r="C170" s="82"/>
      <c r="D170" s="504"/>
      <c r="E170" s="504"/>
      <c r="F170" s="504"/>
      <c r="G170" s="504"/>
      <c r="H170" s="504"/>
      <c r="I170" s="504"/>
      <c r="J170" s="504"/>
      <c r="K170" s="504"/>
      <c r="L170" s="504"/>
      <c r="M170" s="504"/>
      <c r="N170" s="504"/>
      <c r="O170" s="504"/>
      <c r="P170" s="504"/>
      <c r="Q170" s="504"/>
      <c r="R170" s="504"/>
      <c r="S170" s="504"/>
      <c r="T170" s="504"/>
      <c r="U170" s="504"/>
      <c r="V170" s="504"/>
    </row>
    <row r="171" spans="1:22" ht="11.25" customHeight="1">
      <c r="A171" s="504"/>
      <c r="B171" s="504"/>
      <c r="C171" s="82"/>
      <c r="D171" s="504"/>
      <c r="E171" s="504"/>
      <c r="F171" s="504"/>
      <c r="G171" s="504"/>
      <c r="H171" s="504"/>
      <c r="I171" s="504"/>
      <c r="J171" s="504"/>
      <c r="K171" s="504"/>
      <c r="L171" s="504"/>
      <c r="M171" s="504"/>
      <c r="N171" s="504"/>
      <c r="O171" s="504"/>
      <c r="P171" s="504"/>
      <c r="Q171" s="504"/>
      <c r="R171" s="504"/>
      <c r="S171" s="504"/>
      <c r="T171" s="504"/>
      <c r="U171" s="504"/>
      <c r="V171" s="504"/>
    </row>
    <row r="172" spans="1:22" ht="11.25" customHeight="1">
      <c r="A172" s="504"/>
      <c r="B172" s="504"/>
      <c r="C172" s="82"/>
      <c r="D172" s="504"/>
      <c r="E172" s="504"/>
      <c r="F172" s="504"/>
      <c r="G172" s="504"/>
      <c r="H172" s="504"/>
      <c r="I172" s="504"/>
      <c r="J172" s="504"/>
      <c r="K172" s="504"/>
      <c r="L172" s="504"/>
      <c r="M172" s="504"/>
      <c r="N172" s="504"/>
      <c r="O172" s="504"/>
      <c r="P172" s="504"/>
      <c r="Q172" s="504"/>
      <c r="R172" s="504"/>
      <c r="S172" s="504"/>
      <c r="T172" s="504"/>
      <c r="U172" s="504"/>
      <c r="V172" s="504"/>
    </row>
    <row r="173" spans="1:22" ht="11.25" customHeight="1">
      <c r="A173" s="504"/>
      <c r="B173" s="504"/>
      <c r="C173" s="82"/>
      <c r="D173" s="504"/>
      <c r="E173" s="504"/>
      <c r="F173" s="504"/>
      <c r="G173" s="504"/>
      <c r="H173" s="504"/>
      <c r="I173" s="504"/>
      <c r="J173" s="504"/>
      <c r="K173" s="504"/>
      <c r="L173" s="504"/>
      <c r="M173" s="504"/>
      <c r="N173" s="504"/>
      <c r="O173" s="504"/>
      <c r="P173" s="504"/>
      <c r="Q173" s="504"/>
      <c r="R173" s="504"/>
      <c r="S173" s="504"/>
      <c r="T173" s="504"/>
      <c r="U173" s="504"/>
      <c r="V173" s="504"/>
    </row>
    <row r="174" spans="1:22" ht="11.25" customHeight="1">
      <c r="A174" s="504"/>
      <c r="B174" s="504"/>
      <c r="C174" s="82"/>
      <c r="D174" s="504"/>
      <c r="E174" s="504"/>
      <c r="F174" s="504"/>
      <c r="G174" s="504"/>
      <c r="H174" s="504"/>
      <c r="I174" s="504"/>
      <c r="J174" s="504"/>
      <c r="K174" s="504"/>
      <c r="L174" s="504"/>
      <c r="M174" s="504"/>
      <c r="N174" s="504"/>
      <c r="O174" s="504"/>
      <c r="P174" s="504"/>
      <c r="Q174" s="504"/>
      <c r="R174" s="504"/>
      <c r="S174" s="504"/>
      <c r="T174" s="504"/>
      <c r="U174" s="504"/>
      <c r="V174" s="504"/>
    </row>
    <row r="175" spans="1:22" ht="11.25" customHeight="1">
      <c r="A175" s="504"/>
      <c r="B175" s="504"/>
      <c r="C175" s="82"/>
      <c r="D175" s="504"/>
      <c r="E175" s="504"/>
      <c r="F175" s="504"/>
      <c r="G175" s="504"/>
      <c r="H175" s="504"/>
      <c r="I175" s="504"/>
      <c r="J175" s="504"/>
      <c r="K175" s="504"/>
      <c r="L175" s="504"/>
      <c r="M175" s="504"/>
      <c r="N175" s="504"/>
      <c r="O175" s="504"/>
      <c r="P175" s="504"/>
      <c r="Q175" s="504"/>
      <c r="R175" s="504"/>
      <c r="S175" s="504"/>
      <c r="T175" s="504"/>
      <c r="U175" s="504"/>
      <c r="V175" s="504"/>
    </row>
    <row r="176" spans="1:22" ht="11.25" customHeight="1">
      <c r="A176" s="504"/>
      <c r="B176" s="504"/>
      <c r="C176" s="82"/>
      <c r="D176" s="504"/>
      <c r="E176" s="504"/>
      <c r="F176" s="504"/>
      <c r="G176" s="504"/>
      <c r="H176" s="504"/>
      <c r="I176" s="504"/>
      <c r="J176" s="504"/>
      <c r="K176" s="504"/>
      <c r="L176" s="504"/>
      <c r="M176" s="504"/>
      <c r="N176" s="504"/>
      <c r="O176" s="504"/>
      <c r="P176" s="504"/>
      <c r="Q176" s="504"/>
      <c r="R176" s="504"/>
      <c r="S176" s="504"/>
      <c r="T176" s="504"/>
      <c r="U176" s="504"/>
      <c r="V176" s="504"/>
    </row>
    <row r="177" spans="1:22" ht="11.25" customHeight="1">
      <c r="A177" s="504"/>
      <c r="B177" s="504"/>
      <c r="C177" s="82"/>
      <c r="D177" s="504"/>
      <c r="E177" s="504"/>
      <c r="F177" s="504"/>
      <c r="G177" s="504"/>
      <c r="H177" s="504"/>
      <c r="I177" s="504"/>
      <c r="J177" s="504"/>
      <c r="K177" s="504"/>
      <c r="L177" s="504"/>
      <c r="M177" s="504"/>
      <c r="N177" s="504"/>
      <c r="O177" s="504"/>
      <c r="P177" s="504"/>
      <c r="Q177" s="504"/>
      <c r="R177" s="504"/>
      <c r="S177" s="504"/>
      <c r="T177" s="504"/>
      <c r="U177" s="504"/>
      <c r="V177" s="504"/>
    </row>
    <row r="178" spans="1:22" ht="11.25" customHeight="1">
      <c r="A178" s="504"/>
      <c r="B178" s="504"/>
      <c r="C178" s="82"/>
      <c r="D178" s="504"/>
      <c r="E178" s="504"/>
      <c r="F178" s="504"/>
      <c r="G178" s="504"/>
      <c r="H178" s="504"/>
      <c r="I178" s="504"/>
      <c r="J178" s="504"/>
      <c r="K178" s="504"/>
      <c r="L178" s="504"/>
      <c r="M178" s="504"/>
      <c r="N178" s="504"/>
      <c r="O178" s="504"/>
      <c r="P178" s="504"/>
      <c r="Q178" s="504"/>
      <c r="R178" s="504"/>
      <c r="S178" s="504"/>
      <c r="T178" s="504"/>
      <c r="U178" s="504"/>
      <c r="V178" s="504"/>
    </row>
    <row r="179" spans="1:22" ht="11.25" customHeight="1">
      <c r="A179" s="504"/>
      <c r="B179" s="504"/>
      <c r="C179" s="82"/>
      <c r="D179" s="504"/>
      <c r="E179" s="504"/>
      <c r="F179" s="504"/>
      <c r="G179" s="504"/>
      <c r="H179" s="504"/>
      <c r="I179" s="504"/>
      <c r="J179" s="504"/>
      <c r="K179" s="504"/>
      <c r="L179" s="504"/>
      <c r="M179" s="504"/>
      <c r="N179" s="504"/>
      <c r="O179" s="504"/>
      <c r="P179" s="504"/>
      <c r="Q179" s="504"/>
      <c r="R179" s="504"/>
      <c r="S179" s="504"/>
      <c r="T179" s="504"/>
      <c r="U179" s="504"/>
      <c r="V179" s="504"/>
    </row>
    <row r="180" spans="1:22" ht="11.25" customHeight="1">
      <c r="A180" s="504"/>
      <c r="B180" s="504"/>
      <c r="C180" s="82"/>
      <c r="D180" s="504"/>
      <c r="E180" s="504"/>
      <c r="F180" s="504"/>
      <c r="G180" s="504"/>
      <c r="H180" s="504"/>
      <c r="I180" s="504"/>
      <c r="J180" s="504"/>
      <c r="K180" s="504"/>
      <c r="L180" s="504"/>
      <c r="M180" s="504"/>
      <c r="N180" s="504"/>
      <c r="O180" s="504"/>
      <c r="P180" s="504"/>
      <c r="Q180" s="504"/>
      <c r="R180" s="504"/>
      <c r="S180" s="504"/>
      <c r="T180" s="504"/>
      <c r="U180" s="504"/>
      <c r="V180" s="504"/>
    </row>
    <row r="181" spans="1:22" ht="11.25" customHeight="1">
      <c r="A181" s="504"/>
      <c r="B181" s="504"/>
      <c r="C181" s="82"/>
      <c r="D181" s="504"/>
      <c r="E181" s="504"/>
      <c r="F181" s="504"/>
      <c r="G181" s="504"/>
      <c r="H181" s="504"/>
      <c r="I181" s="504"/>
      <c r="J181" s="504"/>
      <c r="K181" s="504"/>
      <c r="L181" s="504"/>
      <c r="M181" s="504"/>
      <c r="N181" s="504"/>
      <c r="O181" s="504"/>
      <c r="P181" s="504"/>
      <c r="Q181" s="504"/>
      <c r="R181" s="504"/>
      <c r="S181" s="504"/>
      <c r="T181" s="504"/>
      <c r="U181" s="504"/>
      <c r="V181" s="504"/>
    </row>
    <row r="182" spans="1:22" ht="11.25" customHeight="1">
      <c r="A182" s="504"/>
      <c r="B182" s="504"/>
      <c r="C182" s="82"/>
      <c r="D182" s="504"/>
      <c r="E182" s="504"/>
      <c r="F182" s="504"/>
      <c r="G182" s="504"/>
      <c r="H182" s="504"/>
      <c r="I182" s="504"/>
      <c r="J182" s="504"/>
      <c r="K182" s="504"/>
      <c r="L182" s="504"/>
      <c r="M182" s="504"/>
      <c r="N182" s="504"/>
      <c r="O182" s="504"/>
      <c r="P182" s="504"/>
      <c r="Q182" s="504"/>
      <c r="R182" s="504"/>
      <c r="S182" s="504"/>
      <c r="T182" s="504"/>
      <c r="U182" s="504"/>
      <c r="V182" s="504"/>
    </row>
    <row r="183" spans="1:22" ht="11.25" customHeight="1">
      <c r="A183" s="504"/>
      <c r="B183" s="504"/>
      <c r="C183" s="82"/>
      <c r="D183" s="504"/>
      <c r="E183" s="504"/>
      <c r="F183" s="504"/>
      <c r="G183" s="504"/>
      <c r="H183" s="504"/>
      <c r="I183" s="504"/>
      <c r="J183" s="504"/>
      <c r="K183" s="504"/>
      <c r="L183" s="504"/>
      <c r="M183" s="504"/>
      <c r="N183" s="504"/>
      <c r="O183" s="504"/>
      <c r="P183" s="504"/>
      <c r="Q183" s="504"/>
      <c r="R183" s="504"/>
      <c r="S183" s="504"/>
      <c r="T183" s="504"/>
      <c r="U183" s="504"/>
      <c r="V183" s="504"/>
    </row>
    <row r="184" spans="1:22" ht="11.25" customHeight="1">
      <c r="A184" s="504"/>
      <c r="B184" s="504"/>
      <c r="C184" s="82"/>
      <c r="D184" s="504"/>
      <c r="E184" s="504"/>
      <c r="F184" s="504"/>
      <c r="G184" s="504"/>
      <c r="H184" s="504"/>
      <c r="I184" s="504"/>
      <c r="J184" s="504"/>
      <c r="K184" s="504"/>
      <c r="L184" s="504"/>
      <c r="M184" s="504"/>
      <c r="N184" s="504"/>
      <c r="O184" s="504"/>
      <c r="P184" s="504"/>
      <c r="Q184" s="504"/>
      <c r="R184" s="504"/>
      <c r="S184" s="504"/>
      <c r="T184" s="504"/>
      <c r="U184" s="504"/>
      <c r="V184" s="504"/>
    </row>
    <row r="185" spans="1:22" ht="11.25" customHeight="1">
      <c r="A185" s="504"/>
      <c r="B185" s="504"/>
      <c r="C185" s="82"/>
      <c r="D185" s="504"/>
      <c r="E185" s="504"/>
      <c r="F185" s="504"/>
      <c r="G185" s="504"/>
      <c r="H185" s="504"/>
      <c r="I185" s="504"/>
      <c r="J185" s="504"/>
      <c r="K185" s="504"/>
      <c r="L185" s="504"/>
      <c r="M185" s="504"/>
      <c r="N185" s="504"/>
      <c r="O185" s="504"/>
      <c r="P185" s="504"/>
      <c r="Q185" s="504"/>
      <c r="R185" s="504"/>
      <c r="S185" s="504"/>
      <c r="T185" s="504"/>
      <c r="U185" s="504"/>
      <c r="V185" s="504"/>
    </row>
    <row r="186" spans="1:22" ht="11.25" customHeight="1">
      <c r="A186" s="504"/>
      <c r="B186" s="504"/>
      <c r="C186" s="82"/>
      <c r="D186" s="504"/>
      <c r="E186" s="504"/>
      <c r="F186" s="504"/>
      <c r="G186" s="504"/>
      <c r="H186" s="504"/>
      <c r="I186" s="504"/>
      <c r="J186" s="504"/>
      <c r="K186" s="504"/>
      <c r="L186" s="504"/>
      <c r="M186" s="504"/>
      <c r="N186" s="504"/>
      <c r="O186" s="504"/>
      <c r="P186" s="504"/>
      <c r="Q186" s="504"/>
      <c r="R186" s="504"/>
      <c r="S186" s="504"/>
      <c r="T186" s="504"/>
      <c r="U186" s="504"/>
      <c r="V186" s="504"/>
    </row>
    <row r="187" spans="1:22" ht="11.25" customHeight="1">
      <c r="A187" s="504"/>
      <c r="B187" s="504"/>
      <c r="C187" s="82"/>
      <c r="D187" s="504"/>
      <c r="E187" s="504"/>
      <c r="F187" s="504"/>
      <c r="G187" s="504"/>
      <c r="H187" s="504"/>
      <c r="I187" s="504"/>
      <c r="J187" s="504"/>
      <c r="K187" s="504"/>
      <c r="L187" s="504"/>
      <c r="M187" s="504"/>
      <c r="N187" s="504"/>
      <c r="O187" s="504"/>
      <c r="P187" s="504"/>
      <c r="Q187" s="504"/>
      <c r="R187" s="504"/>
      <c r="S187" s="504"/>
      <c r="T187" s="504"/>
      <c r="U187" s="504"/>
      <c r="V187" s="504"/>
    </row>
    <row r="188" spans="1:22" ht="11.25" customHeight="1">
      <c r="A188" s="504"/>
      <c r="B188" s="504"/>
      <c r="C188" s="82"/>
      <c r="D188" s="504"/>
      <c r="E188" s="504"/>
      <c r="F188" s="504"/>
      <c r="G188" s="504"/>
      <c r="H188" s="504"/>
      <c r="I188" s="504"/>
      <c r="J188" s="504"/>
      <c r="K188" s="504"/>
      <c r="L188" s="504"/>
      <c r="M188" s="504"/>
      <c r="N188" s="504"/>
      <c r="O188" s="504"/>
      <c r="P188" s="504"/>
      <c r="Q188" s="504"/>
      <c r="R188" s="504"/>
      <c r="S188" s="504"/>
      <c r="T188" s="504"/>
      <c r="U188" s="504"/>
      <c r="V188" s="504"/>
    </row>
    <row r="189" spans="1:22" ht="11.25" customHeight="1">
      <c r="A189" s="504"/>
      <c r="B189" s="504"/>
      <c r="C189" s="82"/>
      <c r="D189" s="504"/>
      <c r="E189" s="504"/>
      <c r="F189" s="504"/>
      <c r="G189" s="504"/>
      <c r="H189" s="504"/>
      <c r="I189" s="504"/>
      <c r="J189" s="504"/>
      <c r="K189" s="504"/>
      <c r="L189" s="504"/>
      <c r="M189" s="504"/>
      <c r="N189" s="504"/>
      <c r="O189" s="504"/>
      <c r="P189" s="504"/>
      <c r="Q189" s="504"/>
      <c r="R189" s="504"/>
      <c r="S189" s="504"/>
      <c r="T189" s="504"/>
      <c r="U189" s="504"/>
      <c r="V189" s="504"/>
    </row>
    <row r="190" spans="1:22" ht="11.25" customHeight="1">
      <c r="A190" s="504"/>
      <c r="B190" s="504"/>
      <c r="C190" s="82"/>
      <c r="D190" s="504"/>
      <c r="E190" s="504"/>
      <c r="F190" s="504"/>
      <c r="G190" s="504"/>
      <c r="H190" s="504"/>
      <c r="I190" s="504"/>
      <c r="J190" s="504"/>
      <c r="K190" s="504"/>
      <c r="L190" s="504"/>
      <c r="M190" s="504"/>
      <c r="N190" s="504"/>
      <c r="O190" s="504"/>
      <c r="P190" s="504"/>
      <c r="Q190" s="504"/>
      <c r="R190" s="504"/>
      <c r="S190" s="504"/>
      <c r="T190" s="504"/>
      <c r="U190" s="504"/>
      <c r="V190" s="504"/>
    </row>
    <row r="191" spans="1:22" ht="11.25" customHeight="1">
      <c r="A191" s="504"/>
      <c r="B191" s="504"/>
      <c r="C191" s="82"/>
      <c r="D191" s="504"/>
      <c r="E191" s="504"/>
      <c r="F191" s="504"/>
      <c r="G191" s="504"/>
      <c r="H191" s="504"/>
      <c r="I191" s="504"/>
      <c r="J191" s="504"/>
      <c r="K191" s="504"/>
      <c r="L191" s="504"/>
      <c r="M191" s="504"/>
      <c r="N191" s="504"/>
      <c r="O191" s="504"/>
      <c r="P191" s="504"/>
      <c r="Q191" s="504"/>
      <c r="R191" s="504"/>
      <c r="S191" s="504"/>
      <c r="T191" s="504"/>
      <c r="U191" s="504"/>
      <c r="V191" s="504"/>
    </row>
    <row r="192" spans="1:22" ht="11.25" customHeight="1">
      <c r="A192" s="504"/>
      <c r="B192" s="504"/>
      <c r="C192" s="82"/>
      <c r="D192" s="504"/>
      <c r="E192" s="504"/>
      <c r="F192" s="504"/>
      <c r="G192" s="504"/>
      <c r="H192" s="504"/>
      <c r="I192" s="504"/>
      <c r="J192" s="504"/>
      <c r="K192" s="504"/>
      <c r="L192" s="504"/>
      <c r="M192" s="504"/>
      <c r="N192" s="504"/>
      <c r="O192" s="504"/>
      <c r="P192" s="504"/>
      <c r="Q192" s="504"/>
      <c r="R192" s="504"/>
      <c r="S192" s="504"/>
      <c r="T192" s="504"/>
      <c r="U192" s="504"/>
      <c r="V192" s="504"/>
    </row>
    <row r="193" spans="1:22" ht="11.25" customHeight="1">
      <c r="A193" s="504"/>
      <c r="B193" s="504"/>
      <c r="C193" s="82"/>
      <c r="D193" s="504"/>
      <c r="E193" s="504"/>
      <c r="F193" s="504"/>
      <c r="G193" s="504"/>
      <c r="H193" s="504"/>
      <c r="I193" s="504"/>
      <c r="J193" s="504"/>
      <c r="K193" s="504"/>
      <c r="L193" s="504"/>
      <c r="M193" s="504"/>
      <c r="N193" s="504"/>
      <c r="O193" s="504"/>
      <c r="P193" s="504"/>
      <c r="Q193" s="504"/>
      <c r="R193" s="504"/>
      <c r="S193" s="504"/>
      <c r="T193" s="504"/>
      <c r="U193" s="504"/>
      <c r="V193" s="504"/>
    </row>
    <row r="194" spans="1:22" ht="11.25" customHeight="1">
      <c r="A194" s="504"/>
      <c r="B194" s="504"/>
      <c r="C194" s="82"/>
      <c r="D194" s="504"/>
      <c r="E194" s="504"/>
      <c r="F194" s="504"/>
      <c r="G194" s="504"/>
      <c r="H194" s="504"/>
      <c r="I194" s="504"/>
      <c r="J194" s="504"/>
      <c r="K194" s="504"/>
      <c r="L194" s="504"/>
      <c r="M194" s="504"/>
      <c r="N194" s="504"/>
      <c r="O194" s="504"/>
      <c r="P194" s="504"/>
      <c r="Q194" s="504"/>
      <c r="R194" s="504"/>
      <c r="S194" s="504"/>
      <c r="T194" s="504"/>
      <c r="U194" s="504"/>
      <c r="V194" s="504"/>
    </row>
    <row r="195" spans="1:22" ht="11.25" customHeight="1">
      <c r="A195" s="504"/>
      <c r="B195" s="504"/>
      <c r="C195" s="82"/>
      <c r="D195" s="504"/>
      <c r="E195" s="504"/>
      <c r="F195" s="504"/>
      <c r="G195" s="504"/>
      <c r="H195" s="504"/>
      <c r="I195" s="504"/>
      <c r="J195" s="504"/>
      <c r="K195" s="504"/>
      <c r="L195" s="504"/>
      <c r="M195" s="504"/>
      <c r="N195" s="504"/>
      <c r="O195" s="504"/>
      <c r="P195" s="504"/>
      <c r="Q195" s="504"/>
      <c r="R195" s="504"/>
      <c r="S195" s="504"/>
      <c r="T195" s="504"/>
      <c r="U195" s="504"/>
      <c r="V195" s="504"/>
    </row>
    <row r="196" spans="1:22" ht="11.25" customHeight="1">
      <c r="A196" s="504"/>
      <c r="B196" s="504"/>
      <c r="C196" s="82"/>
      <c r="D196" s="504"/>
      <c r="E196" s="504"/>
      <c r="F196" s="504"/>
      <c r="G196" s="504"/>
      <c r="H196" s="504"/>
      <c r="I196" s="504"/>
      <c r="J196" s="504"/>
      <c r="K196" s="504"/>
      <c r="L196" s="504"/>
      <c r="M196" s="504"/>
      <c r="N196" s="504"/>
      <c r="O196" s="504"/>
      <c r="P196" s="504"/>
      <c r="Q196" s="504"/>
      <c r="R196" s="504"/>
      <c r="S196" s="504"/>
      <c r="T196" s="504"/>
      <c r="U196" s="504"/>
      <c r="V196" s="504"/>
    </row>
    <row r="197" spans="1:22" ht="11.25" customHeight="1">
      <c r="A197" s="504"/>
      <c r="B197" s="504"/>
      <c r="C197" s="82"/>
      <c r="D197" s="504"/>
      <c r="E197" s="504"/>
      <c r="F197" s="504"/>
      <c r="G197" s="504"/>
      <c r="H197" s="504"/>
      <c r="I197" s="504"/>
      <c r="J197" s="504"/>
      <c r="K197" s="504"/>
      <c r="L197" s="504"/>
      <c r="M197" s="504"/>
      <c r="N197" s="504"/>
      <c r="O197" s="504"/>
      <c r="P197" s="504"/>
      <c r="Q197" s="504"/>
      <c r="R197" s="504"/>
      <c r="S197" s="504"/>
      <c r="T197" s="504"/>
      <c r="U197" s="504"/>
      <c r="V197" s="504"/>
    </row>
    <row r="198" spans="1:22" ht="11.25" customHeight="1">
      <c r="A198" s="504"/>
      <c r="B198" s="504"/>
      <c r="C198" s="82"/>
      <c r="D198" s="504"/>
      <c r="E198" s="504"/>
      <c r="F198" s="504"/>
      <c r="G198" s="504"/>
      <c r="H198" s="504"/>
      <c r="I198" s="504"/>
      <c r="J198" s="504"/>
      <c r="K198" s="504"/>
      <c r="L198" s="504"/>
      <c r="M198" s="504"/>
      <c r="N198" s="504"/>
      <c r="O198" s="504"/>
      <c r="P198" s="504"/>
      <c r="Q198" s="504"/>
      <c r="R198" s="504"/>
      <c r="S198" s="504"/>
      <c r="T198" s="504"/>
      <c r="U198" s="504"/>
      <c r="V198" s="504"/>
    </row>
    <row r="199" spans="1:22" ht="11.25" customHeight="1">
      <c r="A199" s="504"/>
      <c r="B199" s="504"/>
      <c r="C199" s="82"/>
      <c r="D199" s="504"/>
      <c r="E199" s="504"/>
      <c r="F199" s="504"/>
      <c r="G199" s="504"/>
      <c r="H199" s="504"/>
      <c r="I199" s="504"/>
      <c r="J199" s="504"/>
      <c r="K199" s="504"/>
      <c r="L199" s="504"/>
      <c r="M199" s="504"/>
      <c r="N199" s="504"/>
      <c r="O199" s="504"/>
      <c r="P199" s="504"/>
      <c r="Q199" s="504"/>
      <c r="R199" s="504"/>
      <c r="S199" s="504"/>
      <c r="T199" s="504"/>
      <c r="U199" s="504"/>
      <c r="V199" s="504"/>
    </row>
    <row r="200" spans="1:22" ht="11.25" customHeight="1">
      <c r="A200" s="504"/>
      <c r="B200" s="504"/>
      <c r="C200" s="82"/>
      <c r="D200" s="504"/>
      <c r="E200" s="504"/>
      <c r="F200" s="504"/>
      <c r="G200" s="504"/>
      <c r="H200" s="504"/>
      <c r="I200" s="504"/>
      <c r="J200" s="504"/>
      <c r="K200" s="504"/>
      <c r="L200" s="504"/>
      <c r="M200" s="504"/>
      <c r="N200" s="504"/>
      <c r="O200" s="504"/>
      <c r="P200" s="504"/>
      <c r="Q200" s="504"/>
      <c r="R200" s="504"/>
      <c r="S200" s="504"/>
      <c r="T200" s="504"/>
      <c r="U200" s="504"/>
      <c r="V200" s="504"/>
    </row>
    <row r="201" spans="1:22" ht="11.25" customHeight="1">
      <c r="A201" s="504"/>
      <c r="B201" s="504"/>
      <c r="C201" s="82"/>
      <c r="D201" s="504"/>
      <c r="E201" s="504"/>
      <c r="F201" s="504"/>
      <c r="G201" s="504"/>
      <c r="H201" s="504"/>
      <c r="I201" s="504"/>
      <c r="J201" s="504"/>
      <c r="K201" s="504"/>
      <c r="L201" s="504"/>
      <c r="M201" s="504"/>
      <c r="N201" s="504"/>
      <c r="O201" s="504"/>
      <c r="P201" s="504"/>
      <c r="Q201" s="504"/>
      <c r="R201" s="504"/>
      <c r="S201" s="504"/>
      <c r="T201" s="504"/>
      <c r="U201" s="504"/>
      <c r="V201" s="504"/>
    </row>
    <row r="202" spans="1:22" ht="11.25" customHeight="1">
      <c r="A202" s="504"/>
      <c r="B202" s="504"/>
      <c r="C202" s="82"/>
      <c r="D202" s="504"/>
      <c r="E202" s="504"/>
      <c r="F202" s="504"/>
      <c r="G202" s="504"/>
      <c r="H202" s="504"/>
      <c r="I202" s="504"/>
      <c r="J202" s="504"/>
      <c r="K202" s="504"/>
      <c r="L202" s="504"/>
      <c r="M202" s="504"/>
      <c r="N202" s="504"/>
      <c r="O202" s="504"/>
      <c r="P202" s="504"/>
      <c r="Q202" s="504"/>
      <c r="R202" s="504"/>
      <c r="S202" s="504"/>
      <c r="T202" s="504"/>
      <c r="U202" s="504"/>
      <c r="V202" s="504"/>
    </row>
    <row r="203" spans="1:22" ht="11.25" customHeight="1">
      <c r="A203" s="504"/>
      <c r="B203" s="504"/>
      <c r="C203" s="82"/>
      <c r="D203" s="504"/>
      <c r="E203" s="504"/>
      <c r="F203" s="504"/>
      <c r="G203" s="504"/>
      <c r="H203" s="504"/>
      <c r="I203" s="504"/>
      <c r="J203" s="504"/>
      <c r="K203" s="504"/>
      <c r="L203" s="504"/>
      <c r="M203" s="504"/>
      <c r="N203" s="504"/>
      <c r="O203" s="504"/>
      <c r="P203" s="504"/>
      <c r="Q203" s="504"/>
      <c r="R203" s="504"/>
      <c r="S203" s="504"/>
      <c r="T203" s="504"/>
      <c r="U203" s="504"/>
      <c r="V203" s="504"/>
    </row>
    <row r="204" spans="1:22" ht="11.25" customHeight="1">
      <c r="A204" s="504"/>
      <c r="B204" s="504"/>
      <c r="C204" s="82"/>
      <c r="D204" s="504"/>
      <c r="E204" s="504"/>
      <c r="F204" s="504"/>
      <c r="G204" s="504"/>
      <c r="H204" s="504"/>
      <c r="I204" s="504"/>
      <c r="J204" s="504"/>
      <c r="K204" s="504"/>
      <c r="L204" s="504"/>
      <c r="M204" s="504"/>
      <c r="N204" s="504"/>
      <c r="O204" s="504"/>
      <c r="P204" s="504"/>
      <c r="Q204" s="504"/>
      <c r="R204" s="504"/>
      <c r="S204" s="504"/>
      <c r="T204" s="504"/>
      <c r="U204" s="504"/>
      <c r="V204" s="504"/>
    </row>
    <row r="205" spans="1:22" ht="11.25" customHeight="1">
      <c r="A205" s="504"/>
      <c r="B205" s="504"/>
      <c r="C205" s="82"/>
      <c r="D205" s="504"/>
      <c r="E205" s="504"/>
      <c r="F205" s="504"/>
      <c r="G205" s="504"/>
      <c r="H205" s="504"/>
      <c r="I205" s="504"/>
      <c r="J205" s="504"/>
      <c r="K205" s="504"/>
      <c r="L205" s="504"/>
      <c r="M205" s="504"/>
      <c r="N205" s="504"/>
      <c r="O205" s="504"/>
      <c r="P205" s="504"/>
      <c r="Q205" s="504"/>
      <c r="R205" s="504"/>
      <c r="S205" s="504"/>
      <c r="T205" s="504"/>
      <c r="U205" s="504"/>
      <c r="V205" s="504"/>
    </row>
    <row r="206" spans="1:22" ht="11.25" customHeight="1">
      <c r="A206" s="504"/>
      <c r="B206" s="504"/>
      <c r="C206" s="82"/>
      <c r="D206" s="504"/>
      <c r="E206" s="504"/>
      <c r="F206" s="504"/>
      <c r="G206" s="504"/>
      <c r="H206" s="504"/>
      <c r="I206" s="504"/>
      <c r="J206" s="504"/>
      <c r="K206" s="504"/>
      <c r="L206" s="504"/>
      <c r="M206" s="504"/>
      <c r="N206" s="504"/>
      <c r="O206" s="504"/>
      <c r="P206" s="504"/>
      <c r="Q206" s="504"/>
      <c r="R206" s="504"/>
      <c r="S206" s="504"/>
      <c r="T206" s="504"/>
      <c r="U206" s="504"/>
      <c r="V206" s="504"/>
    </row>
    <row r="207" spans="1:22" ht="11.25" customHeight="1">
      <c r="A207" s="504"/>
      <c r="B207" s="504"/>
      <c r="C207" s="82"/>
      <c r="D207" s="504"/>
      <c r="E207" s="504"/>
      <c r="F207" s="504"/>
      <c r="G207" s="504"/>
      <c r="H207" s="504"/>
      <c r="I207" s="504"/>
      <c r="J207" s="504"/>
      <c r="K207" s="504"/>
      <c r="L207" s="504"/>
      <c r="M207" s="504"/>
      <c r="N207" s="504"/>
      <c r="O207" s="504"/>
      <c r="P207" s="504"/>
      <c r="Q207" s="504"/>
      <c r="R207" s="504"/>
      <c r="S207" s="504"/>
      <c r="T207" s="504"/>
      <c r="U207" s="504"/>
      <c r="V207" s="504"/>
    </row>
    <row r="208" spans="1:22" ht="11.25" customHeight="1">
      <c r="A208" s="504"/>
      <c r="B208" s="504"/>
      <c r="C208" s="82"/>
      <c r="D208" s="504"/>
      <c r="E208" s="504"/>
      <c r="F208" s="504"/>
      <c r="G208" s="504"/>
      <c r="H208" s="504"/>
      <c r="I208" s="504"/>
      <c r="J208" s="504"/>
      <c r="K208" s="504"/>
      <c r="L208" s="504"/>
      <c r="M208" s="504"/>
      <c r="N208" s="504"/>
      <c r="O208" s="504"/>
      <c r="P208" s="504"/>
      <c r="Q208" s="504"/>
      <c r="R208" s="504"/>
      <c r="S208" s="504"/>
      <c r="T208" s="504"/>
      <c r="U208" s="504"/>
      <c r="V208" s="504"/>
    </row>
    <row r="209" spans="1:22" ht="11.25" customHeight="1">
      <c r="A209" s="504"/>
      <c r="B209" s="504"/>
      <c r="C209" s="82"/>
      <c r="D209" s="504"/>
      <c r="E209" s="504"/>
      <c r="F209" s="504"/>
      <c r="G209" s="504"/>
      <c r="H209" s="504"/>
      <c r="I209" s="504"/>
      <c r="J209" s="504"/>
      <c r="K209" s="504"/>
      <c r="L209" s="504"/>
      <c r="M209" s="504"/>
      <c r="N209" s="504"/>
      <c r="O209" s="504"/>
      <c r="P209" s="504"/>
      <c r="Q209" s="504"/>
      <c r="R209" s="504"/>
      <c r="S209" s="504"/>
      <c r="T209" s="504"/>
      <c r="U209" s="504"/>
      <c r="V209" s="504"/>
    </row>
    <row r="210" spans="1:22" ht="11.25" customHeight="1">
      <c r="A210" s="504"/>
      <c r="B210" s="504"/>
      <c r="C210" s="82"/>
      <c r="D210" s="504"/>
      <c r="E210" s="504"/>
      <c r="F210" s="504"/>
      <c r="G210" s="504"/>
      <c r="H210" s="504"/>
      <c r="I210" s="504"/>
      <c r="J210" s="504"/>
      <c r="K210" s="504"/>
      <c r="L210" s="504"/>
      <c r="M210" s="504"/>
      <c r="N210" s="504"/>
      <c r="O210" s="504"/>
      <c r="P210" s="504"/>
      <c r="Q210" s="504"/>
      <c r="R210" s="504"/>
      <c r="S210" s="504"/>
      <c r="T210" s="504"/>
      <c r="U210" s="504"/>
      <c r="V210" s="504"/>
    </row>
    <row r="211" spans="1:22" ht="11.25" customHeight="1">
      <c r="A211" s="504"/>
      <c r="B211" s="504"/>
      <c r="C211" s="82"/>
      <c r="D211" s="504"/>
      <c r="E211" s="504"/>
      <c r="F211" s="504"/>
      <c r="G211" s="504"/>
      <c r="H211" s="504"/>
      <c r="I211" s="504"/>
      <c r="J211" s="504"/>
      <c r="K211" s="504"/>
      <c r="L211" s="504"/>
      <c r="M211" s="504"/>
      <c r="N211" s="504"/>
      <c r="O211" s="504"/>
      <c r="P211" s="504"/>
      <c r="Q211" s="504"/>
      <c r="R211" s="504"/>
      <c r="S211" s="504"/>
      <c r="T211" s="504"/>
      <c r="U211" s="504"/>
      <c r="V211" s="504"/>
    </row>
    <row r="212" spans="1:22" ht="11.25" customHeight="1">
      <c r="A212" s="504"/>
      <c r="B212" s="504"/>
      <c r="C212" s="82"/>
      <c r="D212" s="504"/>
      <c r="E212" s="504"/>
      <c r="F212" s="504"/>
      <c r="G212" s="504"/>
      <c r="H212" s="504"/>
      <c r="I212" s="504"/>
      <c r="J212" s="504"/>
      <c r="K212" s="504"/>
      <c r="L212" s="504"/>
      <c r="M212" s="504"/>
      <c r="N212" s="504"/>
      <c r="O212" s="504"/>
      <c r="P212" s="504"/>
      <c r="Q212" s="504"/>
      <c r="R212" s="504"/>
      <c r="S212" s="504"/>
      <c r="T212" s="504"/>
      <c r="U212" s="504"/>
      <c r="V212" s="504"/>
    </row>
    <row r="213" spans="1:22" ht="11.25" customHeight="1">
      <c r="A213" s="504"/>
      <c r="B213" s="504"/>
      <c r="C213" s="82"/>
      <c r="D213" s="504"/>
      <c r="E213" s="504"/>
      <c r="F213" s="504"/>
      <c r="G213" s="504"/>
      <c r="H213" s="504"/>
      <c r="I213" s="504"/>
      <c r="J213" s="504"/>
      <c r="K213" s="504"/>
      <c r="L213" s="504"/>
      <c r="M213" s="504"/>
      <c r="N213" s="504"/>
      <c r="O213" s="504"/>
      <c r="P213" s="504"/>
      <c r="Q213" s="504"/>
      <c r="R213" s="504"/>
      <c r="S213" s="504"/>
      <c r="T213" s="504"/>
      <c r="U213" s="504"/>
      <c r="V213" s="504"/>
    </row>
    <row r="214" spans="1:22" ht="11.25" customHeight="1">
      <c r="A214" s="504"/>
      <c r="B214" s="504"/>
      <c r="C214" s="82"/>
      <c r="D214" s="504"/>
      <c r="E214" s="504"/>
      <c r="F214" s="504"/>
      <c r="G214" s="504"/>
      <c r="H214" s="504"/>
      <c r="I214" s="504"/>
      <c r="J214" s="504"/>
      <c r="K214" s="504"/>
      <c r="L214" s="504"/>
      <c r="M214" s="504"/>
      <c r="N214" s="504"/>
      <c r="O214" s="504"/>
      <c r="P214" s="504"/>
      <c r="Q214" s="504"/>
      <c r="R214" s="504"/>
      <c r="S214" s="504"/>
      <c r="T214" s="504"/>
      <c r="U214" s="504"/>
      <c r="V214" s="504"/>
    </row>
    <row r="215" spans="1:22" ht="11.25" customHeight="1">
      <c r="A215" s="504"/>
      <c r="B215" s="504"/>
      <c r="C215" s="82"/>
      <c r="D215" s="504"/>
      <c r="E215" s="504"/>
      <c r="F215" s="504"/>
      <c r="G215" s="504"/>
      <c r="H215" s="504"/>
      <c r="I215" s="504"/>
      <c r="J215" s="504"/>
      <c r="K215" s="504"/>
      <c r="L215" s="504"/>
      <c r="M215" s="504"/>
      <c r="N215" s="504"/>
      <c r="O215" s="504"/>
      <c r="P215" s="504"/>
      <c r="Q215" s="504"/>
      <c r="R215" s="504"/>
      <c r="S215" s="504"/>
      <c r="T215" s="504"/>
      <c r="U215" s="504"/>
      <c r="V215" s="504"/>
    </row>
    <row r="216" spans="1:22" ht="11.25" customHeight="1">
      <c r="A216" s="504"/>
      <c r="B216" s="504"/>
      <c r="C216" s="82"/>
      <c r="D216" s="504"/>
      <c r="E216" s="504"/>
      <c r="F216" s="504"/>
      <c r="G216" s="504"/>
      <c r="H216" s="504"/>
      <c r="I216" s="504"/>
      <c r="J216" s="504"/>
      <c r="K216" s="504"/>
      <c r="L216" s="504"/>
      <c r="M216" s="504"/>
      <c r="N216" s="504"/>
      <c r="O216" s="504"/>
      <c r="P216" s="504"/>
      <c r="Q216" s="504"/>
      <c r="R216" s="504"/>
      <c r="S216" s="504"/>
      <c r="T216" s="504"/>
      <c r="U216" s="504"/>
      <c r="V216" s="504"/>
    </row>
    <row r="217" spans="1:22" ht="11.25" customHeight="1">
      <c r="A217" s="504"/>
      <c r="B217" s="504"/>
      <c r="C217" s="82"/>
      <c r="D217" s="504"/>
      <c r="E217" s="504"/>
      <c r="F217" s="504"/>
      <c r="G217" s="504"/>
      <c r="H217" s="504"/>
      <c r="I217" s="504"/>
      <c r="J217" s="504"/>
      <c r="K217" s="504"/>
      <c r="L217" s="504"/>
      <c r="M217" s="504"/>
      <c r="N217" s="504"/>
      <c r="O217" s="504"/>
      <c r="P217" s="504"/>
      <c r="Q217" s="504"/>
      <c r="R217" s="504"/>
      <c r="S217" s="504"/>
      <c r="T217" s="504"/>
      <c r="U217" s="504"/>
      <c r="V217" s="504"/>
    </row>
    <row r="218" spans="1:22" ht="11.25" customHeight="1">
      <c r="A218" s="504"/>
      <c r="B218" s="504"/>
      <c r="C218" s="82"/>
      <c r="D218" s="504"/>
      <c r="E218" s="504"/>
      <c r="F218" s="504"/>
      <c r="G218" s="504"/>
      <c r="H218" s="504"/>
      <c r="I218" s="504"/>
      <c r="J218" s="504"/>
      <c r="K218" s="504"/>
      <c r="L218" s="504"/>
      <c r="M218" s="504"/>
      <c r="N218" s="504"/>
      <c r="O218" s="504"/>
      <c r="P218" s="504"/>
      <c r="Q218" s="504"/>
      <c r="R218" s="504"/>
      <c r="S218" s="504"/>
      <c r="T218" s="504"/>
      <c r="U218" s="504"/>
      <c r="V218" s="504"/>
    </row>
    <row r="219" spans="1:22" ht="11.25" customHeight="1">
      <c r="A219" s="504"/>
      <c r="B219" s="504"/>
      <c r="C219" s="82"/>
      <c r="D219" s="504"/>
      <c r="E219" s="504"/>
      <c r="F219" s="504"/>
      <c r="G219" s="504"/>
      <c r="H219" s="504"/>
      <c r="I219" s="504"/>
      <c r="J219" s="504"/>
      <c r="K219" s="504"/>
      <c r="L219" s="504"/>
      <c r="M219" s="504"/>
      <c r="N219" s="504"/>
      <c r="O219" s="504"/>
      <c r="P219" s="504"/>
      <c r="Q219" s="504"/>
      <c r="R219" s="504"/>
      <c r="S219" s="504"/>
      <c r="T219" s="504"/>
      <c r="U219" s="504"/>
      <c r="V219" s="504"/>
    </row>
    <row r="220" spans="1:22" ht="11.25" customHeight="1">
      <c r="A220" s="504"/>
      <c r="B220" s="504"/>
      <c r="C220" s="82"/>
      <c r="D220" s="504"/>
      <c r="E220" s="504"/>
      <c r="F220" s="504"/>
      <c r="G220" s="504"/>
      <c r="H220" s="504"/>
      <c r="I220" s="504"/>
      <c r="J220" s="504"/>
      <c r="K220" s="504"/>
      <c r="L220" s="504"/>
      <c r="M220" s="504"/>
      <c r="N220" s="504"/>
      <c r="O220" s="504"/>
      <c r="P220" s="504"/>
      <c r="Q220" s="504"/>
      <c r="R220" s="504"/>
      <c r="S220" s="504"/>
      <c r="T220" s="504"/>
      <c r="U220" s="504"/>
      <c r="V220" s="504"/>
    </row>
    <row r="221" spans="1:22" ht="15.75" customHeight="1">
      <c r="A221" s="503"/>
      <c r="B221" s="503"/>
      <c r="C221" s="503"/>
      <c r="D221" s="503"/>
      <c r="E221" s="503"/>
      <c r="F221" s="503"/>
      <c r="G221" s="503"/>
      <c r="H221" s="503"/>
      <c r="I221" s="503"/>
      <c r="J221" s="503"/>
      <c r="K221" s="503"/>
      <c r="L221" s="503"/>
      <c r="M221" s="503"/>
      <c r="N221" s="503"/>
      <c r="O221" s="503"/>
      <c r="P221" s="503"/>
      <c r="Q221" s="503"/>
      <c r="R221" s="503"/>
      <c r="S221" s="503"/>
      <c r="T221" s="503"/>
      <c r="U221" s="503"/>
      <c r="V221" s="503"/>
    </row>
    <row r="222" spans="1:22" ht="15.75" customHeight="1">
      <c r="A222" s="503"/>
      <c r="B222" s="503"/>
      <c r="C222" s="503"/>
      <c r="D222" s="503"/>
      <c r="E222" s="503"/>
      <c r="F222" s="503"/>
      <c r="G222" s="503"/>
      <c r="H222" s="503"/>
      <c r="I222" s="503"/>
      <c r="J222" s="503"/>
      <c r="K222" s="503"/>
      <c r="L222" s="503"/>
      <c r="M222" s="503"/>
      <c r="N222" s="503"/>
      <c r="O222" s="503"/>
      <c r="P222" s="503"/>
      <c r="Q222" s="503"/>
      <c r="R222" s="503"/>
      <c r="S222" s="503"/>
      <c r="T222" s="503"/>
      <c r="U222" s="503"/>
      <c r="V222" s="503"/>
    </row>
    <row r="223" spans="1:22" ht="15.75" customHeight="1">
      <c r="A223" s="503"/>
      <c r="B223" s="503"/>
      <c r="C223" s="503"/>
      <c r="D223" s="503"/>
      <c r="E223" s="503"/>
      <c r="F223" s="503"/>
      <c r="G223" s="503"/>
      <c r="H223" s="503"/>
      <c r="I223" s="503"/>
      <c r="J223" s="503"/>
      <c r="K223" s="503"/>
      <c r="L223" s="503"/>
      <c r="M223" s="503"/>
      <c r="N223" s="503"/>
      <c r="O223" s="503"/>
      <c r="P223" s="503"/>
      <c r="Q223" s="503"/>
      <c r="R223" s="503"/>
      <c r="S223" s="503"/>
      <c r="T223" s="503"/>
      <c r="U223" s="503"/>
      <c r="V223" s="503"/>
    </row>
    <row r="224" spans="1:22" ht="15.75" customHeight="1">
      <c r="A224" s="503"/>
      <c r="B224" s="503"/>
      <c r="C224" s="503"/>
      <c r="D224" s="503"/>
      <c r="E224" s="503"/>
      <c r="F224" s="503"/>
      <c r="G224" s="503"/>
      <c r="H224" s="503"/>
      <c r="I224" s="503"/>
      <c r="J224" s="503"/>
      <c r="K224" s="503"/>
      <c r="L224" s="503"/>
      <c r="M224" s="503"/>
      <c r="N224" s="503"/>
      <c r="O224" s="503"/>
      <c r="P224" s="503"/>
      <c r="Q224" s="503"/>
      <c r="R224" s="503"/>
      <c r="S224" s="503"/>
      <c r="T224" s="503"/>
      <c r="U224" s="503"/>
      <c r="V224" s="50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1000"/>
  <sheetViews>
    <sheetView showGridLines="0" zoomScaleNormal="100" workbookViewId="0">
      <pane ySplit="6" topLeftCell="A7" activePane="bottomLeft" state="frozen"/>
      <selection pane="bottomLeft" activeCell="A7" sqref="A7"/>
    </sheetView>
  </sheetViews>
  <sheetFormatPr defaultColWidth="14.453125" defaultRowHeight="15" customHeight="1"/>
  <cols>
    <col min="2" max="2" width="11.08984375" customWidth="1"/>
    <col min="3" max="3" width="77.90625" customWidth="1"/>
    <col min="4" max="4" width="9.90625" customWidth="1"/>
    <col min="5" max="7" width="10.90625" customWidth="1"/>
    <col min="8" max="23" width="8" customWidth="1"/>
  </cols>
  <sheetData>
    <row r="1" spans="2:23" ht="14.25" customHeight="1">
      <c r="B1" s="565" t="str">
        <f>'University-wide'!A1</f>
        <v>University of California, San Diego Survey of Parking Space Occupancy Levels, Spring 2021</v>
      </c>
      <c r="C1" s="566"/>
      <c r="D1" s="83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  <c r="W1" s="504"/>
    </row>
    <row r="2" spans="2:23" ht="14.25" customHeight="1">
      <c r="B2" s="565" t="s">
        <v>503</v>
      </c>
      <c r="C2" s="566"/>
      <c r="D2" s="83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</row>
    <row r="3" spans="2:23" ht="11.25" customHeight="1">
      <c r="B3" s="572"/>
      <c r="C3" s="566"/>
      <c r="D3" s="83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</row>
    <row r="4" spans="2:23" ht="11.25" customHeight="1">
      <c r="B4" s="92" t="s">
        <v>495</v>
      </c>
      <c r="C4" s="92" t="s">
        <v>33</v>
      </c>
      <c r="D4" s="83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  <c r="Q4" s="504"/>
      <c r="R4" s="504"/>
      <c r="S4" s="504"/>
      <c r="T4" s="504"/>
      <c r="U4" s="504"/>
      <c r="V4" s="504"/>
      <c r="W4" s="504"/>
    </row>
    <row r="5" spans="2:23" ht="11.25" customHeight="1">
      <c r="B5" s="93"/>
      <c r="C5" s="93" t="s">
        <v>2</v>
      </c>
      <c r="D5" s="83"/>
      <c r="E5" s="504"/>
      <c r="F5" s="504"/>
      <c r="G5" s="504"/>
      <c r="H5" s="504"/>
      <c r="I5" s="504"/>
      <c r="J5" s="504"/>
      <c r="K5" s="504"/>
      <c r="L5" s="504"/>
      <c r="M5" s="504"/>
      <c r="N5" s="504"/>
      <c r="O5" s="504"/>
      <c r="P5" s="504"/>
      <c r="Q5" s="504"/>
      <c r="R5" s="504"/>
      <c r="S5" s="504"/>
      <c r="T5" s="504"/>
      <c r="U5" s="504"/>
      <c r="V5" s="504"/>
      <c r="W5" s="504"/>
    </row>
    <row r="6" spans="2:23" ht="11.25" customHeight="1">
      <c r="B6" s="100"/>
      <c r="C6" s="100" t="s">
        <v>5</v>
      </c>
      <c r="D6" s="83"/>
      <c r="E6" s="504"/>
      <c r="F6" s="504"/>
      <c r="G6" s="504"/>
      <c r="H6" s="504"/>
      <c r="I6" s="504"/>
      <c r="J6" s="504"/>
      <c r="K6" s="504"/>
      <c r="L6" s="504"/>
      <c r="M6" s="504"/>
      <c r="N6" s="504"/>
      <c r="O6" s="504"/>
      <c r="P6" s="504"/>
      <c r="Q6" s="504"/>
      <c r="R6" s="504"/>
      <c r="S6" s="504"/>
      <c r="T6" s="504"/>
      <c r="U6" s="504"/>
      <c r="V6" s="504"/>
      <c r="W6" s="504"/>
    </row>
    <row r="7" spans="2:23" ht="11.25" customHeight="1">
      <c r="B7" s="13" t="s">
        <v>504</v>
      </c>
      <c r="C7" s="13" t="s">
        <v>505</v>
      </c>
      <c r="D7" s="83"/>
      <c r="E7" s="504"/>
      <c r="F7" s="504"/>
      <c r="G7" s="504"/>
      <c r="H7" s="504"/>
      <c r="I7" s="504"/>
      <c r="J7" s="504"/>
      <c r="K7" s="504"/>
      <c r="L7" s="504"/>
      <c r="M7" s="504"/>
      <c r="N7" s="504"/>
      <c r="O7" s="504"/>
      <c r="P7" s="504"/>
      <c r="Q7" s="504"/>
      <c r="R7" s="504"/>
      <c r="S7" s="504"/>
      <c r="T7" s="504"/>
      <c r="U7" s="504"/>
      <c r="V7" s="504"/>
      <c r="W7" s="504"/>
    </row>
    <row r="8" spans="2:23" ht="11.25" customHeight="1">
      <c r="B8" s="13" t="s">
        <v>506</v>
      </c>
      <c r="C8" s="13" t="s">
        <v>507</v>
      </c>
      <c r="D8" s="83"/>
      <c r="E8" s="504"/>
      <c r="F8" s="504"/>
      <c r="G8" s="504"/>
      <c r="H8" s="504"/>
      <c r="I8" s="504"/>
      <c r="J8" s="504"/>
      <c r="K8" s="504"/>
      <c r="L8" s="504"/>
      <c r="M8" s="504"/>
      <c r="N8" s="504"/>
      <c r="O8" s="504"/>
      <c r="P8" s="504"/>
      <c r="Q8" s="504"/>
      <c r="R8" s="504"/>
      <c r="S8" s="504"/>
      <c r="T8" s="504"/>
      <c r="U8" s="504"/>
      <c r="V8" s="504"/>
      <c r="W8" s="504"/>
    </row>
    <row r="9" spans="2:23" ht="11.25" customHeight="1">
      <c r="B9" s="13" t="s">
        <v>508</v>
      </c>
      <c r="C9" s="13" t="s">
        <v>509</v>
      </c>
      <c r="D9" s="83"/>
      <c r="E9" s="504"/>
      <c r="F9" s="504"/>
      <c r="G9" s="504"/>
      <c r="H9" s="504"/>
      <c r="I9" s="504"/>
      <c r="J9" s="504"/>
      <c r="K9" s="504"/>
      <c r="L9" s="504"/>
      <c r="M9" s="504"/>
      <c r="N9" s="504"/>
      <c r="O9" s="504"/>
      <c r="P9" s="504"/>
      <c r="Q9" s="504"/>
      <c r="R9" s="504"/>
      <c r="S9" s="504"/>
      <c r="T9" s="504"/>
      <c r="U9" s="504"/>
      <c r="V9" s="504"/>
      <c r="W9" s="504"/>
    </row>
    <row r="10" spans="2:23" ht="11.25" customHeight="1">
      <c r="B10" s="109" t="s">
        <v>510</v>
      </c>
      <c r="C10" s="13" t="s">
        <v>511</v>
      </c>
      <c r="D10" s="83"/>
      <c r="E10" s="504"/>
      <c r="F10" s="504"/>
      <c r="G10" s="504"/>
      <c r="H10" s="504"/>
      <c r="I10" s="504"/>
      <c r="J10" s="504"/>
      <c r="K10" s="504"/>
      <c r="L10" s="504"/>
      <c r="M10" s="504"/>
      <c r="N10" s="504"/>
      <c r="O10" s="504"/>
      <c r="P10" s="504"/>
      <c r="Q10" s="504"/>
      <c r="R10" s="504"/>
      <c r="S10" s="504"/>
      <c r="T10" s="504"/>
      <c r="U10" s="504"/>
      <c r="V10" s="504"/>
      <c r="W10" s="504"/>
    </row>
    <row r="11" spans="2:23" ht="11.25" customHeight="1">
      <c r="B11" s="109" t="s">
        <v>512</v>
      </c>
      <c r="C11" s="13" t="s">
        <v>513</v>
      </c>
      <c r="D11" s="83"/>
      <c r="E11" s="504"/>
      <c r="F11" s="504"/>
      <c r="G11" s="504"/>
      <c r="H11" s="504"/>
      <c r="I11" s="504"/>
      <c r="J11" s="504"/>
      <c r="K11" s="504"/>
      <c r="L11" s="504"/>
      <c r="M11" s="504"/>
      <c r="N11" s="504"/>
      <c r="O11" s="504"/>
      <c r="P11" s="504"/>
      <c r="Q11" s="504"/>
      <c r="R11" s="504"/>
      <c r="S11" s="504"/>
      <c r="T11" s="504"/>
      <c r="U11" s="504"/>
      <c r="V11" s="504"/>
      <c r="W11" s="504"/>
    </row>
    <row r="12" spans="2:23" ht="11.25" customHeight="1">
      <c r="B12" s="109" t="s">
        <v>514</v>
      </c>
      <c r="C12" s="13" t="s">
        <v>515</v>
      </c>
      <c r="D12" s="83"/>
      <c r="E12" s="504"/>
      <c r="F12" s="504"/>
      <c r="G12" s="504"/>
      <c r="H12" s="504"/>
      <c r="I12" s="504"/>
      <c r="J12" s="504"/>
      <c r="K12" s="504"/>
      <c r="L12" s="504"/>
      <c r="M12" s="504"/>
      <c r="N12" s="504"/>
      <c r="O12" s="504"/>
      <c r="P12" s="504"/>
      <c r="Q12" s="504"/>
      <c r="R12" s="504"/>
      <c r="S12" s="504"/>
      <c r="T12" s="504"/>
      <c r="U12" s="504"/>
      <c r="V12" s="504"/>
      <c r="W12" s="504"/>
    </row>
    <row r="13" spans="2:23" ht="11.25" customHeight="1">
      <c r="B13" s="13" t="s">
        <v>516</v>
      </c>
      <c r="C13" s="13" t="s">
        <v>517</v>
      </c>
      <c r="D13" s="83"/>
      <c r="E13" s="504"/>
      <c r="F13" s="504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4"/>
      <c r="R13" s="504"/>
      <c r="S13" s="504"/>
      <c r="T13" s="504"/>
      <c r="U13" s="504"/>
      <c r="V13" s="504"/>
      <c r="W13" s="504"/>
    </row>
    <row r="14" spans="2:23" ht="11.25" customHeight="1">
      <c r="B14" s="13" t="s">
        <v>518</v>
      </c>
      <c r="C14" s="13" t="s">
        <v>519</v>
      </c>
      <c r="D14" s="83"/>
      <c r="E14" s="504"/>
      <c r="F14" s="504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4"/>
      <c r="R14" s="504"/>
      <c r="S14" s="504"/>
      <c r="T14" s="504"/>
      <c r="U14" s="504"/>
      <c r="V14" s="504"/>
      <c r="W14" s="504"/>
    </row>
    <row r="15" spans="2:23" ht="11.25" customHeight="1">
      <c r="B15" s="13" t="s">
        <v>520</v>
      </c>
      <c r="C15" s="13" t="s">
        <v>521</v>
      </c>
      <c r="D15" s="83"/>
      <c r="E15" s="504"/>
      <c r="F15" s="504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4"/>
      <c r="R15" s="504"/>
      <c r="S15" s="504"/>
      <c r="T15" s="504"/>
      <c r="U15" s="504"/>
      <c r="V15" s="504"/>
      <c r="W15" s="504"/>
    </row>
    <row r="16" spans="2:23" ht="11.25" customHeight="1">
      <c r="B16" s="13" t="s">
        <v>522</v>
      </c>
      <c r="C16" s="13" t="s">
        <v>523</v>
      </c>
      <c r="D16" s="83"/>
      <c r="E16" s="504"/>
      <c r="F16" s="504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4"/>
      <c r="R16" s="504"/>
      <c r="S16" s="504"/>
      <c r="T16" s="504"/>
      <c r="U16" s="504"/>
      <c r="V16" s="504"/>
      <c r="W16" s="504"/>
    </row>
    <row r="17" spans="2:23" ht="11.25" customHeight="1">
      <c r="B17" s="13" t="s">
        <v>524</v>
      </c>
      <c r="C17" s="13" t="s">
        <v>525</v>
      </c>
      <c r="D17" s="83"/>
      <c r="E17" s="504"/>
      <c r="F17" s="504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4"/>
      <c r="R17" s="504"/>
      <c r="S17" s="504"/>
      <c r="T17" s="504"/>
      <c r="U17" s="504"/>
      <c r="V17" s="504"/>
      <c r="W17" s="504"/>
    </row>
    <row r="18" spans="2:23" ht="11.25" customHeight="1">
      <c r="B18" s="13" t="s">
        <v>526</v>
      </c>
      <c r="C18" s="13" t="s">
        <v>527</v>
      </c>
      <c r="D18" s="83"/>
      <c r="E18" s="504"/>
      <c r="F18" s="504"/>
      <c r="G18" s="504"/>
      <c r="H18" s="504"/>
      <c r="I18" s="504"/>
      <c r="J18" s="504"/>
      <c r="K18" s="504"/>
      <c r="L18" s="504"/>
      <c r="M18" s="504"/>
      <c r="N18" s="504"/>
      <c r="O18" s="504"/>
      <c r="P18" s="504"/>
      <c r="Q18" s="504"/>
      <c r="R18" s="504"/>
      <c r="S18" s="504"/>
      <c r="T18" s="504"/>
      <c r="U18" s="504"/>
      <c r="V18" s="504"/>
      <c r="W18" s="504"/>
    </row>
    <row r="19" spans="2:23" ht="11.25" customHeight="1">
      <c r="B19" s="13" t="s">
        <v>528</v>
      </c>
      <c r="C19" s="13" t="s">
        <v>529</v>
      </c>
      <c r="D19" s="83"/>
      <c r="E19" s="504"/>
      <c r="F19" s="504"/>
      <c r="G19" s="504"/>
      <c r="H19" s="504"/>
      <c r="I19" s="504"/>
      <c r="J19" s="504"/>
      <c r="K19" s="504"/>
      <c r="L19" s="504"/>
      <c r="M19" s="504"/>
      <c r="N19" s="504"/>
      <c r="O19" s="504"/>
      <c r="P19" s="504"/>
      <c r="Q19" s="504"/>
      <c r="R19" s="504"/>
      <c r="S19" s="504"/>
      <c r="T19" s="504"/>
      <c r="U19" s="504"/>
      <c r="V19" s="504"/>
      <c r="W19" s="504"/>
    </row>
    <row r="20" spans="2:23" ht="11.25" customHeight="1">
      <c r="B20" s="13" t="s">
        <v>530</v>
      </c>
      <c r="C20" s="13" t="s">
        <v>531</v>
      </c>
      <c r="D20" s="83"/>
      <c r="E20" s="504"/>
      <c r="F20" s="504"/>
      <c r="G20" s="504"/>
      <c r="H20" s="504"/>
      <c r="I20" s="504"/>
      <c r="J20" s="504"/>
      <c r="K20" s="504"/>
      <c r="L20" s="504"/>
      <c r="M20" s="504"/>
      <c r="N20" s="504"/>
      <c r="O20" s="504"/>
      <c r="P20" s="504"/>
      <c r="Q20" s="504"/>
      <c r="R20" s="504"/>
      <c r="S20" s="504"/>
      <c r="T20" s="504"/>
      <c r="U20" s="504"/>
      <c r="V20" s="504"/>
      <c r="W20" s="504"/>
    </row>
    <row r="21" spans="2:23" ht="11.25" customHeight="1">
      <c r="B21" s="13" t="s">
        <v>532</v>
      </c>
      <c r="C21" s="13" t="s">
        <v>533</v>
      </c>
      <c r="D21" s="83"/>
      <c r="E21" s="504"/>
      <c r="F21" s="504"/>
      <c r="G21" s="504"/>
      <c r="H21" s="504"/>
      <c r="I21" s="504"/>
      <c r="J21" s="504"/>
      <c r="K21" s="504"/>
      <c r="L21" s="504"/>
      <c r="M21" s="504"/>
      <c r="N21" s="504"/>
      <c r="O21" s="504"/>
      <c r="P21" s="504"/>
      <c r="Q21" s="504"/>
      <c r="R21" s="504"/>
      <c r="S21" s="504"/>
      <c r="T21" s="504"/>
      <c r="U21" s="504"/>
      <c r="V21" s="504"/>
      <c r="W21" s="504"/>
    </row>
    <row r="22" spans="2:23" ht="11.25" customHeight="1">
      <c r="B22" s="13" t="s">
        <v>534</v>
      </c>
      <c r="C22" s="13" t="s">
        <v>535</v>
      </c>
      <c r="D22" s="83"/>
      <c r="E22" s="504"/>
      <c r="F22" s="504"/>
      <c r="G22" s="504"/>
      <c r="H22" s="504"/>
      <c r="I22" s="504"/>
      <c r="J22" s="504"/>
      <c r="K22" s="504"/>
      <c r="L22" s="504"/>
      <c r="M22" s="504"/>
      <c r="N22" s="504"/>
      <c r="O22" s="504"/>
      <c r="P22" s="504"/>
      <c r="Q22" s="504"/>
      <c r="R22" s="504"/>
      <c r="S22" s="504"/>
      <c r="T22" s="504"/>
      <c r="U22" s="504"/>
      <c r="V22" s="504"/>
      <c r="W22" s="504"/>
    </row>
    <row r="23" spans="2:23" ht="11.25" customHeight="1">
      <c r="B23" s="13" t="s">
        <v>536</v>
      </c>
      <c r="C23" s="13" t="s">
        <v>537</v>
      </c>
      <c r="D23" s="83"/>
      <c r="E23" s="504"/>
      <c r="F23" s="504"/>
      <c r="G23" s="504"/>
      <c r="H23" s="504"/>
      <c r="I23" s="504"/>
      <c r="J23" s="504"/>
      <c r="K23" s="504"/>
      <c r="L23" s="504"/>
      <c r="M23" s="504"/>
      <c r="N23" s="504"/>
      <c r="O23" s="504"/>
      <c r="P23" s="504"/>
      <c r="Q23" s="504"/>
      <c r="R23" s="504"/>
      <c r="S23" s="504"/>
      <c r="T23" s="504"/>
      <c r="U23" s="504"/>
      <c r="V23" s="504"/>
      <c r="W23" s="504"/>
    </row>
    <row r="24" spans="2:23" ht="11.25" customHeight="1">
      <c r="B24" s="13" t="s">
        <v>538</v>
      </c>
      <c r="C24" s="13" t="s">
        <v>539</v>
      </c>
      <c r="D24" s="83"/>
      <c r="E24" s="504"/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504"/>
      <c r="Q24" s="504"/>
      <c r="R24" s="504"/>
      <c r="S24" s="504"/>
      <c r="T24" s="504"/>
      <c r="U24" s="504"/>
      <c r="V24" s="504"/>
      <c r="W24" s="504"/>
    </row>
    <row r="25" spans="2:23" ht="11.25" customHeight="1">
      <c r="B25" s="13" t="s">
        <v>540</v>
      </c>
      <c r="C25" s="13" t="s">
        <v>541</v>
      </c>
      <c r="D25" s="83"/>
      <c r="E25" s="504"/>
      <c r="F25" s="504"/>
      <c r="G25" s="504"/>
      <c r="H25" s="504"/>
      <c r="I25" s="504"/>
      <c r="J25" s="504"/>
      <c r="K25" s="504"/>
      <c r="L25" s="504"/>
      <c r="M25" s="504"/>
      <c r="N25" s="504"/>
      <c r="O25" s="504"/>
      <c r="P25" s="504"/>
      <c r="Q25" s="504"/>
      <c r="R25" s="504"/>
      <c r="S25" s="504"/>
      <c r="T25" s="504"/>
      <c r="U25" s="504"/>
      <c r="V25" s="504"/>
      <c r="W25" s="504"/>
    </row>
    <row r="26" spans="2:23" ht="11.25" customHeight="1">
      <c r="B26" s="13" t="s">
        <v>542</v>
      </c>
      <c r="C26" s="13" t="s">
        <v>543</v>
      </c>
      <c r="D26" s="83"/>
      <c r="E26" s="504"/>
      <c r="F26" s="504"/>
      <c r="G26" s="504"/>
      <c r="H26" s="504"/>
      <c r="I26" s="504"/>
      <c r="J26" s="504"/>
      <c r="K26" s="504"/>
      <c r="L26" s="504"/>
      <c r="M26" s="504"/>
      <c r="N26" s="504"/>
      <c r="O26" s="504"/>
      <c r="P26" s="504"/>
      <c r="Q26" s="504"/>
      <c r="R26" s="504"/>
      <c r="S26" s="504"/>
      <c r="T26" s="504"/>
      <c r="U26" s="504"/>
      <c r="V26" s="504"/>
      <c r="W26" s="504"/>
    </row>
    <row r="27" spans="2:23" ht="11.25" customHeight="1">
      <c r="B27" s="13" t="s">
        <v>544</v>
      </c>
      <c r="C27" s="13" t="s">
        <v>545</v>
      </c>
      <c r="D27" s="83"/>
      <c r="E27" s="504"/>
      <c r="F27" s="504"/>
      <c r="G27" s="504"/>
      <c r="H27" s="504"/>
      <c r="I27" s="504"/>
      <c r="J27" s="504"/>
      <c r="K27" s="504"/>
      <c r="L27" s="504"/>
      <c r="M27" s="504"/>
      <c r="N27" s="504"/>
      <c r="O27" s="504"/>
      <c r="P27" s="504"/>
      <c r="Q27" s="504"/>
      <c r="R27" s="504"/>
      <c r="S27" s="504"/>
      <c r="T27" s="504"/>
      <c r="U27" s="504"/>
      <c r="V27" s="504"/>
      <c r="W27" s="504"/>
    </row>
    <row r="28" spans="2:23" ht="11.25" customHeight="1">
      <c r="B28" s="13" t="s">
        <v>546</v>
      </c>
      <c r="C28" s="13" t="s">
        <v>547</v>
      </c>
      <c r="D28" s="83"/>
      <c r="E28" s="504"/>
      <c r="F28" s="504"/>
      <c r="G28" s="504"/>
      <c r="H28" s="504"/>
      <c r="I28" s="504"/>
      <c r="J28" s="504"/>
      <c r="K28" s="504"/>
      <c r="L28" s="504"/>
      <c r="M28" s="504"/>
      <c r="N28" s="504"/>
      <c r="O28" s="504"/>
      <c r="P28" s="504"/>
      <c r="Q28" s="504"/>
      <c r="R28" s="504"/>
      <c r="S28" s="504"/>
      <c r="T28" s="504"/>
      <c r="U28" s="504"/>
      <c r="V28" s="504"/>
      <c r="W28" s="504"/>
    </row>
    <row r="29" spans="2:23" ht="11.25" customHeight="1">
      <c r="B29" s="13" t="s">
        <v>548</v>
      </c>
      <c r="C29" s="13" t="s">
        <v>549</v>
      </c>
      <c r="D29" s="83"/>
      <c r="E29" s="504"/>
      <c r="F29" s="504"/>
      <c r="G29" s="504"/>
      <c r="H29" s="504"/>
      <c r="I29" s="504"/>
      <c r="J29" s="504"/>
      <c r="K29" s="504"/>
      <c r="L29" s="504"/>
      <c r="M29" s="504"/>
      <c r="N29" s="504"/>
      <c r="O29" s="504"/>
      <c r="P29" s="504"/>
      <c r="Q29" s="504"/>
      <c r="R29" s="504"/>
      <c r="S29" s="504"/>
      <c r="T29" s="504"/>
      <c r="U29" s="504"/>
      <c r="V29" s="504"/>
      <c r="W29" s="504"/>
    </row>
    <row r="30" spans="2:23" ht="11.25" customHeight="1">
      <c r="B30" s="13" t="s">
        <v>550</v>
      </c>
      <c r="C30" s="13" t="s">
        <v>551</v>
      </c>
      <c r="D30" s="83"/>
      <c r="E30" s="504"/>
      <c r="F30" s="504"/>
      <c r="G30" s="504"/>
      <c r="H30" s="504"/>
      <c r="I30" s="504"/>
      <c r="J30" s="504"/>
      <c r="K30" s="504"/>
      <c r="L30" s="504"/>
      <c r="M30" s="504"/>
      <c r="N30" s="504"/>
      <c r="O30" s="504"/>
      <c r="P30" s="504"/>
      <c r="Q30" s="504"/>
      <c r="R30" s="504"/>
      <c r="S30" s="504"/>
      <c r="T30" s="504"/>
      <c r="U30" s="504"/>
      <c r="V30" s="504"/>
      <c r="W30" s="504"/>
    </row>
    <row r="31" spans="2:23" ht="11.25" customHeight="1">
      <c r="B31" s="13" t="s">
        <v>552</v>
      </c>
      <c r="C31" s="13" t="s">
        <v>553</v>
      </c>
      <c r="D31" s="83"/>
      <c r="E31" s="504"/>
      <c r="F31" s="504"/>
      <c r="G31" s="504"/>
      <c r="H31" s="504"/>
      <c r="I31" s="504"/>
      <c r="J31" s="504"/>
      <c r="K31" s="504"/>
      <c r="L31" s="504"/>
      <c r="M31" s="504"/>
      <c r="N31" s="504"/>
      <c r="O31" s="504"/>
      <c r="P31" s="504"/>
      <c r="Q31" s="504"/>
      <c r="R31" s="504"/>
      <c r="S31" s="504"/>
      <c r="T31" s="504"/>
      <c r="U31" s="504"/>
      <c r="V31" s="504"/>
      <c r="W31" s="504"/>
    </row>
    <row r="32" spans="2:23" ht="11.25" customHeight="1">
      <c r="B32" s="13" t="s">
        <v>554</v>
      </c>
      <c r="C32" s="13" t="s">
        <v>555</v>
      </c>
      <c r="D32" s="83"/>
      <c r="E32" s="504"/>
      <c r="F32" s="504"/>
      <c r="G32" s="504"/>
      <c r="H32" s="504"/>
      <c r="I32" s="504"/>
      <c r="J32" s="504"/>
      <c r="K32" s="504"/>
      <c r="L32" s="504"/>
      <c r="M32" s="504"/>
      <c r="N32" s="504"/>
      <c r="O32" s="504"/>
      <c r="P32" s="504"/>
      <c r="Q32" s="504"/>
      <c r="R32" s="504"/>
      <c r="S32" s="504"/>
      <c r="T32" s="504"/>
      <c r="U32" s="504"/>
      <c r="V32" s="504"/>
      <c r="W32" s="504"/>
    </row>
    <row r="33" spans="2:23" ht="11.25" customHeight="1">
      <c r="B33" s="13" t="s">
        <v>556</v>
      </c>
      <c r="C33" s="13" t="s">
        <v>557</v>
      </c>
      <c r="D33" s="83"/>
      <c r="E33" s="504"/>
      <c r="F33" s="504"/>
      <c r="G33" s="504"/>
      <c r="H33" s="504"/>
      <c r="I33" s="504"/>
      <c r="J33" s="504"/>
      <c r="K33" s="504"/>
      <c r="L33" s="504"/>
      <c r="M33" s="504"/>
      <c r="N33" s="504"/>
      <c r="O33" s="504"/>
      <c r="P33" s="504"/>
      <c r="Q33" s="504"/>
      <c r="R33" s="504"/>
      <c r="S33" s="504"/>
      <c r="T33" s="504"/>
      <c r="U33" s="504"/>
      <c r="V33" s="504"/>
      <c r="W33" s="504"/>
    </row>
    <row r="34" spans="2:23" ht="11.25" customHeight="1">
      <c r="B34" s="13" t="s">
        <v>558</v>
      </c>
      <c r="C34" s="13" t="s">
        <v>559</v>
      </c>
      <c r="D34" s="83"/>
      <c r="E34" s="504"/>
      <c r="F34" s="504"/>
      <c r="G34" s="504"/>
      <c r="H34" s="504"/>
      <c r="I34" s="504"/>
      <c r="J34" s="504"/>
      <c r="K34" s="504"/>
      <c r="L34" s="504"/>
      <c r="M34" s="504"/>
      <c r="N34" s="504"/>
      <c r="O34" s="504"/>
      <c r="P34" s="504"/>
      <c r="Q34" s="504"/>
      <c r="R34" s="504"/>
      <c r="S34" s="504"/>
      <c r="T34" s="504"/>
      <c r="U34" s="504"/>
      <c r="V34" s="504"/>
      <c r="W34" s="504"/>
    </row>
    <row r="35" spans="2:23" ht="11.25" customHeight="1">
      <c r="B35" s="13" t="s">
        <v>560</v>
      </c>
      <c r="C35" s="13" t="s">
        <v>561</v>
      </c>
      <c r="D35" s="83"/>
      <c r="E35" s="504"/>
      <c r="F35" s="504"/>
      <c r="G35" s="504"/>
      <c r="H35" s="504"/>
      <c r="I35" s="504"/>
      <c r="J35" s="504"/>
      <c r="K35" s="504"/>
      <c r="L35" s="504"/>
      <c r="M35" s="504"/>
      <c r="N35" s="504"/>
      <c r="O35" s="504"/>
      <c r="P35" s="504"/>
      <c r="Q35" s="504"/>
      <c r="R35" s="504"/>
      <c r="S35" s="504"/>
      <c r="T35" s="504"/>
      <c r="U35" s="504"/>
      <c r="V35" s="504"/>
      <c r="W35" s="504"/>
    </row>
    <row r="36" spans="2:23" ht="11.25" customHeight="1">
      <c r="B36" s="13" t="s">
        <v>562</v>
      </c>
      <c r="C36" s="13" t="s">
        <v>563</v>
      </c>
      <c r="D36" s="83"/>
      <c r="E36" s="504"/>
      <c r="F36" s="504"/>
      <c r="G36" s="504"/>
      <c r="H36" s="504"/>
      <c r="I36" s="504"/>
      <c r="J36" s="504"/>
      <c r="K36" s="504"/>
      <c r="L36" s="504"/>
      <c r="M36" s="504"/>
      <c r="N36" s="504"/>
      <c r="O36" s="504"/>
      <c r="P36" s="504"/>
      <c r="Q36" s="504"/>
      <c r="R36" s="504"/>
      <c r="S36" s="504"/>
      <c r="T36" s="504"/>
      <c r="U36" s="504"/>
      <c r="V36" s="504"/>
      <c r="W36" s="504"/>
    </row>
    <row r="37" spans="2:23" ht="11.25" customHeight="1">
      <c r="B37" s="13" t="s">
        <v>564</v>
      </c>
      <c r="C37" s="13" t="s">
        <v>565</v>
      </c>
      <c r="D37" s="83"/>
      <c r="E37" s="504"/>
      <c r="F37" s="504"/>
      <c r="G37" s="504"/>
      <c r="H37" s="504"/>
      <c r="I37" s="504"/>
      <c r="J37" s="504"/>
      <c r="K37" s="504"/>
      <c r="L37" s="504"/>
      <c r="M37" s="504"/>
      <c r="N37" s="504"/>
      <c r="O37" s="504"/>
      <c r="P37" s="504"/>
      <c r="Q37" s="504"/>
      <c r="R37" s="504"/>
      <c r="S37" s="504"/>
      <c r="T37" s="504"/>
      <c r="U37" s="504"/>
      <c r="V37" s="504"/>
      <c r="W37" s="504"/>
    </row>
    <row r="38" spans="2:23" ht="11.25" customHeight="1">
      <c r="B38" s="13" t="s">
        <v>566</v>
      </c>
      <c r="C38" s="13" t="s">
        <v>567</v>
      </c>
      <c r="D38" s="83"/>
      <c r="E38" s="504"/>
      <c r="F38" s="504"/>
      <c r="G38" s="504"/>
      <c r="H38" s="504"/>
      <c r="I38" s="504"/>
      <c r="J38" s="504"/>
      <c r="K38" s="504"/>
      <c r="L38" s="504"/>
      <c r="M38" s="504"/>
      <c r="N38" s="504"/>
      <c r="O38" s="504"/>
      <c r="P38" s="504"/>
      <c r="Q38" s="504"/>
      <c r="R38" s="504"/>
      <c r="S38" s="504"/>
      <c r="T38" s="504"/>
      <c r="U38" s="504"/>
      <c r="V38" s="504"/>
      <c r="W38" s="504"/>
    </row>
    <row r="39" spans="2:23" ht="11.25" customHeight="1">
      <c r="B39" s="13" t="s">
        <v>568</v>
      </c>
      <c r="C39" s="13" t="s">
        <v>569</v>
      </c>
      <c r="D39" s="83"/>
      <c r="E39" s="504"/>
      <c r="F39" s="504"/>
      <c r="G39" s="504"/>
      <c r="H39" s="504"/>
      <c r="I39" s="504"/>
      <c r="J39" s="504"/>
      <c r="K39" s="504"/>
      <c r="L39" s="504"/>
      <c r="M39" s="504"/>
      <c r="N39" s="504"/>
      <c r="O39" s="504"/>
      <c r="P39" s="504"/>
      <c r="Q39" s="504"/>
      <c r="R39" s="504"/>
      <c r="S39" s="504"/>
      <c r="T39" s="504"/>
      <c r="U39" s="504"/>
      <c r="V39" s="504"/>
      <c r="W39" s="504"/>
    </row>
    <row r="40" spans="2:23" ht="11.25" customHeight="1">
      <c r="B40" s="13" t="s">
        <v>570</v>
      </c>
      <c r="C40" s="13" t="s">
        <v>571</v>
      </c>
      <c r="D40" s="83"/>
      <c r="E40" s="504"/>
      <c r="F40" s="504"/>
      <c r="G40" s="504"/>
      <c r="H40" s="504"/>
      <c r="I40" s="504"/>
      <c r="J40" s="504"/>
      <c r="K40" s="504"/>
      <c r="L40" s="504"/>
      <c r="M40" s="504"/>
      <c r="N40" s="504"/>
      <c r="O40" s="504"/>
      <c r="P40" s="504"/>
      <c r="Q40" s="504"/>
      <c r="R40" s="504"/>
      <c r="S40" s="504"/>
      <c r="T40" s="504"/>
      <c r="U40" s="504"/>
      <c r="V40" s="504"/>
      <c r="W40" s="504"/>
    </row>
    <row r="41" spans="2:23" ht="11.25" customHeight="1">
      <c r="B41" s="13" t="s">
        <v>572</v>
      </c>
      <c r="C41" s="13" t="s">
        <v>573</v>
      </c>
      <c r="D41" s="83"/>
      <c r="E41" s="504"/>
      <c r="F41" s="504"/>
      <c r="G41" s="504"/>
      <c r="H41" s="504"/>
      <c r="I41" s="504"/>
      <c r="J41" s="504"/>
      <c r="K41" s="504"/>
      <c r="L41" s="504"/>
      <c r="M41" s="504"/>
      <c r="N41" s="504"/>
      <c r="O41" s="504"/>
      <c r="P41" s="504"/>
      <c r="Q41" s="504"/>
      <c r="R41" s="504"/>
      <c r="S41" s="504"/>
      <c r="T41" s="504"/>
      <c r="U41" s="504"/>
      <c r="V41" s="504"/>
      <c r="W41" s="504"/>
    </row>
    <row r="42" spans="2:23" ht="11.25" customHeight="1">
      <c r="B42" s="13" t="s">
        <v>574</v>
      </c>
      <c r="C42" s="13" t="s">
        <v>575</v>
      </c>
      <c r="D42" s="83"/>
      <c r="E42" s="504"/>
      <c r="F42" s="504"/>
      <c r="G42" s="504"/>
      <c r="H42" s="504"/>
      <c r="I42" s="504"/>
      <c r="J42" s="504"/>
      <c r="K42" s="504"/>
      <c r="L42" s="504"/>
      <c r="M42" s="504"/>
      <c r="N42" s="504"/>
      <c r="O42" s="504"/>
      <c r="P42" s="504"/>
      <c r="Q42" s="504"/>
      <c r="R42" s="504"/>
      <c r="S42" s="504"/>
      <c r="T42" s="504"/>
      <c r="U42" s="504"/>
      <c r="V42" s="504"/>
      <c r="W42" s="504"/>
    </row>
    <row r="43" spans="2:23" ht="11.25" customHeight="1">
      <c r="B43" s="13" t="s">
        <v>576</v>
      </c>
      <c r="C43" s="13" t="s">
        <v>577</v>
      </c>
      <c r="D43" s="83"/>
      <c r="E43" s="504"/>
      <c r="F43" s="504"/>
      <c r="G43" s="504"/>
      <c r="H43" s="504"/>
      <c r="I43" s="504"/>
      <c r="J43" s="504"/>
      <c r="K43" s="504"/>
      <c r="L43" s="504"/>
      <c r="M43" s="504"/>
      <c r="N43" s="504"/>
      <c r="O43" s="504"/>
      <c r="P43" s="504"/>
      <c r="Q43" s="504"/>
      <c r="R43" s="504"/>
      <c r="S43" s="504"/>
      <c r="T43" s="504"/>
      <c r="U43" s="504"/>
      <c r="V43" s="504"/>
      <c r="W43" s="504"/>
    </row>
    <row r="44" spans="2:23" ht="11.25" customHeight="1">
      <c r="B44" s="13" t="s">
        <v>578</v>
      </c>
      <c r="C44" s="13" t="s">
        <v>579</v>
      </c>
      <c r="D44" s="83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  <c r="S44" s="504"/>
      <c r="T44" s="504"/>
      <c r="U44" s="504"/>
      <c r="V44" s="504"/>
      <c r="W44" s="504"/>
    </row>
    <row r="45" spans="2:23" ht="11.25" customHeight="1">
      <c r="B45" s="63" t="s">
        <v>580</v>
      </c>
      <c r="C45" s="63" t="s">
        <v>581</v>
      </c>
      <c r="D45" s="83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  <c r="S45" s="504"/>
      <c r="T45" s="504"/>
      <c r="U45" s="504"/>
      <c r="V45" s="504"/>
      <c r="W45" s="504"/>
    </row>
    <row r="46" spans="2:23" ht="11.25" customHeight="1">
      <c r="B46" s="13" t="s">
        <v>582</v>
      </c>
      <c r="C46" s="13" t="s">
        <v>583</v>
      </c>
      <c r="D46" s="83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  <c r="S46" s="504"/>
      <c r="T46" s="504"/>
      <c r="U46" s="504"/>
      <c r="V46" s="504"/>
      <c r="W46" s="504"/>
    </row>
    <row r="47" spans="2:23" ht="11.25" customHeight="1">
      <c r="B47" s="13" t="s">
        <v>584</v>
      </c>
      <c r="C47" s="13" t="s">
        <v>585</v>
      </c>
      <c r="D47" s="83"/>
      <c r="E47" s="504"/>
      <c r="F47" s="504"/>
      <c r="G47" s="504"/>
      <c r="H47" s="504"/>
      <c r="I47" s="504"/>
      <c r="J47" s="504"/>
      <c r="K47" s="504"/>
      <c r="L47" s="504"/>
      <c r="M47" s="504"/>
      <c r="N47" s="504"/>
      <c r="O47" s="504"/>
      <c r="P47" s="504"/>
      <c r="Q47" s="504"/>
      <c r="R47" s="504"/>
      <c r="S47" s="504"/>
      <c r="T47" s="504"/>
      <c r="U47" s="504"/>
      <c r="V47" s="504"/>
      <c r="W47" s="504"/>
    </row>
    <row r="48" spans="2:23" ht="11.25" customHeight="1">
      <c r="B48" s="13" t="s">
        <v>586</v>
      </c>
      <c r="C48" s="13" t="s">
        <v>587</v>
      </c>
      <c r="D48" s="83"/>
      <c r="E48" s="504"/>
      <c r="F48" s="504"/>
      <c r="G48" s="504"/>
      <c r="H48" s="504"/>
      <c r="I48" s="504"/>
      <c r="J48" s="504"/>
      <c r="K48" s="504"/>
      <c r="L48" s="504"/>
      <c r="M48" s="504"/>
      <c r="N48" s="504"/>
      <c r="O48" s="504"/>
      <c r="P48" s="504"/>
      <c r="Q48" s="504"/>
      <c r="R48" s="504"/>
      <c r="S48" s="504"/>
      <c r="T48" s="504"/>
      <c r="U48" s="504"/>
      <c r="V48" s="504"/>
      <c r="W48" s="504"/>
    </row>
    <row r="49" spans="2:23" ht="11.25" customHeight="1">
      <c r="B49" s="13" t="s">
        <v>588</v>
      </c>
      <c r="C49" s="13" t="s">
        <v>589</v>
      </c>
      <c r="D49" s="83"/>
      <c r="E49" s="504"/>
      <c r="F49" s="504"/>
      <c r="G49" s="504"/>
      <c r="H49" s="504"/>
      <c r="I49" s="504"/>
      <c r="J49" s="504"/>
      <c r="K49" s="504"/>
      <c r="L49" s="504"/>
      <c r="M49" s="504"/>
      <c r="N49" s="504"/>
      <c r="O49" s="504"/>
      <c r="P49" s="504"/>
      <c r="Q49" s="504"/>
      <c r="R49" s="504"/>
      <c r="S49" s="504"/>
      <c r="T49" s="504"/>
      <c r="U49" s="504"/>
      <c r="V49" s="504"/>
      <c r="W49" s="504"/>
    </row>
    <row r="50" spans="2:23" ht="11.25" customHeight="1">
      <c r="B50" s="13" t="s">
        <v>590</v>
      </c>
      <c r="C50" s="13" t="s">
        <v>591</v>
      </c>
      <c r="D50" s="83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  <c r="Q50" s="504"/>
      <c r="R50" s="504"/>
      <c r="S50" s="504"/>
      <c r="T50" s="504"/>
      <c r="U50" s="504"/>
      <c r="V50" s="504"/>
      <c r="W50" s="504"/>
    </row>
    <row r="51" spans="2:23" ht="11.25" customHeight="1">
      <c r="B51" s="13" t="s">
        <v>592</v>
      </c>
      <c r="C51" s="13" t="s">
        <v>593</v>
      </c>
      <c r="D51" s="83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  <c r="U51" s="504"/>
      <c r="V51" s="504"/>
      <c r="W51" s="504"/>
    </row>
    <row r="52" spans="2:23" ht="11.25" customHeight="1">
      <c r="B52" s="13" t="s">
        <v>594</v>
      </c>
      <c r="C52" s="13" t="s">
        <v>595</v>
      </c>
      <c r="D52" s="83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W52" s="504"/>
    </row>
    <row r="53" spans="2:23" ht="11.25" customHeight="1">
      <c r="B53" s="13" t="s">
        <v>596</v>
      </c>
      <c r="C53" s="13" t="s">
        <v>597</v>
      </c>
      <c r="D53" s="83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W53" s="504"/>
    </row>
    <row r="54" spans="2:23" ht="11.25" customHeight="1">
      <c r="B54" s="13" t="s">
        <v>598</v>
      </c>
      <c r="C54" s="13" t="s">
        <v>599</v>
      </c>
      <c r="D54" s="83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W54" s="504"/>
    </row>
    <row r="55" spans="2:23" ht="11.25" customHeight="1">
      <c r="B55" s="13" t="s">
        <v>600</v>
      </c>
      <c r="C55" s="13" t="s">
        <v>600</v>
      </c>
      <c r="D55" s="83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W55" s="504"/>
    </row>
    <row r="56" spans="2:23" ht="11.25" customHeight="1">
      <c r="B56" s="13" t="s">
        <v>601</v>
      </c>
      <c r="C56" s="13" t="s">
        <v>602</v>
      </c>
      <c r="D56" s="83"/>
      <c r="E56" s="504"/>
      <c r="F56" s="504"/>
      <c r="G56" s="504"/>
      <c r="H56" s="504"/>
      <c r="I56" s="504"/>
      <c r="J56" s="504"/>
      <c r="K56" s="504"/>
      <c r="L56" s="504"/>
      <c r="M56" s="504"/>
      <c r="N56" s="504"/>
      <c r="O56" s="504"/>
      <c r="P56" s="504"/>
      <c r="Q56" s="504"/>
      <c r="R56" s="504"/>
      <c r="S56" s="504"/>
      <c r="T56" s="504"/>
      <c r="U56" s="504"/>
      <c r="V56" s="504"/>
      <c r="W56" s="504"/>
    </row>
    <row r="57" spans="2:23" ht="11.25" customHeight="1">
      <c r="B57" s="13" t="s">
        <v>603</v>
      </c>
      <c r="C57" s="13" t="s">
        <v>604</v>
      </c>
      <c r="D57" s="83"/>
      <c r="E57" s="504"/>
      <c r="F57" s="504"/>
      <c r="G57" s="504"/>
      <c r="H57" s="504"/>
      <c r="I57" s="504"/>
      <c r="J57" s="504"/>
      <c r="K57" s="504"/>
      <c r="L57" s="504"/>
      <c r="M57" s="504"/>
      <c r="N57" s="504"/>
      <c r="O57" s="504"/>
      <c r="P57" s="504"/>
      <c r="Q57" s="504"/>
      <c r="R57" s="504"/>
      <c r="S57" s="504"/>
      <c r="T57" s="504"/>
      <c r="U57" s="504"/>
      <c r="V57" s="504"/>
      <c r="W57" s="504"/>
    </row>
    <row r="58" spans="2:23" ht="11.25" customHeight="1">
      <c r="B58" s="13" t="s">
        <v>605</v>
      </c>
      <c r="C58" s="13" t="s">
        <v>606</v>
      </c>
      <c r="D58" s="83"/>
      <c r="E58" s="504"/>
      <c r="F58" s="504"/>
      <c r="G58" s="504"/>
      <c r="H58" s="504"/>
      <c r="I58" s="504"/>
      <c r="J58" s="504"/>
      <c r="K58" s="504"/>
      <c r="L58" s="504"/>
      <c r="M58" s="504"/>
      <c r="N58" s="504"/>
      <c r="O58" s="504"/>
      <c r="P58" s="504"/>
      <c r="Q58" s="504"/>
      <c r="R58" s="504"/>
      <c r="S58" s="504"/>
      <c r="T58" s="504"/>
      <c r="U58" s="504"/>
      <c r="V58" s="504"/>
      <c r="W58" s="504"/>
    </row>
    <row r="59" spans="2:23" ht="11.25" customHeight="1">
      <c r="B59" s="13" t="s">
        <v>607</v>
      </c>
      <c r="C59" s="13" t="s">
        <v>608</v>
      </c>
      <c r="D59" s="83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504"/>
      <c r="Q59" s="504"/>
      <c r="R59" s="504"/>
      <c r="S59" s="504"/>
      <c r="T59" s="504"/>
      <c r="U59" s="504"/>
      <c r="V59" s="504"/>
      <c r="W59" s="504"/>
    </row>
    <row r="60" spans="2:23" ht="11.25" customHeight="1">
      <c r="B60" s="13" t="s">
        <v>609</v>
      </c>
      <c r="C60" s="13" t="s">
        <v>610</v>
      </c>
      <c r="D60" s="83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  <c r="U60" s="504"/>
      <c r="V60" s="504"/>
      <c r="W60" s="504"/>
    </row>
    <row r="61" spans="2:23" ht="11.25" customHeight="1">
      <c r="B61" s="13" t="s">
        <v>611</v>
      </c>
      <c r="C61" s="13" t="s">
        <v>612</v>
      </c>
      <c r="D61" s="83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504"/>
      <c r="T61" s="504"/>
      <c r="U61" s="504"/>
      <c r="V61" s="504"/>
      <c r="W61" s="504"/>
    </row>
    <row r="62" spans="2:23" ht="11.25" customHeight="1">
      <c r="B62" s="13" t="s">
        <v>613</v>
      </c>
      <c r="C62" s="13" t="s">
        <v>614</v>
      </c>
      <c r="D62" s="83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504"/>
      <c r="T62" s="504"/>
      <c r="U62" s="504"/>
      <c r="V62" s="504"/>
      <c r="W62" s="504"/>
    </row>
    <row r="63" spans="2:23" ht="11.25" customHeight="1">
      <c r="B63" s="13" t="s">
        <v>615</v>
      </c>
      <c r="C63" s="13" t="s">
        <v>616</v>
      </c>
      <c r="D63" s="83"/>
      <c r="E63" s="504"/>
      <c r="F63" s="504"/>
      <c r="G63" s="504"/>
      <c r="H63" s="504"/>
      <c r="I63" s="504"/>
      <c r="J63" s="504"/>
      <c r="K63" s="504"/>
      <c r="L63" s="504"/>
      <c r="M63" s="504"/>
      <c r="N63" s="504"/>
      <c r="O63" s="504"/>
      <c r="P63" s="504"/>
      <c r="Q63" s="504"/>
      <c r="R63" s="504"/>
      <c r="S63" s="504"/>
      <c r="T63" s="504"/>
      <c r="U63" s="504"/>
      <c r="V63" s="504"/>
      <c r="W63" s="504"/>
    </row>
    <row r="64" spans="2:23" ht="11.25" customHeight="1">
      <c r="B64" s="109" t="s">
        <v>617</v>
      </c>
      <c r="C64" s="13" t="s">
        <v>618</v>
      </c>
      <c r="D64" s="83"/>
      <c r="E64" s="504"/>
      <c r="F64" s="504"/>
      <c r="G64" s="504"/>
      <c r="H64" s="504"/>
      <c r="I64" s="504"/>
      <c r="J64" s="504"/>
      <c r="K64" s="504"/>
      <c r="L64" s="504"/>
      <c r="M64" s="504"/>
      <c r="N64" s="504"/>
      <c r="O64" s="504"/>
      <c r="P64" s="504"/>
      <c r="Q64" s="504"/>
      <c r="R64" s="504"/>
      <c r="S64" s="504"/>
      <c r="T64" s="504"/>
      <c r="U64" s="504"/>
      <c r="V64" s="504"/>
      <c r="W64" s="504"/>
    </row>
    <row r="65" spans="2:23" ht="11.25" customHeight="1">
      <c r="B65" s="109" t="s">
        <v>619</v>
      </c>
      <c r="C65" s="13" t="s">
        <v>620</v>
      </c>
      <c r="D65" s="83"/>
      <c r="E65" s="504"/>
      <c r="F65" s="504"/>
      <c r="G65" s="504"/>
      <c r="H65" s="504"/>
      <c r="I65" s="504"/>
      <c r="J65" s="504"/>
      <c r="K65" s="504"/>
      <c r="L65" s="504"/>
      <c r="M65" s="504"/>
      <c r="N65" s="504"/>
      <c r="O65" s="504"/>
      <c r="P65" s="504"/>
      <c r="Q65" s="504"/>
      <c r="R65" s="504"/>
      <c r="S65" s="504"/>
      <c r="T65" s="504"/>
      <c r="U65" s="504"/>
      <c r="V65" s="504"/>
      <c r="W65" s="504"/>
    </row>
    <row r="66" spans="2:23" ht="11.25" customHeight="1">
      <c r="B66" s="13" t="s">
        <v>621</v>
      </c>
      <c r="C66" s="13" t="s">
        <v>622</v>
      </c>
      <c r="D66" s="83"/>
      <c r="E66" s="504"/>
      <c r="F66" s="504"/>
      <c r="G66" s="504"/>
      <c r="H66" s="504"/>
      <c r="I66" s="504"/>
      <c r="J66" s="504"/>
      <c r="K66" s="504"/>
      <c r="L66" s="504"/>
      <c r="M66" s="504"/>
      <c r="N66" s="504"/>
      <c r="O66" s="504"/>
      <c r="P66" s="504"/>
      <c r="Q66" s="504"/>
      <c r="R66" s="504"/>
      <c r="S66" s="504"/>
      <c r="T66" s="504"/>
      <c r="U66" s="504"/>
      <c r="V66" s="504"/>
      <c r="W66" s="504"/>
    </row>
    <row r="67" spans="2:23" ht="11.25" customHeight="1">
      <c r="B67" s="13" t="s">
        <v>623</v>
      </c>
      <c r="C67" s="13" t="s">
        <v>624</v>
      </c>
      <c r="D67" s="83"/>
      <c r="E67" s="504"/>
      <c r="F67" s="504"/>
      <c r="G67" s="504"/>
      <c r="H67" s="504"/>
      <c r="I67" s="504"/>
      <c r="J67" s="504"/>
      <c r="K67" s="504"/>
      <c r="L67" s="504"/>
      <c r="M67" s="504"/>
      <c r="N67" s="504"/>
      <c r="O67" s="504"/>
      <c r="P67" s="504"/>
      <c r="Q67" s="504"/>
      <c r="R67" s="504"/>
      <c r="S67" s="504"/>
      <c r="T67" s="504"/>
      <c r="U67" s="504"/>
      <c r="V67" s="504"/>
      <c r="W67" s="504"/>
    </row>
    <row r="68" spans="2:23" ht="11.25" customHeight="1">
      <c r="B68" s="13" t="s">
        <v>61</v>
      </c>
      <c r="C68" s="13" t="s">
        <v>625</v>
      </c>
      <c r="D68" s="83"/>
      <c r="E68" s="504"/>
      <c r="F68" s="504"/>
      <c r="G68" s="504"/>
      <c r="H68" s="504"/>
      <c r="I68" s="504"/>
      <c r="J68" s="504"/>
      <c r="K68" s="504"/>
      <c r="L68" s="504"/>
      <c r="M68" s="504"/>
      <c r="N68" s="504"/>
      <c r="O68" s="504"/>
      <c r="P68" s="504"/>
      <c r="Q68" s="504"/>
      <c r="R68" s="504"/>
      <c r="S68" s="504"/>
      <c r="T68" s="504"/>
      <c r="U68" s="504"/>
      <c r="V68" s="504"/>
      <c r="W68" s="504"/>
    </row>
    <row r="69" spans="2:23" ht="11.25" customHeight="1">
      <c r="B69" s="13" t="s">
        <v>626</v>
      </c>
      <c r="C69" s="13" t="s">
        <v>627</v>
      </c>
      <c r="D69" s="83"/>
      <c r="E69" s="504"/>
      <c r="F69" s="504"/>
      <c r="G69" s="504"/>
      <c r="H69" s="504"/>
      <c r="I69" s="504"/>
      <c r="J69" s="504"/>
      <c r="K69" s="504"/>
      <c r="L69" s="504"/>
      <c r="M69" s="504"/>
      <c r="N69" s="504"/>
      <c r="O69" s="504"/>
      <c r="P69" s="504"/>
      <c r="Q69" s="504"/>
      <c r="R69" s="504"/>
      <c r="S69" s="504"/>
      <c r="T69" s="504"/>
      <c r="U69" s="504"/>
      <c r="V69" s="504"/>
      <c r="W69" s="504"/>
    </row>
    <row r="70" spans="2:23" ht="11.25" customHeight="1">
      <c r="B70" s="13" t="s">
        <v>628</v>
      </c>
      <c r="C70" s="13" t="s">
        <v>629</v>
      </c>
      <c r="D70" s="83"/>
      <c r="E70" s="504"/>
      <c r="F70" s="504"/>
      <c r="G70" s="504"/>
      <c r="H70" s="504"/>
      <c r="I70" s="504"/>
      <c r="J70" s="504"/>
      <c r="K70" s="504"/>
      <c r="L70" s="504"/>
      <c r="M70" s="504"/>
      <c r="N70" s="504"/>
      <c r="O70" s="504"/>
      <c r="P70" s="504"/>
      <c r="Q70" s="504"/>
      <c r="R70" s="504"/>
      <c r="S70" s="504"/>
      <c r="T70" s="504"/>
      <c r="U70" s="504"/>
      <c r="V70" s="504"/>
      <c r="W70" s="504"/>
    </row>
    <row r="71" spans="2:23" ht="11.25" customHeight="1">
      <c r="B71" s="13" t="s">
        <v>630</v>
      </c>
      <c r="C71" s="13" t="s">
        <v>631</v>
      </c>
      <c r="D71" s="83"/>
      <c r="E71" s="504"/>
      <c r="F71" s="504"/>
      <c r="G71" s="504"/>
      <c r="H71" s="504"/>
      <c r="I71" s="504"/>
      <c r="J71" s="504"/>
      <c r="K71" s="504"/>
      <c r="L71" s="504"/>
      <c r="M71" s="504"/>
      <c r="N71" s="504"/>
      <c r="O71" s="504"/>
      <c r="P71" s="504"/>
      <c r="Q71" s="504"/>
      <c r="R71" s="504"/>
      <c r="S71" s="504"/>
      <c r="T71" s="504"/>
      <c r="U71" s="504"/>
      <c r="V71" s="504"/>
      <c r="W71" s="504"/>
    </row>
    <row r="72" spans="2:23" ht="11.25" customHeight="1">
      <c r="B72" s="13" t="s">
        <v>632</v>
      </c>
      <c r="C72" s="13" t="s">
        <v>633</v>
      </c>
      <c r="D72" s="83"/>
      <c r="E72" s="504"/>
      <c r="F72" s="504"/>
      <c r="G72" s="504"/>
      <c r="H72" s="504"/>
      <c r="I72" s="504"/>
      <c r="J72" s="504"/>
      <c r="K72" s="504"/>
      <c r="L72" s="504"/>
      <c r="M72" s="504"/>
      <c r="N72" s="504"/>
      <c r="O72" s="504"/>
      <c r="P72" s="504"/>
      <c r="Q72" s="504"/>
      <c r="R72" s="504"/>
      <c r="S72" s="504"/>
      <c r="T72" s="504"/>
      <c r="U72" s="504"/>
      <c r="V72" s="504"/>
      <c r="W72" s="504"/>
    </row>
    <row r="73" spans="2:23" ht="11.25" customHeight="1">
      <c r="B73" s="13" t="s">
        <v>634</v>
      </c>
      <c r="C73" s="13" t="s">
        <v>635</v>
      </c>
      <c r="D73" s="83"/>
      <c r="E73" s="504"/>
      <c r="F73" s="504"/>
      <c r="G73" s="504"/>
      <c r="H73" s="504"/>
      <c r="I73" s="504"/>
      <c r="J73" s="504"/>
      <c r="K73" s="504"/>
      <c r="L73" s="504"/>
      <c r="M73" s="504"/>
      <c r="N73" s="504"/>
      <c r="O73" s="504"/>
      <c r="P73" s="504"/>
      <c r="Q73" s="504"/>
      <c r="R73" s="504"/>
      <c r="S73" s="504"/>
      <c r="T73" s="504"/>
      <c r="U73" s="504"/>
      <c r="V73" s="504"/>
      <c r="W73" s="504"/>
    </row>
    <row r="74" spans="2:23" ht="11.25" customHeight="1">
      <c r="B74" s="13" t="s">
        <v>636</v>
      </c>
      <c r="C74" s="13" t="s">
        <v>637</v>
      </c>
      <c r="D74" s="83"/>
      <c r="E74" s="504"/>
      <c r="F74" s="504"/>
      <c r="G74" s="504"/>
      <c r="H74" s="504"/>
      <c r="I74" s="504"/>
      <c r="J74" s="504"/>
      <c r="K74" s="504"/>
      <c r="L74" s="504"/>
      <c r="M74" s="504"/>
      <c r="N74" s="504"/>
      <c r="O74" s="504"/>
      <c r="P74" s="504"/>
      <c r="Q74" s="504"/>
      <c r="R74" s="504"/>
      <c r="S74" s="504"/>
      <c r="T74" s="504"/>
      <c r="U74" s="504"/>
      <c r="V74" s="504"/>
      <c r="W74" s="504"/>
    </row>
    <row r="75" spans="2:23" ht="11.25" customHeight="1">
      <c r="B75" s="13" t="s">
        <v>638</v>
      </c>
      <c r="C75" s="13" t="s">
        <v>390</v>
      </c>
      <c r="D75" s="83"/>
      <c r="E75" s="504"/>
      <c r="F75" s="504"/>
      <c r="G75" s="504"/>
      <c r="H75" s="504"/>
      <c r="I75" s="504"/>
      <c r="J75" s="504"/>
      <c r="K75" s="504"/>
      <c r="L75" s="504"/>
      <c r="M75" s="504"/>
      <c r="N75" s="504"/>
      <c r="O75" s="504"/>
      <c r="P75" s="504"/>
      <c r="Q75" s="504"/>
      <c r="R75" s="504"/>
      <c r="S75" s="504"/>
      <c r="T75" s="504"/>
      <c r="U75" s="504"/>
      <c r="V75" s="504"/>
      <c r="W75" s="504"/>
    </row>
    <row r="76" spans="2:23" ht="11.25" customHeight="1">
      <c r="B76" s="13" t="s">
        <v>639</v>
      </c>
      <c r="C76" s="13" t="s">
        <v>640</v>
      </c>
      <c r="D76" s="83"/>
      <c r="E76" s="504"/>
      <c r="F76" s="504"/>
      <c r="G76" s="504"/>
      <c r="H76" s="504"/>
      <c r="I76" s="504"/>
      <c r="J76" s="504"/>
      <c r="K76" s="504"/>
      <c r="L76" s="504"/>
      <c r="M76" s="504"/>
      <c r="N76" s="504"/>
      <c r="O76" s="504"/>
      <c r="P76" s="504"/>
      <c r="Q76" s="504"/>
      <c r="R76" s="504"/>
      <c r="S76" s="504"/>
      <c r="T76" s="504"/>
      <c r="U76" s="504"/>
      <c r="V76" s="504"/>
      <c r="W76" s="504"/>
    </row>
    <row r="77" spans="2:23" ht="11.25" customHeight="1">
      <c r="B77" s="2" t="s">
        <v>641</v>
      </c>
      <c r="C77" s="2" t="s">
        <v>642</v>
      </c>
      <c r="D77" s="83"/>
      <c r="E77" s="504"/>
      <c r="F77" s="504"/>
      <c r="G77" s="504"/>
      <c r="H77" s="504"/>
      <c r="I77" s="504"/>
      <c r="J77" s="504"/>
      <c r="K77" s="504"/>
      <c r="L77" s="504"/>
      <c r="M77" s="504"/>
      <c r="N77" s="504"/>
      <c r="O77" s="504"/>
      <c r="P77" s="504"/>
      <c r="Q77" s="504"/>
      <c r="R77" s="504"/>
      <c r="S77" s="504"/>
      <c r="T77" s="504"/>
      <c r="U77" s="504"/>
      <c r="V77" s="504"/>
      <c r="W77" s="504"/>
    </row>
    <row r="78" spans="2:23" ht="11.25" customHeight="1">
      <c r="B78" s="504"/>
      <c r="C78" s="504"/>
      <c r="D78" s="83"/>
      <c r="E78" s="504"/>
      <c r="F78" s="504"/>
      <c r="G78" s="504"/>
      <c r="H78" s="504"/>
      <c r="I78" s="504"/>
      <c r="J78" s="504"/>
      <c r="K78" s="504"/>
      <c r="L78" s="504"/>
      <c r="M78" s="504"/>
      <c r="N78" s="504"/>
      <c r="O78" s="504"/>
      <c r="P78" s="504"/>
      <c r="Q78" s="504"/>
      <c r="R78" s="504"/>
      <c r="S78" s="504"/>
      <c r="T78" s="504"/>
      <c r="U78" s="504"/>
      <c r="V78" s="504"/>
      <c r="W78" s="504"/>
    </row>
    <row r="79" spans="2:23" ht="11.25" customHeight="1">
      <c r="B79" s="504"/>
      <c r="C79" s="504"/>
      <c r="D79" s="83"/>
      <c r="E79" s="504"/>
      <c r="F79" s="504"/>
      <c r="G79" s="504"/>
      <c r="H79" s="504"/>
      <c r="I79" s="504"/>
      <c r="J79" s="504"/>
      <c r="K79" s="504"/>
      <c r="L79" s="504"/>
      <c r="M79" s="504"/>
      <c r="N79" s="504"/>
      <c r="O79" s="504"/>
      <c r="P79" s="504"/>
      <c r="Q79" s="504"/>
      <c r="R79" s="504"/>
      <c r="S79" s="504"/>
      <c r="T79" s="504"/>
      <c r="U79" s="504"/>
      <c r="V79" s="504"/>
      <c r="W79" s="504"/>
    </row>
    <row r="80" spans="2:23" ht="11.25" customHeight="1">
      <c r="B80" s="504"/>
      <c r="C80" s="504"/>
      <c r="D80" s="83"/>
      <c r="E80" s="504"/>
      <c r="F80" s="504"/>
      <c r="G80" s="504"/>
      <c r="H80" s="504"/>
      <c r="I80" s="504"/>
      <c r="J80" s="504"/>
      <c r="K80" s="504"/>
      <c r="L80" s="504"/>
      <c r="M80" s="504"/>
      <c r="N80" s="504"/>
      <c r="O80" s="504"/>
      <c r="P80" s="504"/>
      <c r="Q80" s="504"/>
      <c r="R80" s="504"/>
      <c r="S80" s="504"/>
      <c r="T80" s="504"/>
      <c r="U80" s="504"/>
      <c r="V80" s="504"/>
      <c r="W80" s="504"/>
    </row>
    <row r="81" spans="2:23" ht="11.25" customHeight="1">
      <c r="B81" s="504"/>
      <c r="C81" s="504"/>
      <c r="D81" s="83"/>
      <c r="E81" s="504"/>
      <c r="F81" s="504"/>
      <c r="G81" s="504"/>
      <c r="H81" s="504"/>
      <c r="I81" s="504"/>
      <c r="J81" s="504"/>
      <c r="K81" s="504"/>
      <c r="L81" s="504"/>
      <c r="M81" s="504"/>
      <c r="N81" s="504"/>
      <c r="O81" s="504"/>
      <c r="P81" s="504"/>
      <c r="Q81" s="504"/>
      <c r="R81" s="504"/>
      <c r="S81" s="504"/>
      <c r="T81" s="504"/>
      <c r="U81" s="504"/>
      <c r="V81" s="504"/>
      <c r="W81" s="504"/>
    </row>
    <row r="82" spans="2:23" ht="11.25" customHeight="1">
      <c r="B82" s="504"/>
      <c r="C82" s="504"/>
      <c r="D82" s="83"/>
      <c r="E82" s="504"/>
      <c r="F82" s="504"/>
      <c r="G82" s="504"/>
      <c r="H82" s="504"/>
      <c r="I82" s="504"/>
      <c r="J82" s="504"/>
      <c r="K82" s="504"/>
      <c r="L82" s="504"/>
      <c r="M82" s="504"/>
      <c r="N82" s="504"/>
      <c r="O82" s="504"/>
      <c r="P82" s="504"/>
      <c r="Q82" s="504"/>
      <c r="R82" s="504"/>
      <c r="S82" s="504"/>
      <c r="T82" s="504"/>
      <c r="U82" s="504"/>
      <c r="V82" s="504"/>
      <c r="W82" s="504"/>
    </row>
    <row r="83" spans="2:23" ht="11.25" customHeight="1">
      <c r="B83" s="504"/>
      <c r="C83" s="504"/>
      <c r="D83" s="83"/>
      <c r="E83" s="504"/>
      <c r="F83" s="504"/>
      <c r="G83" s="504"/>
      <c r="H83" s="504"/>
      <c r="I83" s="504"/>
      <c r="J83" s="504"/>
      <c r="K83" s="504"/>
      <c r="L83" s="504"/>
      <c r="M83" s="504"/>
      <c r="N83" s="504"/>
      <c r="O83" s="504"/>
      <c r="P83" s="504"/>
      <c r="Q83" s="504"/>
      <c r="R83" s="504"/>
      <c r="S83" s="504"/>
      <c r="T83" s="504"/>
      <c r="U83" s="504"/>
      <c r="V83" s="504"/>
      <c r="W83" s="504"/>
    </row>
    <row r="84" spans="2:23" ht="11.25" customHeight="1">
      <c r="B84" s="504"/>
      <c r="C84" s="504"/>
      <c r="D84" s="83"/>
      <c r="E84" s="504"/>
      <c r="F84" s="504"/>
      <c r="G84" s="504"/>
      <c r="H84" s="504"/>
      <c r="I84" s="504"/>
      <c r="J84" s="504"/>
      <c r="K84" s="504"/>
      <c r="L84" s="504"/>
      <c r="M84" s="504"/>
      <c r="N84" s="504"/>
      <c r="O84" s="504"/>
      <c r="P84" s="504"/>
      <c r="Q84" s="504"/>
      <c r="R84" s="504"/>
      <c r="S84" s="504"/>
      <c r="T84" s="504"/>
      <c r="U84" s="504"/>
      <c r="V84" s="504"/>
      <c r="W84" s="504"/>
    </row>
    <row r="85" spans="2:23" ht="11.25" customHeight="1">
      <c r="B85" s="504"/>
      <c r="C85" s="504"/>
      <c r="D85" s="83"/>
      <c r="E85" s="504"/>
      <c r="F85" s="504"/>
      <c r="G85" s="504"/>
      <c r="H85" s="504"/>
      <c r="I85" s="504"/>
      <c r="J85" s="504"/>
      <c r="K85" s="504"/>
      <c r="L85" s="504"/>
      <c r="M85" s="504"/>
      <c r="N85" s="504"/>
      <c r="O85" s="504"/>
      <c r="P85" s="504"/>
      <c r="Q85" s="504"/>
      <c r="R85" s="504"/>
      <c r="S85" s="504"/>
      <c r="T85" s="504"/>
      <c r="U85" s="504"/>
      <c r="V85" s="504"/>
      <c r="W85" s="504"/>
    </row>
    <row r="86" spans="2:23" ht="11.25" customHeight="1">
      <c r="B86" s="504"/>
      <c r="C86" s="504"/>
      <c r="D86" s="83"/>
      <c r="E86" s="504"/>
      <c r="F86" s="504"/>
      <c r="G86" s="504"/>
      <c r="H86" s="504"/>
      <c r="I86" s="504"/>
      <c r="J86" s="504"/>
      <c r="K86" s="504"/>
      <c r="L86" s="504"/>
      <c r="M86" s="504"/>
      <c r="N86" s="504"/>
      <c r="O86" s="504"/>
      <c r="P86" s="504"/>
      <c r="Q86" s="504"/>
      <c r="R86" s="504"/>
      <c r="S86" s="504"/>
      <c r="T86" s="504"/>
      <c r="U86" s="504"/>
      <c r="V86" s="504"/>
      <c r="W86" s="504"/>
    </row>
    <row r="87" spans="2:23" ht="11.25" customHeight="1">
      <c r="B87" s="504"/>
      <c r="C87" s="504"/>
      <c r="D87" s="83"/>
      <c r="E87" s="504"/>
      <c r="F87" s="504"/>
      <c r="G87" s="504"/>
      <c r="H87" s="504"/>
      <c r="I87" s="504"/>
      <c r="J87" s="504"/>
      <c r="K87" s="504"/>
      <c r="L87" s="504"/>
      <c r="M87" s="504"/>
      <c r="N87" s="504"/>
      <c r="O87" s="504"/>
      <c r="P87" s="504"/>
      <c r="Q87" s="504"/>
      <c r="R87" s="504"/>
      <c r="S87" s="504"/>
      <c r="T87" s="504"/>
      <c r="U87" s="504"/>
      <c r="V87" s="504"/>
      <c r="W87" s="504"/>
    </row>
    <row r="88" spans="2:23" ht="11.25" customHeight="1">
      <c r="B88" s="504"/>
      <c r="C88" s="504"/>
      <c r="D88" s="83"/>
      <c r="E88" s="504"/>
      <c r="F88" s="504"/>
      <c r="G88" s="504"/>
      <c r="H88" s="504"/>
      <c r="I88" s="504"/>
      <c r="J88" s="504"/>
      <c r="K88" s="504"/>
      <c r="L88" s="504"/>
      <c r="M88" s="504"/>
      <c r="N88" s="504"/>
      <c r="O88" s="504"/>
      <c r="P88" s="504"/>
      <c r="Q88" s="504"/>
      <c r="R88" s="504"/>
      <c r="S88" s="504"/>
      <c r="T88" s="504"/>
      <c r="U88" s="504"/>
      <c r="V88" s="504"/>
      <c r="W88" s="504"/>
    </row>
    <row r="89" spans="2:23" ht="11.25" customHeight="1">
      <c r="B89" s="504"/>
      <c r="C89" s="504"/>
      <c r="D89" s="83"/>
      <c r="E89" s="504"/>
      <c r="F89" s="504"/>
      <c r="G89" s="504"/>
      <c r="H89" s="504"/>
      <c r="I89" s="504"/>
      <c r="J89" s="504"/>
      <c r="K89" s="504"/>
      <c r="L89" s="504"/>
      <c r="M89" s="504"/>
      <c r="N89" s="504"/>
      <c r="O89" s="504"/>
      <c r="P89" s="504"/>
      <c r="Q89" s="504"/>
      <c r="R89" s="504"/>
      <c r="S89" s="504"/>
      <c r="T89" s="504"/>
      <c r="U89" s="504"/>
      <c r="V89" s="504"/>
      <c r="W89" s="504"/>
    </row>
    <row r="90" spans="2:23" ht="11.25" customHeight="1">
      <c r="B90" s="504"/>
      <c r="C90" s="504"/>
      <c r="D90" s="83"/>
      <c r="E90" s="504"/>
      <c r="F90" s="504"/>
      <c r="G90" s="504"/>
      <c r="H90" s="504"/>
      <c r="I90" s="504"/>
      <c r="J90" s="504"/>
      <c r="K90" s="504"/>
      <c r="L90" s="504"/>
      <c r="M90" s="504"/>
      <c r="N90" s="504"/>
      <c r="O90" s="504"/>
      <c r="P90" s="504"/>
      <c r="Q90" s="504"/>
      <c r="R90" s="504"/>
      <c r="S90" s="504"/>
      <c r="T90" s="504"/>
      <c r="U90" s="504"/>
      <c r="V90" s="504"/>
      <c r="W90" s="504"/>
    </row>
    <row r="91" spans="2:23" ht="11.25" customHeight="1">
      <c r="B91" s="504"/>
      <c r="C91" s="504"/>
      <c r="D91" s="83"/>
      <c r="E91" s="504"/>
      <c r="F91" s="504"/>
      <c r="G91" s="504"/>
      <c r="H91" s="504"/>
      <c r="I91" s="504"/>
      <c r="J91" s="504"/>
      <c r="K91" s="504"/>
      <c r="L91" s="504"/>
      <c r="M91" s="504"/>
      <c r="N91" s="504"/>
      <c r="O91" s="504"/>
      <c r="P91" s="504"/>
      <c r="Q91" s="504"/>
      <c r="R91" s="504"/>
      <c r="S91" s="504"/>
      <c r="T91" s="504"/>
      <c r="U91" s="504"/>
      <c r="V91" s="504"/>
      <c r="W91" s="504"/>
    </row>
    <row r="92" spans="2:23" ht="11.25" customHeight="1">
      <c r="B92" s="504"/>
      <c r="C92" s="504"/>
      <c r="D92" s="83"/>
      <c r="E92" s="504"/>
      <c r="F92" s="504"/>
      <c r="G92" s="504"/>
      <c r="H92" s="504"/>
      <c r="I92" s="504"/>
      <c r="J92" s="504"/>
      <c r="K92" s="504"/>
      <c r="L92" s="504"/>
      <c r="M92" s="504"/>
      <c r="N92" s="504"/>
      <c r="O92" s="504"/>
      <c r="P92" s="504"/>
      <c r="Q92" s="504"/>
      <c r="R92" s="504"/>
      <c r="S92" s="504"/>
      <c r="T92" s="504"/>
      <c r="U92" s="504"/>
      <c r="V92" s="504"/>
      <c r="W92" s="504"/>
    </row>
    <row r="93" spans="2:23" ht="11.25" customHeight="1">
      <c r="B93" s="504"/>
      <c r="C93" s="504"/>
      <c r="D93" s="83"/>
      <c r="E93" s="504"/>
      <c r="F93" s="504"/>
      <c r="G93" s="504"/>
      <c r="H93" s="504"/>
      <c r="I93" s="504"/>
      <c r="J93" s="504"/>
      <c r="K93" s="504"/>
      <c r="L93" s="504"/>
      <c r="M93" s="504"/>
      <c r="N93" s="504"/>
      <c r="O93" s="504"/>
      <c r="P93" s="504"/>
      <c r="Q93" s="504"/>
      <c r="R93" s="504"/>
      <c r="S93" s="504"/>
      <c r="T93" s="504"/>
      <c r="U93" s="504"/>
      <c r="V93" s="504"/>
      <c r="W93" s="504"/>
    </row>
    <row r="94" spans="2:23" ht="11.25" customHeight="1">
      <c r="B94" s="504"/>
      <c r="C94" s="504"/>
      <c r="D94" s="83"/>
      <c r="E94" s="504"/>
      <c r="F94" s="504"/>
      <c r="G94" s="504"/>
      <c r="H94" s="504"/>
      <c r="I94" s="504"/>
      <c r="J94" s="504"/>
      <c r="K94" s="504"/>
      <c r="L94" s="504"/>
      <c r="M94" s="504"/>
      <c r="N94" s="504"/>
      <c r="O94" s="504"/>
      <c r="P94" s="504"/>
      <c r="Q94" s="504"/>
      <c r="R94" s="504"/>
      <c r="S94" s="504"/>
      <c r="T94" s="504"/>
      <c r="U94" s="504"/>
      <c r="V94" s="504"/>
      <c r="W94" s="504"/>
    </row>
    <row r="95" spans="2:23" ht="11.25" customHeight="1">
      <c r="B95" s="504"/>
      <c r="C95" s="504"/>
      <c r="D95" s="83"/>
      <c r="E95" s="504"/>
      <c r="F95" s="504"/>
      <c r="G95" s="504"/>
      <c r="H95" s="504"/>
      <c r="I95" s="504"/>
      <c r="J95" s="504"/>
      <c r="K95" s="504"/>
      <c r="L95" s="504"/>
      <c r="M95" s="504"/>
      <c r="N95" s="504"/>
      <c r="O95" s="504"/>
      <c r="P95" s="504"/>
      <c r="Q95" s="504"/>
      <c r="R95" s="504"/>
      <c r="S95" s="504"/>
      <c r="T95" s="504"/>
      <c r="U95" s="504"/>
      <c r="V95" s="504"/>
      <c r="W95" s="504"/>
    </row>
    <row r="96" spans="2:23" ht="11.25" customHeight="1">
      <c r="B96" s="504"/>
      <c r="C96" s="504"/>
      <c r="D96" s="83"/>
      <c r="E96" s="504"/>
      <c r="F96" s="504"/>
      <c r="G96" s="504"/>
      <c r="H96" s="504"/>
      <c r="I96" s="504"/>
      <c r="J96" s="504"/>
      <c r="K96" s="504"/>
      <c r="L96" s="504"/>
      <c r="M96" s="504"/>
      <c r="N96" s="504"/>
      <c r="O96" s="504"/>
      <c r="P96" s="504"/>
      <c r="Q96" s="504"/>
      <c r="R96" s="504"/>
      <c r="S96" s="504"/>
      <c r="T96" s="504"/>
      <c r="U96" s="504"/>
      <c r="V96" s="504"/>
      <c r="W96" s="504"/>
    </row>
    <row r="97" spans="2:23" ht="11.25" customHeight="1">
      <c r="B97" s="504"/>
      <c r="C97" s="504"/>
      <c r="D97" s="83"/>
      <c r="E97" s="504"/>
      <c r="F97" s="504"/>
      <c r="G97" s="504"/>
      <c r="H97" s="504"/>
      <c r="I97" s="504"/>
      <c r="J97" s="504"/>
      <c r="K97" s="504"/>
      <c r="L97" s="504"/>
      <c r="M97" s="504"/>
      <c r="N97" s="504"/>
      <c r="O97" s="504"/>
      <c r="P97" s="504"/>
      <c r="Q97" s="504"/>
      <c r="R97" s="504"/>
      <c r="S97" s="504"/>
      <c r="T97" s="504"/>
      <c r="U97" s="504"/>
      <c r="V97" s="504"/>
      <c r="W97" s="504"/>
    </row>
    <row r="98" spans="2:23" ht="11.25" customHeight="1">
      <c r="B98" s="504"/>
      <c r="C98" s="504"/>
      <c r="D98" s="83"/>
      <c r="E98" s="504"/>
      <c r="F98" s="504"/>
      <c r="G98" s="504"/>
      <c r="H98" s="504"/>
      <c r="I98" s="504"/>
      <c r="J98" s="504"/>
      <c r="K98" s="504"/>
      <c r="L98" s="504"/>
      <c r="M98" s="504"/>
      <c r="N98" s="504"/>
      <c r="O98" s="504"/>
      <c r="P98" s="504"/>
      <c r="Q98" s="504"/>
      <c r="R98" s="504"/>
      <c r="S98" s="504"/>
      <c r="T98" s="504"/>
      <c r="U98" s="504"/>
      <c r="V98" s="504"/>
      <c r="W98" s="504"/>
    </row>
    <row r="99" spans="2:23" ht="11.25" customHeight="1">
      <c r="B99" s="504"/>
      <c r="C99" s="504"/>
      <c r="D99" s="83"/>
      <c r="E99" s="504"/>
      <c r="F99" s="504"/>
      <c r="G99" s="504"/>
      <c r="H99" s="504"/>
      <c r="I99" s="504"/>
      <c r="J99" s="504"/>
      <c r="K99" s="504"/>
      <c r="L99" s="504"/>
      <c r="M99" s="504"/>
      <c r="N99" s="504"/>
      <c r="O99" s="504"/>
      <c r="P99" s="504"/>
      <c r="Q99" s="504"/>
      <c r="R99" s="504"/>
      <c r="S99" s="504"/>
      <c r="T99" s="504"/>
      <c r="U99" s="504"/>
      <c r="V99" s="504"/>
      <c r="W99" s="504"/>
    </row>
    <row r="100" spans="2:23" ht="11.25" customHeight="1">
      <c r="B100" s="504"/>
      <c r="C100" s="504"/>
      <c r="D100" s="83"/>
      <c r="E100" s="504"/>
      <c r="F100" s="504"/>
      <c r="G100" s="504"/>
      <c r="H100" s="504"/>
      <c r="I100" s="504"/>
      <c r="J100" s="504"/>
      <c r="K100" s="504"/>
      <c r="L100" s="504"/>
      <c r="M100" s="504"/>
      <c r="N100" s="504"/>
      <c r="O100" s="504"/>
      <c r="P100" s="504"/>
      <c r="Q100" s="504"/>
      <c r="R100" s="504"/>
      <c r="S100" s="504"/>
      <c r="T100" s="504"/>
      <c r="U100" s="504"/>
      <c r="V100" s="504"/>
      <c r="W100" s="504"/>
    </row>
    <row r="101" spans="2:23" ht="11.25" customHeight="1">
      <c r="B101" s="504"/>
      <c r="C101" s="504"/>
      <c r="D101" s="83"/>
      <c r="E101" s="504"/>
      <c r="F101" s="504"/>
      <c r="G101" s="504"/>
      <c r="H101" s="504"/>
      <c r="I101" s="504"/>
      <c r="J101" s="504"/>
      <c r="K101" s="504"/>
      <c r="L101" s="504"/>
      <c r="M101" s="504"/>
      <c r="N101" s="504"/>
      <c r="O101" s="504"/>
      <c r="P101" s="504"/>
      <c r="Q101" s="504"/>
      <c r="R101" s="504"/>
      <c r="S101" s="504"/>
      <c r="T101" s="504"/>
      <c r="U101" s="504"/>
      <c r="V101" s="504"/>
      <c r="W101" s="504"/>
    </row>
    <row r="102" spans="2:23" ht="11.25" customHeight="1">
      <c r="B102" s="504"/>
      <c r="C102" s="504"/>
      <c r="D102" s="83"/>
      <c r="E102" s="504"/>
      <c r="F102" s="504"/>
      <c r="G102" s="504"/>
      <c r="H102" s="504"/>
      <c r="I102" s="504"/>
      <c r="J102" s="504"/>
      <c r="K102" s="504"/>
      <c r="L102" s="504"/>
      <c r="M102" s="504"/>
      <c r="N102" s="504"/>
      <c r="O102" s="504"/>
      <c r="P102" s="504"/>
      <c r="Q102" s="504"/>
      <c r="R102" s="504"/>
      <c r="S102" s="504"/>
      <c r="T102" s="504"/>
      <c r="U102" s="504"/>
      <c r="V102" s="504"/>
      <c r="W102" s="504"/>
    </row>
    <row r="103" spans="2:23" ht="11.25" customHeight="1">
      <c r="B103" s="504"/>
      <c r="C103" s="504"/>
      <c r="D103" s="83"/>
      <c r="E103" s="504"/>
      <c r="F103" s="504"/>
      <c r="G103" s="504"/>
      <c r="H103" s="504"/>
      <c r="I103" s="504"/>
      <c r="J103" s="504"/>
      <c r="K103" s="504"/>
      <c r="L103" s="504"/>
      <c r="M103" s="504"/>
      <c r="N103" s="504"/>
      <c r="O103" s="504"/>
      <c r="P103" s="504"/>
      <c r="Q103" s="504"/>
      <c r="R103" s="504"/>
      <c r="S103" s="504"/>
      <c r="T103" s="504"/>
      <c r="U103" s="504"/>
      <c r="V103" s="504"/>
      <c r="W103" s="504"/>
    </row>
    <row r="104" spans="2:23" ht="11.25" customHeight="1">
      <c r="B104" s="504"/>
      <c r="C104" s="504"/>
      <c r="D104" s="83"/>
      <c r="E104" s="504"/>
      <c r="F104" s="504"/>
      <c r="G104" s="504"/>
      <c r="H104" s="504"/>
      <c r="I104" s="504"/>
      <c r="J104" s="504"/>
      <c r="K104" s="504"/>
      <c r="L104" s="504"/>
      <c r="M104" s="504"/>
      <c r="N104" s="504"/>
      <c r="O104" s="504"/>
      <c r="P104" s="504"/>
      <c r="Q104" s="504"/>
      <c r="R104" s="504"/>
      <c r="S104" s="504"/>
      <c r="T104" s="504"/>
      <c r="U104" s="504"/>
      <c r="V104" s="504"/>
      <c r="W104" s="504"/>
    </row>
    <row r="105" spans="2:23" ht="11.25" customHeight="1">
      <c r="B105" s="504"/>
      <c r="C105" s="504"/>
      <c r="D105" s="83"/>
      <c r="E105" s="504"/>
      <c r="F105" s="504"/>
      <c r="G105" s="504"/>
      <c r="H105" s="504"/>
      <c r="I105" s="504"/>
      <c r="J105" s="504"/>
      <c r="K105" s="504"/>
      <c r="L105" s="504"/>
      <c r="M105" s="504"/>
      <c r="N105" s="504"/>
      <c r="O105" s="504"/>
      <c r="P105" s="504"/>
      <c r="Q105" s="504"/>
      <c r="R105" s="504"/>
      <c r="S105" s="504"/>
      <c r="T105" s="504"/>
      <c r="U105" s="504"/>
      <c r="V105" s="504"/>
      <c r="W105" s="504"/>
    </row>
    <row r="106" spans="2:23" ht="11.25" customHeight="1">
      <c r="B106" s="504"/>
      <c r="C106" s="504"/>
      <c r="D106" s="83"/>
      <c r="E106" s="504"/>
      <c r="F106" s="504"/>
      <c r="G106" s="504"/>
      <c r="H106" s="504"/>
      <c r="I106" s="504"/>
      <c r="J106" s="504"/>
      <c r="K106" s="504"/>
      <c r="L106" s="504"/>
      <c r="M106" s="504"/>
      <c r="N106" s="504"/>
      <c r="O106" s="504"/>
      <c r="P106" s="504"/>
      <c r="Q106" s="504"/>
      <c r="R106" s="504"/>
      <c r="S106" s="504"/>
      <c r="T106" s="504"/>
      <c r="U106" s="504"/>
      <c r="V106" s="504"/>
      <c r="W106" s="504"/>
    </row>
    <row r="107" spans="2:23" ht="11.25" customHeight="1">
      <c r="B107" s="504"/>
      <c r="C107" s="504"/>
      <c r="D107" s="83"/>
      <c r="E107" s="504"/>
      <c r="F107" s="504"/>
      <c r="G107" s="504"/>
      <c r="H107" s="504"/>
      <c r="I107" s="504"/>
      <c r="J107" s="504"/>
      <c r="K107" s="504"/>
      <c r="L107" s="504"/>
      <c r="M107" s="504"/>
      <c r="N107" s="504"/>
      <c r="O107" s="504"/>
      <c r="P107" s="504"/>
      <c r="Q107" s="504"/>
      <c r="R107" s="504"/>
      <c r="S107" s="504"/>
      <c r="T107" s="504"/>
      <c r="U107" s="504"/>
      <c r="V107" s="504"/>
      <c r="W107" s="504"/>
    </row>
    <row r="108" spans="2:23" ht="11.25" customHeight="1">
      <c r="B108" s="504"/>
      <c r="C108" s="504"/>
      <c r="D108" s="83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</row>
    <row r="109" spans="2:23" ht="11.25" customHeight="1">
      <c r="B109" s="504"/>
      <c r="C109" s="504"/>
      <c r="D109" s="83"/>
      <c r="E109" s="504"/>
      <c r="F109" s="504"/>
      <c r="G109" s="504"/>
      <c r="H109" s="504"/>
      <c r="I109" s="504"/>
      <c r="J109" s="504"/>
      <c r="K109" s="504"/>
      <c r="L109" s="504"/>
      <c r="M109" s="504"/>
      <c r="N109" s="504"/>
      <c r="O109" s="504"/>
      <c r="P109" s="504"/>
      <c r="Q109" s="504"/>
      <c r="R109" s="504"/>
      <c r="S109" s="504"/>
      <c r="T109" s="504"/>
      <c r="U109" s="504"/>
      <c r="V109" s="504"/>
      <c r="W109" s="504"/>
    </row>
    <row r="110" spans="2:23" ht="11.25" customHeight="1">
      <c r="B110" s="504"/>
      <c r="C110" s="504"/>
      <c r="D110" s="83"/>
      <c r="E110" s="504"/>
      <c r="F110" s="504"/>
      <c r="G110" s="504"/>
      <c r="H110" s="504"/>
      <c r="I110" s="504"/>
      <c r="J110" s="504"/>
      <c r="K110" s="504"/>
      <c r="L110" s="504"/>
      <c r="M110" s="504"/>
      <c r="N110" s="504"/>
      <c r="O110" s="504"/>
      <c r="P110" s="504"/>
      <c r="Q110" s="504"/>
      <c r="R110" s="504"/>
      <c r="S110" s="504"/>
      <c r="T110" s="504"/>
      <c r="U110" s="504"/>
      <c r="V110" s="504"/>
      <c r="W110" s="504"/>
    </row>
    <row r="111" spans="2:23" ht="11.25" customHeight="1">
      <c r="B111" s="504"/>
      <c r="C111" s="504"/>
      <c r="D111" s="83"/>
      <c r="E111" s="504"/>
      <c r="F111" s="504"/>
      <c r="G111" s="504"/>
      <c r="H111" s="504"/>
      <c r="I111" s="504"/>
      <c r="J111" s="504"/>
      <c r="K111" s="504"/>
      <c r="L111" s="504"/>
      <c r="M111" s="504"/>
      <c r="N111" s="504"/>
      <c r="O111" s="504"/>
      <c r="P111" s="504"/>
      <c r="Q111" s="504"/>
      <c r="R111" s="504"/>
      <c r="S111" s="504"/>
      <c r="T111" s="504"/>
      <c r="U111" s="504"/>
      <c r="V111" s="504"/>
      <c r="W111" s="504"/>
    </row>
    <row r="112" spans="2:23" ht="11.25" customHeight="1">
      <c r="B112" s="504"/>
      <c r="C112" s="504"/>
      <c r="D112" s="83"/>
      <c r="E112" s="504"/>
      <c r="F112" s="504"/>
      <c r="G112" s="504"/>
      <c r="H112" s="504"/>
      <c r="I112" s="504"/>
      <c r="J112" s="504"/>
      <c r="K112" s="504"/>
      <c r="L112" s="504"/>
      <c r="M112" s="504"/>
      <c r="N112" s="504"/>
      <c r="O112" s="504"/>
      <c r="P112" s="504"/>
      <c r="Q112" s="504"/>
      <c r="R112" s="504"/>
      <c r="S112" s="504"/>
      <c r="T112" s="504"/>
      <c r="U112" s="504"/>
      <c r="V112" s="504"/>
      <c r="W112" s="504"/>
    </row>
    <row r="113" spans="2:23" ht="11.25" customHeight="1">
      <c r="B113" s="504"/>
      <c r="C113" s="504"/>
      <c r="D113" s="83"/>
      <c r="E113" s="504"/>
      <c r="F113" s="504"/>
      <c r="G113" s="504"/>
      <c r="H113" s="504"/>
      <c r="I113" s="504"/>
      <c r="J113" s="504"/>
      <c r="K113" s="504"/>
      <c r="L113" s="504"/>
      <c r="M113" s="504"/>
      <c r="N113" s="504"/>
      <c r="O113" s="504"/>
      <c r="P113" s="504"/>
      <c r="Q113" s="504"/>
      <c r="R113" s="504"/>
      <c r="S113" s="504"/>
      <c r="T113" s="504"/>
      <c r="U113" s="504"/>
      <c r="V113" s="504"/>
      <c r="W113" s="504"/>
    </row>
    <row r="114" spans="2:23" ht="11.25" customHeight="1">
      <c r="B114" s="504"/>
      <c r="C114" s="504"/>
      <c r="D114" s="83"/>
      <c r="E114" s="504"/>
      <c r="F114" s="504"/>
      <c r="G114" s="504"/>
      <c r="H114" s="504"/>
      <c r="I114" s="504"/>
      <c r="J114" s="504"/>
      <c r="K114" s="504"/>
      <c r="L114" s="504"/>
      <c r="M114" s="504"/>
      <c r="N114" s="504"/>
      <c r="O114" s="504"/>
      <c r="P114" s="504"/>
      <c r="Q114" s="504"/>
      <c r="R114" s="504"/>
      <c r="S114" s="504"/>
      <c r="T114" s="504"/>
      <c r="U114" s="504"/>
      <c r="V114" s="504"/>
      <c r="W114" s="504"/>
    </row>
    <row r="115" spans="2:23" ht="11.25" customHeight="1">
      <c r="B115" s="504"/>
      <c r="C115" s="504"/>
      <c r="D115" s="83"/>
      <c r="E115" s="504"/>
      <c r="F115" s="504"/>
      <c r="G115" s="504"/>
      <c r="H115" s="504"/>
      <c r="I115" s="504"/>
      <c r="J115" s="504"/>
      <c r="K115" s="504"/>
      <c r="L115" s="504"/>
      <c r="M115" s="504"/>
      <c r="N115" s="504"/>
      <c r="O115" s="504"/>
      <c r="P115" s="504"/>
      <c r="Q115" s="504"/>
      <c r="R115" s="504"/>
      <c r="S115" s="504"/>
      <c r="T115" s="504"/>
      <c r="U115" s="504"/>
      <c r="V115" s="504"/>
      <c r="W115" s="504"/>
    </row>
    <row r="116" spans="2:23" ht="11.25" customHeight="1">
      <c r="B116" s="504"/>
      <c r="C116" s="504"/>
      <c r="D116" s="83"/>
      <c r="E116" s="504"/>
      <c r="F116" s="504"/>
      <c r="G116" s="504"/>
      <c r="H116" s="504"/>
      <c r="I116" s="504"/>
      <c r="J116" s="504"/>
      <c r="K116" s="504"/>
      <c r="L116" s="504"/>
      <c r="M116" s="504"/>
      <c r="N116" s="504"/>
      <c r="O116" s="504"/>
      <c r="P116" s="504"/>
      <c r="Q116" s="504"/>
      <c r="R116" s="504"/>
      <c r="S116" s="504"/>
      <c r="T116" s="504"/>
      <c r="U116" s="504"/>
      <c r="V116" s="504"/>
      <c r="W116" s="504"/>
    </row>
    <row r="117" spans="2:23" ht="11.25" customHeight="1">
      <c r="B117" s="504"/>
      <c r="C117" s="504"/>
      <c r="D117" s="83"/>
      <c r="E117" s="504"/>
      <c r="F117" s="504"/>
      <c r="G117" s="504"/>
      <c r="H117" s="504"/>
      <c r="I117" s="504"/>
      <c r="J117" s="504"/>
      <c r="K117" s="504"/>
      <c r="L117" s="504"/>
      <c r="M117" s="504"/>
      <c r="N117" s="504"/>
      <c r="O117" s="504"/>
      <c r="P117" s="504"/>
      <c r="Q117" s="504"/>
      <c r="R117" s="504"/>
      <c r="S117" s="504"/>
      <c r="T117" s="504"/>
      <c r="U117" s="504"/>
      <c r="V117" s="504"/>
      <c r="W117" s="504"/>
    </row>
    <row r="118" spans="2:23" ht="11.25" customHeight="1">
      <c r="B118" s="504"/>
      <c r="C118" s="504"/>
      <c r="D118" s="83"/>
      <c r="E118" s="504"/>
      <c r="F118" s="504"/>
      <c r="G118" s="504"/>
      <c r="H118" s="504"/>
      <c r="I118" s="504"/>
      <c r="J118" s="504"/>
      <c r="K118" s="504"/>
      <c r="L118" s="504"/>
      <c r="M118" s="504"/>
      <c r="N118" s="504"/>
      <c r="O118" s="504"/>
      <c r="P118" s="504"/>
      <c r="Q118" s="504"/>
      <c r="R118" s="504"/>
      <c r="S118" s="504"/>
      <c r="T118" s="504"/>
      <c r="U118" s="504"/>
      <c r="V118" s="504"/>
      <c r="W118" s="504"/>
    </row>
    <row r="119" spans="2:23" ht="11.25" customHeight="1">
      <c r="B119" s="504"/>
      <c r="C119" s="504"/>
      <c r="D119" s="83"/>
      <c r="E119" s="504"/>
      <c r="F119" s="504"/>
      <c r="G119" s="504"/>
      <c r="H119" s="504"/>
      <c r="I119" s="504"/>
      <c r="J119" s="504"/>
      <c r="K119" s="504"/>
      <c r="L119" s="504"/>
      <c r="M119" s="504"/>
      <c r="N119" s="504"/>
      <c r="O119" s="504"/>
      <c r="P119" s="504"/>
      <c r="Q119" s="504"/>
      <c r="R119" s="504"/>
      <c r="S119" s="504"/>
      <c r="T119" s="504"/>
      <c r="U119" s="504"/>
      <c r="V119" s="504"/>
      <c r="W119" s="504"/>
    </row>
    <row r="120" spans="2:23" ht="11.25" customHeight="1">
      <c r="B120" s="504"/>
      <c r="C120" s="504"/>
      <c r="D120" s="83"/>
      <c r="E120" s="504"/>
      <c r="F120" s="504"/>
      <c r="G120" s="504"/>
      <c r="H120" s="504"/>
      <c r="I120" s="504"/>
      <c r="J120" s="504"/>
      <c r="K120" s="504"/>
      <c r="L120" s="504"/>
      <c r="M120" s="504"/>
      <c r="N120" s="504"/>
      <c r="O120" s="504"/>
      <c r="P120" s="504"/>
      <c r="Q120" s="504"/>
      <c r="R120" s="504"/>
      <c r="S120" s="504"/>
      <c r="T120" s="504"/>
      <c r="U120" s="504"/>
      <c r="V120" s="504"/>
      <c r="W120" s="504"/>
    </row>
    <row r="121" spans="2:23" ht="11.25" customHeight="1">
      <c r="B121" s="504"/>
      <c r="C121" s="504"/>
      <c r="D121" s="83"/>
      <c r="E121" s="504"/>
      <c r="F121" s="504"/>
      <c r="G121" s="504"/>
      <c r="H121" s="504"/>
      <c r="I121" s="504"/>
      <c r="J121" s="504"/>
      <c r="K121" s="504"/>
      <c r="L121" s="504"/>
      <c r="M121" s="504"/>
      <c r="N121" s="504"/>
      <c r="O121" s="504"/>
      <c r="P121" s="504"/>
      <c r="Q121" s="504"/>
      <c r="R121" s="504"/>
      <c r="S121" s="504"/>
      <c r="T121" s="504"/>
      <c r="U121" s="504"/>
      <c r="V121" s="504"/>
      <c r="W121" s="504"/>
    </row>
    <row r="122" spans="2:23" ht="11.25" customHeight="1">
      <c r="B122" s="504"/>
      <c r="C122" s="504"/>
      <c r="D122" s="83"/>
      <c r="E122" s="504"/>
      <c r="F122" s="504"/>
      <c r="G122" s="504"/>
      <c r="H122" s="504"/>
      <c r="I122" s="504"/>
      <c r="J122" s="504"/>
      <c r="K122" s="504"/>
      <c r="L122" s="504"/>
      <c r="M122" s="504"/>
      <c r="N122" s="504"/>
      <c r="O122" s="504"/>
      <c r="P122" s="504"/>
      <c r="Q122" s="504"/>
      <c r="R122" s="504"/>
      <c r="S122" s="504"/>
      <c r="T122" s="504"/>
      <c r="U122" s="504"/>
      <c r="V122" s="504"/>
      <c r="W122" s="504"/>
    </row>
    <row r="123" spans="2:23" ht="11.25" customHeight="1">
      <c r="B123" s="504"/>
      <c r="C123" s="504"/>
      <c r="D123" s="83"/>
      <c r="E123" s="504"/>
      <c r="F123" s="504"/>
      <c r="G123" s="504"/>
      <c r="H123" s="504"/>
      <c r="I123" s="504"/>
      <c r="J123" s="504"/>
      <c r="K123" s="504"/>
      <c r="L123" s="504"/>
      <c r="M123" s="504"/>
      <c r="N123" s="504"/>
      <c r="O123" s="504"/>
      <c r="P123" s="504"/>
      <c r="Q123" s="504"/>
      <c r="R123" s="504"/>
      <c r="S123" s="504"/>
      <c r="T123" s="504"/>
      <c r="U123" s="504"/>
      <c r="V123" s="504"/>
      <c r="W123" s="504"/>
    </row>
    <row r="124" spans="2:23" ht="11.25" customHeight="1">
      <c r="B124" s="504"/>
      <c r="C124" s="504"/>
      <c r="D124" s="83"/>
      <c r="E124" s="504"/>
      <c r="F124" s="504"/>
      <c r="G124" s="504"/>
      <c r="H124" s="504"/>
      <c r="I124" s="504"/>
      <c r="J124" s="504"/>
      <c r="K124" s="504"/>
      <c r="L124" s="504"/>
      <c r="M124" s="504"/>
      <c r="N124" s="504"/>
      <c r="O124" s="504"/>
      <c r="P124" s="504"/>
      <c r="Q124" s="504"/>
      <c r="R124" s="504"/>
      <c r="S124" s="504"/>
      <c r="T124" s="504"/>
      <c r="U124" s="504"/>
      <c r="V124" s="504"/>
      <c r="W124" s="504"/>
    </row>
    <row r="125" spans="2:23" ht="11.25" customHeight="1">
      <c r="B125" s="504"/>
      <c r="C125" s="504"/>
      <c r="D125" s="83"/>
      <c r="E125" s="504"/>
      <c r="F125" s="504"/>
      <c r="G125" s="504"/>
      <c r="H125" s="504"/>
      <c r="I125" s="504"/>
      <c r="J125" s="504"/>
      <c r="K125" s="504"/>
      <c r="L125" s="504"/>
      <c r="M125" s="504"/>
      <c r="N125" s="504"/>
      <c r="O125" s="504"/>
      <c r="P125" s="504"/>
      <c r="Q125" s="504"/>
      <c r="R125" s="504"/>
      <c r="S125" s="504"/>
      <c r="T125" s="504"/>
      <c r="U125" s="504"/>
      <c r="V125" s="504"/>
      <c r="W125" s="504"/>
    </row>
    <row r="126" spans="2:23" ht="11.25" customHeight="1">
      <c r="B126" s="504"/>
      <c r="C126" s="504"/>
      <c r="D126" s="83"/>
      <c r="E126" s="504"/>
      <c r="F126" s="504"/>
      <c r="G126" s="504"/>
      <c r="H126" s="504"/>
      <c r="I126" s="504"/>
      <c r="J126" s="504"/>
      <c r="K126" s="504"/>
      <c r="L126" s="504"/>
      <c r="M126" s="504"/>
      <c r="N126" s="504"/>
      <c r="O126" s="504"/>
      <c r="P126" s="504"/>
      <c r="Q126" s="504"/>
      <c r="R126" s="504"/>
      <c r="S126" s="504"/>
      <c r="T126" s="504"/>
      <c r="U126" s="504"/>
      <c r="V126" s="504"/>
      <c r="W126" s="504"/>
    </row>
    <row r="127" spans="2:23" ht="11.25" customHeight="1">
      <c r="B127" s="504"/>
      <c r="C127" s="504"/>
      <c r="D127" s="83"/>
      <c r="E127" s="504"/>
      <c r="F127" s="504"/>
      <c r="G127" s="504"/>
      <c r="H127" s="504"/>
      <c r="I127" s="504"/>
      <c r="J127" s="504"/>
      <c r="K127" s="504"/>
      <c r="L127" s="504"/>
      <c r="M127" s="504"/>
      <c r="N127" s="504"/>
      <c r="O127" s="504"/>
      <c r="P127" s="504"/>
      <c r="Q127" s="504"/>
      <c r="R127" s="504"/>
      <c r="S127" s="504"/>
      <c r="T127" s="504"/>
      <c r="U127" s="504"/>
      <c r="V127" s="504"/>
      <c r="W127" s="504"/>
    </row>
    <row r="128" spans="2:23" ht="11.25" customHeight="1">
      <c r="B128" s="504"/>
      <c r="C128" s="504"/>
      <c r="D128" s="83"/>
      <c r="E128" s="504"/>
      <c r="F128" s="504"/>
      <c r="G128" s="504"/>
      <c r="H128" s="504"/>
      <c r="I128" s="504"/>
      <c r="J128" s="504"/>
      <c r="K128" s="504"/>
      <c r="L128" s="504"/>
      <c r="M128" s="504"/>
      <c r="N128" s="504"/>
      <c r="O128" s="504"/>
      <c r="P128" s="504"/>
      <c r="Q128" s="504"/>
      <c r="R128" s="504"/>
      <c r="S128" s="504"/>
      <c r="T128" s="504"/>
      <c r="U128" s="504"/>
      <c r="V128" s="504"/>
      <c r="W128" s="504"/>
    </row>
    <row r="129" spans="2:23" ht="11.25" customHeight="1">
      <c r="B129" s="504"/>
      <c r="C129" s="504"/>
      <c r="D129" s="83"/>
      <c r="E129" s="504"/>
      <c r="F129" s="504"/>
      <c r="G129" s="504"/>
      <c r="H129" s="504"/>
      <c r="I129" s="504"/>
      <c r="J129" s="504"/>
      <c r="K129" s="504"/>
      <c r="L129" s="504"/>
      <c r="M129" s="504"/>
      <c r="N129" s="504"/>
      <c r="O129" s="504"/>
      <c r="P129" s="504"/>
      <c r="Q129" s="504"/>
      <c r="R129" s="504"/>
      <c r="S129" s="504"/>
      <c r="T129" s="504"/>
      <c r="U129" s="504"/>
      <c r="V129" s="504"/>
      <c r="W129" s="504"/>
    </row>
    <row r="130" spans="2:23" ht="11.25" customHeight="1">
      <c r="B130" s="504"/>
      <c r="C130" s="504"/>
      <c r="D130" s="83"/>
      <c r="E130" s="504"/>
      <c r="F130" s="504"/>
      <c r="G130" s="504"/>
      <c r="H130" s="504"/>
      <c r="I130" s="504"/>
      <c r="J130" s="504"/>
      <c r="K130" s="504"/>
      <c r="L130" s="504"/>
      <c r="M130" s="504"/>
      <c r="N130" s="504"/>
      <c r="O130" s="504"/>
      <c r="P130" s="504"/>
      <c r="Q130" s="504"/>
      <c r="R130" s="504"/>
      <c r="S130" s="504"/>
      <c r="T130" s="504"/>
      <c r="U130" s="504"/>
      <c r="V130" s="504"/>
      <c r="W130" s="504"/>
    </row>
    <row r="131" spans="2:23" ht="11.25" customHeight="1">
      <c r="B131" s="504"/>
      <c r="C131" s="504"/>
      <c r="D131" s="83"/>
      <c r="E131" s="504"/>
      <c r="F131" s="504"/>
      <c r="G131" s="504"/>
      <c r="H131" s="504"/>
      <c r="I131" s="504"/>
      <c r="J131" s="504"/>
      <c r="K131" s="504"/>
      <c r="L131" s="504"/>
      <c r="M131" s="504"/>
      <c r="N131" s="504"/>
      <c r="O131" s="504"/>
      <c r="P131" s="504"/>
      <c r="Q131" s="504"/>
      <c r="R131" s="504"/>
      <c r="S131" s="504"/>
      <c r="T131" s="504"/>
      <c r="U131" s="504"/>
      <c r="V131" s="504"/>
      <c r="W131" s="504"/>
    </row>
    <row r="132" spans="2:23" ht="11.25" customHeight="1">
      <c r="B132" s="504"/>
      <c r="C132" s="504"/>
      <c r="D132" s="83"/>
      <c r="E132" s="504"/>
      <c r="F132" s="504"/>
      <c r="G132" s="504"/>
      <c r="H132" s="504"/>
      <c r="I132" s="504"/>
      <c r="J132" s="504"/>
      <c r="K132" s="504"/>
      <c r="L132" s="504"/>
      <c r="M132" s="504"/>
      <c r="N132" s="504"/>
      <c r="O132" s="504"/>
      <c r="P132" s="504"/>
      <c r="Q132" s="504"/>
      <c r="R132" s="504"/>
      <c r="S132" s="504"/>
      <c r="T132" s="504"/>
      <c r="U132" s="504"/>
      <c r="V132" s="504"/>
      <c r="W132" s="504"/>
    </row>
    <row r="133" spans="2:23" ht="11.25" customHeight="1">
      <c r="B133" s="504"/>
      <c r="C133" s="504"/>
      <c r="D133" s="83"/>
      <c r="E133" s="504"/>
      <c r="F133" s="504"/>
      <c r="G133" s="504"/>
      <c r="H133" s="504"/>
      <c r="I133" s="504"/>
      <c r="J133" s="504"/>
      <c r="K133" s="504"/>
      <c r="L133" s="504"/>
      <c r="M133" s="504"/>
      <c r="N133" s="504"/>
      <c r="O133" s="504"/>
      <c r="P133" s="504"/>
      <c r="Q133" s="504"/>
      <c r="R133" s="504"/>
      <c r="S133" s="504"/>
      <c r="T133" s="504"/>
      <c r="U133" s="504"/>
      <c r="V133" s="504"/>
      <c r="W133" s="504"/>
    </row>
    <row r="134" spans="2:23" ht="11.25" customHeight="1">
      <c r="B134" s="504"/>
      <c r="C134" s="504"/>
      <c r="D134" s="83"/>
      <c r="E134" s="504"/>
      <c r="F134" s="504"/>
      <c r="G134" s="504"/>
      <c r="H134" s="504"/>
      <c r="I134" s="504"/>
      <c r="J134" s="504"/>
      <c r="K134" s="504"/>
      <c r="L134" s="504"/>
      <c r="M134" s="504"/>
      <c r="N134" s="504"/>
      <c r="O134" s="504"/>
      <c r="P134" s="504"/>
      <c r="Q134" s="504"/>
      <c r="R134" s="504"/>
      <c r="S134" s="504"/>
      <c r="T134" s="504"/>
      <c r="U134" s="504"/>
      <c r="V134" s="504"/>
      <c r="W134" s="504"/>
    </row>
    <row r="135" spans="2:23" ht="11.25" customHeight="1">
      <c r="B135" s="504"/>
      <c r="C135" s="504"/>
      <c r="D135" s="83"/>
      <c r="E135" s="504"/>
      <c r="F135" s="504"/>
      <c r="G135" s="504"/>
      <c r="H135" s="504"/>
      <c r="I135" s="504"/>
      <c r="J135" s="504"/>
      <c r="K135" s="504"/>
      <c r="L135" s="504"/>
      <c r="M135" s="504"/>
      <c r="N135" s="504"/>
      <c r="O135" s="504"/>
      <c r="P135" s="504"/>
      <c r="Q135" s="504"/>
      <c r="R135" s="504"/>
      <c r="S135" s="504"/>
      <c r="T135" s="504"/>
      <c r="U135" s="504"/>
      <c r="V135" s="504"/>
      <c r="W135" s="504"/>
    </row>
    <row r="136" spans="2:23" ht="11.25" customHeight="1">
      <c r="B136" s="504"/>
      <c r="C136" s="504"/>
      <c r="D136" s="83"/>
      <c r="E136" s="504"/>
      <c r="F136" s="504"/>
      <c r="G136" s="504"/>
      <c r="H136" s="504"/>
      <c r="I136" s="504"/>
      <c r="J136" s="504"/>
      <c r="K136" s="504"/>
      <c r="L136" s="504"/>
      <c r="M136" s="504"/>
      <c r="N136" s="504"/>
      <c r="O136" s="504"/>
      <c r="P136" s="504"/>
      <c r="Q136" s="504"/>
      <c r="R136" s="504"/>
      <c r="S136" s="504"/>
      <c r="T136" s="504"/>
      <c r="U136" s="504"/>
      <c r="V136" s="504"/>
      <c r="W136" s="504"/>
    </row>
    <row r="137" spans="2:23" ht="11.25" customHeight="1">
      <c r="B137" s="504"/>
      <c r="C137" s="504"/>
      <c r="D137" s="83"/>
      <c r="E137" s="504"/>
      <c r="F137" s="504"/>
      <c r="G137" s="504"/>
      <c r="H137" s="504"/>
      <c r="I137" s="504"/>
      <c r="J137" s="504"/>
      <c r="K137" s="504"/>
      <c r="L137" s="504"/>
      <c r="M137" s="504"/>
      <c r="N137" s="504"/>
      <c r="O137" s="504"/>
      <c r="P137" s="504"/>
      <c r="Q137" s="504"/>
      <c r="R137" s="504"/>
      <c r="S137" s="504"/>
      <c r="T137" s="504"/>
      <c r="U137" s="504"/>
      <c r="V137" s="504"/>
      <c r="W137" s="504"/>
    </row>
    <row r="138" spans="2:23" ht="11.25" customHeight="1">
      <c r="B138" s="504"/>
      <c r="C138" s="504"/>
      <c r="D138" s="83"/>
      <c r="E138" s="504"/>
      <c r="F138" s="504"/>
      <c r="G138" s="504"/>
      <c r="H138" s="504"/>
      <c r="I138" s="504"/>
      <c r="J138" s="504"/>
      <c r="K138" s="504"/>
      <c r="L138" s="504"/>
      <c r="M138" s="504"/>
      <c r="N138" s="504"/>
      <c r="O138" s="504"/>
      <c r="P138" s="504"/>
      <c r="Q138" s="504"/>
      <c r="R138" s="504"/>
      <c r="S138" s="504"/>
      <c r="T138" s="504"/>
      <c r="U138" s="504"/>
      <c r="V138" s="504"/>
      <c r="W138" s="504"/>
    </row>
    <row r="139" spans="2:23" ht="11.25" customHeight="1">
      <c r="B139" s="504"/>
      <c r="C139" s="504"/>
      <c r="D139" s="83"/>
      <c r="E139" s="504"/>
      <c r="F139" s="504"/>
      <c r="G139" s="504"/>
      <c r="H139" s="504"/>
      <c r="I139" s="504"/>
      <c r="J139" s="504"/>
      <c r="K139" s="504"/>
      <c r="L139" s="504"/>
      <c r="M139" s="504"/>
      <c r="N139" s="504"/>
      <c r="O139" s="504"/>
      <c r="P139" s="504"/>
      <c r="Q139" s="504"/>
      <c r="R139" s="504"/>
      <c r="S139" s="504"/>
      <c r="T139" s="504"/>
      <c r="U139" s="504"/>
      <c r="V139" s="504"/>
      <c r="W139" s="504"/>
    </row>
    <row r="140" spans="2:23" ht="11.25" customHeight="1">
      <c r="B140" s="504"/>
      <c r="C140" s="504"/>
      <c r="D140" s="83"/>
      <c r="E140" s="504"/>
      <c r="F140" s="504"/>
      <c r="G140" s="504"/>
      <c r="H140" s="504"/>
      <c r="I140" s="504"/>
      <c r="J140" s="504"/>
      <c r="K140" s="504"/>
      <c r="L140" s="504"/>
      <c r="M140" s="504"/>
      <c r="N140" s="504"/>
      <c r="O140" s="504"/>
      <c r="P140" s="504"/>
      <c r="Q140" s="504"/>
      <c r="R140" s="504"/>
      <c r="S140" s="504"/>
      <c r="T140" s="504"/>
      <c r="U140" s="504"/>
      <c r="V140" s="504"/>
      <c r="W140" s="504"/>
    </row>
    <row r="141" spans="2:23" ht="11.25" customHeight="1">
      <c r="B141" s="504"/>
      <c r="C141" s="504"/>
      <c r="D141" s="83"/>
      <c r="E141" s="504"/>
      <c r="F141" s="504"/>
      <c r="G141" s="504"/>
      <c r="H141" s="504"/>
      <c r="I141" s="504"/>
      <c r="J141" s="504"/>
      <c r="K141" s="504"/>
      <c r="L141" s="504"/>
      <c r="M141" s="504"/>
      <c r="N141" s="504"/>
      <c r="O141" s="504"/>
      <c r="P141" s="504"/>
      <c r="Q141" s="504"/>
      <c r="R141" s="504"/>
      <c r="S141" s="504"/>
      <c r="T141" s="504"/>
      <c r="U141" s="504"/>
      <c r="V141" s="504"/>
      <c r="W141" s="504"/>
    </row>
    <row r="142" spans="2:23" ht="11.25" customHeight="1">
      <c r="B142" s="504"/>
      <c r="C142" s="504"/>
      <c r="D142" s="83"/>
      <c r="E142" s="504"/>
      <c r="F142" s="504"/>
      <c r="G142" s="504"/>
      <c r="H142" s="504"/>
      <c r="I142" s="504"/>
      <c r="J142" s="504"/>
      <c r="K142" s="504"/>
      <c r="L142" s="504"/>
      <c r="M142" s="504"/>
      <c r="N142" s="504"/>
      <c r="O142" s="504"/>
      <c r="P142" s="504"/>
      <c r="Q142" s="504"/>
      <c r="R142" s="504"/>
      <c r="S142" s="504"/>
      <c r="T142" s="504"/>
      <c r="U142" s="504"/>
      <c r="V142" s="504"/>
      <c r="W142" s="504"/>
    </row>
    <row r="143" spans="2:23" ht="11.25" customHeight="1">
      <c r="B143" s="504"/>
      <c r="C143" s="504"/>
      <c r="D143" s="83"/>
      <c r="E143" s="504"/>
      <c r="F143" s="504"/>
      <c r="G143" s="504"/>
      <c r="H143" s="504"/>
      <c r="I143" s="504"/>
      <c r="J143" s="504"/>
      <c r="K143" s="504"/>
      <c r="L143" s="504"/>
      <c r="M143" s="504"/>
      <c r="N143" s="504"/>
      <c r="O143" s="504"/>
      <c r="P143" s="504"/>
      <c r="Q143" s="504"/>
      <c r="R143" s="504"/>
      <c r="S143" s="504"/>
      <c r="T143" s="504"/>
      <c r="U143" s="504"/>
      <c r="V143" s="504"/>
      <c r="W143" s="504"/>
    </row>
    <row r="144" spans="2:23" ht="11.25" customHeight="1">
      <c r="B144" s="504"/>
      <c r="C144" s="504"/>
      <c r="D144" s="83"/>
      <c r="E144" s="504"/>
      <c r="F144" s="504"/>
      <c r="G144" s="504"/>
      <c r="H144" s="504"/>
      <c r="I144" s="504"/>
      <c r="J144" s="504"/>
      <c r="K144" s="504"/>
      <c r="L144" s="504"/>
      <c r="M144" s="504"/>
      <c r="N144" s="504"/>
      <c r="O144" s="504"/>
      <c r="P144" s="504"/>
      <c r="Q144" s="504"/>
      <c r="R144" s="504"/>
      <c r="S144" s="504"/>
      <c r="T144" s="504"/>
      <c r="U144" s="504"/>
      <c r="V144" s="504"/>
      <c r="W144" s="504"/>
    </row>
    <row r="145" spans="2:23" ht="11.25" customHeight="1">
      <c r="B145" s="504"/>
      <c r="C145" s="504"/>
      <c r="D145" s="83"/>
      <c r="E145" s="504"/>
      <c r="F145" s="504"/>
      <c r="G145" s="504"/>
      <c r="H145" s="504"/>
      <c r="I145" s="504"/>
      <c r="J145" s="504"/>
      <c r="K145" s="504"/>
      <c r="L145" s="504"/>
      <c r="M145" s="504"/>
      <c r="N145" s="504"/>
      <c r="O145" s="504"/>
      <c r="P145" s="504"/>
      <c r="Q145" s="504"/>
      <c r="R145" s="504"/>
      <c r="S145" s="504"/>
      <c r="T145" s="504"/>
      <c r="U145" s="504"/>
      <c r="V145" s="504"/>
      <c r="W145" s="504"/>
    </row>
    <row r="146" spans="2:23" ht="11.25" customHeight="1">
      <c r="B146" s="504"/>
      <c r="C146" s="504"/>
      <c r="D146" s="83"/>
      <c r="E146" s="504"/>
      <c r="F146" s="504"/>
      <c r="G146" s="504"/>
      <c r="H146" s="504"/>
      <c r="I146" s="504"/>
      <c r="J146" s="504"/>
      <c r="K146" s="504"/>
      <c r="L146" s="504"/>
      <c r="M146" s="504"/>
      <c r="N146" s="504"/>
      <c r="O146" s="504"/>
      <c r="P146" s="504"/>
      <c r="Q146" s="504"/>
      <c r="R146" s="504"/>
      <c r="S146" s="504"/>
      <c r="T146" s="504"/>
      <c r="U146" s="504"/>
      <c r="V146" s="504"/>
      <c r="W146" s="504"/>
    </row>
    <row r="147" spans="2:23" ht="11.25" customHeight="1">
      <c r="B147" s="504"/>
      <c r="C147" s="504"/>
      <c r="D147" s="83"/>
      <c r="E147" s="504"/>
      <c r="F147" s="504"/>
      <c r="G147" s="504"/>
      <c r="H147" s="504"/>
      <c r="I147" s="504"/>
      <c r="J147" s="504"/>
      <c r="K147" s="504"/>
      <c r="L147" s="504"/>
      <c r="M147" s="504"/>
      <c r="N147" s="504"/>
      <c r="O147" s="504"/>
      <c r="P147" s="504"/>
      <c r="Q147" s="504"/>
      <c r="R147" s="504"/>
      <c r="S147" s="504"/>
      <c r="T147" s="504"/>
      <c r="U147" s="504"/>
      <c r="V147" s="504"/>
      <c r="W147" s="504"/>
    </row>
    <row r="148" spans="2:23" ht="11.25" customHeight="1">
      <c r="B148" s="504"/>
      <c r="C148" s="504"/>
      <c r="D148" s="83"/>
      <c r="E148" s="504"/>
      <c r="F148" s="504"/>
      <c r="G148" s="504"/>
      <c r="H148" s="504"/>
      <c r="I148" s="504"/>
      <c r="J148" s="504"/>
      <c r="K148" s="504"/>
      <c r="L148" s="504"/>
      <c r="M148" s="504"/>
      <c r="N148" s="504"/>
      <c r="O148" s="504"/>
      <c r="P148" s="504"/>
      <c r="Q148" s="504"/>
      <c r="R148" s="504"/>
      <c r="S148" s="504"/>
      <c r="T148" s="504"/>
      <c r="U148" s="504"/>
      <c r="V148" s="504"/>
      <c r="W148" s="504"/>
    </row>
    <row r="149" spans="2:23" ht="11.25" customHeight="1">
      <c r="B149" s="504"/>
      <c r="C149" s="504"/>
      <c r="D149" s="83"/>
      <c r="E149" s="504"/>
      <c r="F149" s="504"/>
      <c r="G149" s="504"/>
      <c r="H149" s="504"/>
      <c r="I149" s="504"/>
      <c r="J149" s="504"/>
      <c r="K149" s="504"/>
      <c r="L149" s="504"/>
      <c r="M149" s="504"/>
      <c r="N149" s="504"/>
      <c r="O149" s="504"/>
      <c r="P149" s="504"/>
      <c r="Q149" s="504"/>
      <c r="R149" s="504"/>
      <c r="S149" s="504"/>
      <c r="T149" s="504"/>
      <c r="U149" s="504"/>
      <c r="V149" s="504"/>
      <c r="W149" s="504"/>
    </row>
    <row r="150" spans="2:23" ht="11.25" customHeight="1">
      <c r="B150" s="504"/>
      <c r="C150" s="504"/>
      <c r="D150" s="83"/>
      <c r="E150" s="504"/>
      <c r="F150" s="504"/>
      <c r="G150" s="504"/>
      <c r="H150" s="504"/>
      <c r="I150" s="504"/>
      <c r="J150" s="504"/>
      <c r="K150" s="504"/>
      <c r="L150" s="504"/>
      <c r="M150" s="504"/>
      <c r="N150" s="504"/>
      <c r="O150" s="504"/>
      <c r="P150" s="504"/>
      <c r="Q150" s="504"/>
      <c r="R150" s="504"/>
      <c r="S150" s="504"/>
      <c r="T150" s="504"/>
      <c r="U150" s="504"/>
      <c r="V150" s="504"/>
      <c r="W150" s="504"/>
    </row>
    <row r="151" spans="2:23" ht="11.25" customHeight="1">
      <c r="B151" s="504"/>
      <c r="C151" s="504"/>
      <c r="D151" s="83"/>
      <c r="E151" s="504"/>
      <c r="F151" s="504"/>
      <c r="G151" s="504"/>
      <c r="H151" s="504"/>
      <c r="I151" s="504"/>
      <c r="J151" s="504"/>
      <c r="K151" s="504"/>
      <c r="L151" s="504"/>
      <c r="M151" s="504"/>
      <c r="N151" s="504"/>
      <c r="O151" s="504"/>
      <c r="P151" s="504"/>
      <c r="Q151" s="504"/>
      <c r="R151" s="504"/>
      <c r="S151" s="504"/>
      <c r="T151" s="504"/>
      <c r="U151" s="504"/>
      <c r="V151" s="504"/>
      <c r="W151" s="504"/>
    </row>
    <row r="152" spans="2:23" ht="11.25" customHeight="1">
      <c r="B152" s="504"/>
      <c r="C152" s="504"/>
      <c r="D152" s="83"/>
      <c r="E152" s="504"/>
      <c r="F152" s="504"/>
      <c r="G152" s="504"/>
      <c r="H152" s="504"/>
      <c r="I152" s="504"/>
      <c r="J152" s="504"/>
      <c r="K152" s="504"/>
      <c r="L152" s="504"/>
      <c r="M152" s="504"/>
      <c r="N152" s="504"/>
      <c r="O152" s="504"/>
      <c r="P152" s="504"/>
      <c r="Q152" s="504"/>
      <c r="R152" s="504"/>
      <c r="S152" s="504"/>
      <c r="T152" s="504"/>
      <c r="U152" s="504"/>
      <c r="V152" s="504"/>
      <c r="W152" s="504"/>
    </row>
    <row r="153" spans="2:23" ht="11.25" customHeight="1">
      <c r="B153" s="504"/>
      <c r="C153" s="504"/>
      <c r="D153" s="83"/>
      <c r="E153" s="504"/>
      <c r="F153" s="504"/>
      <c r="G153" s="504"/>
      <c r="H153" s="504"/>
      <c r="I153" s="504"/>
      <c r="J153" s="504"/>
      <c r="K153" s="504"/>
      <c r="L153" s="504"/>
      <c r="M153" s="504"/>
      <c r="N153" s="504"/>
      <c r="O153" s="504"/>
      <c r="P153" s="504"/>
      <c r="Q153" s="504"/>
      <c r="R153" s="504"/>
      <c r="S153" s="504"/>
      <c r="T153" s="504"/>
      <c r="U153" s="504"/>
      <c r="V153" s="504"/>
      <c r="W153" s="504"/>
    </row>
    <row r="154" spans="2:23" ht="11.25" customHeight="1">
      <c r="B154" s="504"/>
      <c r="C154" s="504"/>
      <c r="D154" s="83"/>
      <c r="E154" s="504"/>
      <c r="F154" s="504"/>
      <c r="G154" s="504"/>
      <c r="H154" s="504"/>
      <c r="I154" s="504"/>
      <c r="J154" s="504"/>
      <c r="K154" s="504"/>
      <c r="L154" s="504"/>
      <c r="M154" s="504"/>
      <c r="N154" s="504"/>
      <c r="O154" s="504"/>
      <c r="P154" s="504"/>
      <c r="Q154" s="504"/>
      <c r="R154" s="504"/>
      <c r="S154" s="504"/>
      <c r="T154" s="504"/>
      <c r="U154" s="504"/>
      <c r="V154" s="504"/>
      <c r="W154" s="504"/>
    </row>
    <row r="155" spans="2:23" ht="11.25" customHeight="1">
      <c r="B155" s="504"/>
      <c r="C155" s="504"/>
      <c r="D155" s="83"/>
      <c r="E155" s="504"/>
      <c r="F155" s="504"/>
      <c r="G155" s="504"/>
      <c r="H155" s="504"/>
      <c r="I155" s="504"/>
      <c r="J155" s="504"/>
      <c r="K155" s="504"/>
      <c r="L155" s="504"/>
      <c r="M155" s="504"/>
      <c r="N155" s="504"/>
      <c r="O155" s="504"/>
      <c r="P155" s="504"/>
      <c r="Q155" s="504"/>
      <c r="R155" s="504"/>
      <c r="S155" s="504"/>
      <c r="T155" s="504"/>
      <c r="U155" s="504"/>
      <c r="V155" s="504"/>
      <c r="W155" s="504"/>
    </row>
    <row r="156" spans="2:23" ht="11.25" customHeight="1">
      <c r="B156" s="504"/>
      <c r="C156" s="504"/>
      <c r="D156" s="83"/>
      <c r="E156" s="504"/>
      <c r="F156" s="504"/>
      <c r="G156" s="504"/>
      <c r="H156" s="504"/>
      <c r="I156" s="504"/>
      <c r="J156" s="504"/>
      <c r="K156" s="504"/>
      <c r="L156" s="504"/>
      <c r="M156" s="504"/>
      <c r="N156" s="504"/>
      <c r="O156" s="504"/>
      <c r="P156" s="504"/>
      <c r="Q156" s="504"/>
      <c r="R156" s="504"/>
      <c r="S156" s="504"/>
      <c r="T156" s="504"/>
      <c r="U156" s="504"/>
      <c r="V156" s="504"/>
      <c r="W156" s="504"/>
    </row>
    <row r="157" spans="2:23" ht="11.25" customHeight="1">
      <c r="B157" s="504"/>
      <c r="C157" s="504"/>
      <c r="D157" s="83"/>
      <c r="E157" s="504"/>
      <c r="F157" s="504"/>
      <c r="G157" s="504"/>
      <c r="H157" s="504"/>
      <c r="I157" s="504"/>
      <c r="J157" s="504"/>
      <c r="K157" s="504"/>
      <c r="L157" s="504"/>
      <c r="M157" s="504"/>
      <c r="N157" s="504"/>
      <c r="O157" s="504"/>
      <c r="P157" s="504"/>
      <c r="Q157" s="504"/>
      <c r="R157" s="504"/>
      <c r="S157" s="504"/>
      <c r="T157" s="504"/>
      <c r="U157" s="504"/>
      <c r="V157" s="504"/>
      <c r="W157" s="504"/>
    </row>
    <row r="158" spans="2:23" ht="11.25" customHeight="1">
      <c r="B158" s="504"/>
      <c r="C158" s="504"/>
      <c r="D158" s="83"/>
      <c r="E158" s="504"/>
      <c r="F158" s="504"/>
      <c r="G158" s="504"/>
      <c r="H158" s="504"/>
      <c r="I158" s="504"/>
      <c r="J158" s="504"/>
      <c r="K158" s="504"/>
      <c r="L158" s="504"/>
      <c r="M158" s="504"/>
      <c r="N158" s="504"/>
      <c r="O158" s="504"/>
      <c r="P158" s="504"/>
      <c r="Q158" s="504"/>
      <c r="R158" s="504"/>
      <c r="S158" s="504"/>
      <c r="T158" s="504"/>
      <c r="U158" s="504"/>
      <c r="V158" s="504"/>
      <c r="W158" s="504"/>
    </row>
    <row r="159" spans="2:23" ht="11.25" customHeight="1">
      <c r="B159" s="504"/>
      <c r="C159" s="504"/>
      <c r="D159" s="83"/>
      <c r="E159" s="504"/>
      <c r="F159" s="504"/>
      <c r="G159" s="504"/>
      <c r="H159" s="504"/>
      <c r="I159" s="504"/>
      <c r="J159" s="504"/>
      <c r="K159" s="504"/>
      <c r="L159" s="504"/>
      <c r="M159" s="504"/>
      <c r="N159" s="504"/>
      <c r="O159" s="504"/>
      <c r="P159" s="504"/>
      <c r="Q159" s="504"/>
      <c r="R159" s="504"/>
      <c r="S159" s="504"/>
      <c r="T159" s="504"/>
      <c r="U159" s="504"/>
      <c r="V159" s="504"/>
      <c r="W159" s="504"/>
    </row>
    <row r="160" spans="2:23" ht="11.25" customHeight="1">
      <c r="B160" s="504"/>
      <c r="C160" s="504"/>
      <c r="D160" s="83"/>
      <c r="E160" s="504"/>
      <c r="F160" s="504"/>
      <c r="G160" s="504"/>
      <c r="H160" s="504"/>
      <c r="I160" s="504"/>
      <c r="J160" s="504"/>
      <c r="K160" s="504"/>
      <c r="L160" s="504"/>
      <c r="M160" s="504"/>
      <c r="N160" s="504"/>
      <c r="O160" s="504"/>
      <c r="P160" s="504"/>
      <c r="Q160" s="504"/>
      <c r="R160" s="504"/>
      <c r="S160" s="504"/>
      <c r="T160" s="504"/>
      <c r="U160" s="504"/>
      <c r="V160" s="504"/>
      <c r="W160" s="504"/>
    </row>
    <row r="161" spans="2:23" ht="11.25" customHeight="1">
      <c r="B161" s="504"/>
      <c r="C161" s="504"/>
      <c r="D161" s="83"/>
      <c r="E161" s="504"/>
      <c r="F161" s="504"/>
      <c r="G161" s="504"/>
      <c r="H161" s="504"/>
      <c r="I161" s="504"/>
      <c r="J161" s="504"/>
      <c r="K161" s="504"/>
      <c r="L161" s="504"/>
      <c r="M161" s="504"/>
      <c r="N161" s="504"/>
      <c r="O161" s="504"/>
      <c r="P161" s="504"/>
      <c r="Q161" s="504"/>
      <c r="R161" s="504"/>
      <c r="S161" s="504"/>
      <c r="T161" s="504"/>
      <c r="U161" s="504"/>
      <c r="V161" s="504"/>
      <c r="W161" s="504"/>
    </row>
    <row r="162" spans="2:23" ht="11.25" customHeight="1">
      <c r="B162" s="504"/>
      <c r="C162" s="504"/>
      <c r="D162" s="83"/>
      <c r="E162" s="504"/>
      <c r="F162" s="504"/>
      <c r="G162" s="504"/>
      <c r="H162" s="504"/>
      <c r="I162" s="504"/>
      <c r="J162" s="504"/>
      <c r="K162" s="504"/>
      <c r="L162" s="504"/>
      <c r="M162" s="504"/>
      <c r="N162" s="504"/>
      <c r="O162" s="504"/>
      <c r="P162" s="504"/>
      <c r="Q162" s="504"/>
      <c r="R162" s="504"/>
      <c r="S162" s="504"/>
      <c r="T162" s="504"/>
      <c r="U162" s="504"/>
      <c r="V162" s="504"/>
      <c r="W162" s="504"/>
    </row>
    <row r="163" spans="2:23" ht="11.25" customHeight="1">
      <c r="B163" s="504"/>
      <c r="C163" s="504"/>
      <c r="D163" s="83"/>
      <c r="E163" s="504"/>
      <c r="F163" s="504"/>
      <c r="G163" s="504"/>
      <c r="H163" s="504"/>
      <c r="I163" s="504"/>
      <c r="J163" s="504"/>
      <c r="K163" s="504"/>
      <c r="L163" s="504"/>
      <c r="M163" s="504"/>
      <c r="N163" s="504"/>
      <c r="O163" s="504"/>
      <c r="P163" s="504"/>
      <c r="Q163" s="504"/>
      <c r="R163" s="504"/>
      <c r="S163" s="504"/>
      <c r="T163" s="504"/>
      <c r="U163" s="504"/>
      <c r="V163" s="504"/>
      <c r="W163" s="504"/>
    </row>
    <row r="164" spans="2:23" ht="11.25" customHeight="1">
      <c r="B164" s="504"/>
      <c r="C164" s="504"/>
      <c r="D164" s="83"/>
      <c r="E164" s="504"/>
      <c r="F164" s="504"/>
      <c r="G164" s="504"/>
      <c r="H164" s="504"/>
      <c r="I164" s="504"/>
      <c r="J164" s="504"/>
      <c r="K164" s="504"/>
      <c r="L164" s="504"/>
      <c r="M164" s="504"/>
      <c r="N164" s="504"/>
      <c r="O164" s="504"/>
      <c r="P164" s="504"/>
      <c r="Q164" s="504"/>
      <c r="R164" s="504"/>
      <c r="S164" s="504"/>
      <c r="T164" s="504"/>
      <c r="U164" s="504"/>
      <c r="V164" s="504"/>
      <c r="W164" s="504"/>
    </row>
    <row r="165" spans="2:23" ht="11.25" customHeight="1">
      <c r="B165" s="504"/>
      <c r="C165" s="504"/>
      <c r="D165" s="83"/>
      <c r="E165" s="504"/>
      <c r="F165" s="504"/>
      <c r="G165" s="504"/>
      <c r="H165" s="504"/>
      <c r="I165" s="504"/>
      <c r="J165" s="504"/>
      <c r="K165" s="504"/>
      <c r="L165" s="504"/>
      <c r="M165" s="504"/>
      <c r="N165" s="504"/>
      <c r="O165" s="504"/>
      <c r="P165" s="504"/>
      <c r="Q165" s="504"/>
      <c r="R165" s="504"/>
      <c r="S165" s="504"/>
      <c r="T165" s="504"/>
      <c r="U165" s="504"/>
      <c r="V165" s="504"/>
      <c r="W165" s="504"/>
    </row>
    <row r="166" spans="2:23" ht="11.25" customHeight="1">
      <c r="B166" s="504"/>
      <c r="C166" s="504"/>
      <c r="D166" s="83"/>
      <c r="E166" s="504"/>
      <c r="F166" s="504"/>
      <c r="G166" s="504"/>
      <c r="H166" s="504"/>
      <c r="I166" s="504"/>
      <c r="J166" s="504"/>
      <c r="K166" s="504"/>
      <c r="L166" s="504"/>
      <c r="M166" s="504"/>
      <c r="N166" s="504"/>
      <c r="O166" s="504"/>
      <c r="P166" s="504"/>
      <c r="Q166" s="504"/>
      <c r="R166" s="504"/>
      <c r="S166" s="504"/>
      <c r="T166" s="504"/>
      <c r="U166" s="504"/>
      <c r="V166" s="504"/>
      <c r="W166" s="504"/>
    </row>
    <row r="167" spans="2:23" ht="11.25" customHeight="1">
      <c r="B167" s="504"/>
      <c r="C167" s="504"/>
      <c r="D167" s="83"/>
      <c r="E167" s="504"/>
      <c r="F167" s="504"/>
      <c r="G167" s="504"/>
      <c r="H167" s="504"/>
      <c r="I167" s="504"/>
      <c r="J167" s="504"/>
      <c r="K167" s="504"/>
      <c r="L167" s="504"/>
      <c r="M167" s="504"/>
      <c r="N167" s="504"/>
      <c r="O167" s="504"/>
      <c r="P167" s="504"/>
      <c r="Q167" s="504"/>
      <c r="R167" s="504"/>
      <c r="S167" s="504"/>
      <c r="T167" s="504"/>
      <c r="U167" s="504"/>
      <c r="V167" s="504"/>
      <c r="W167" s="504"/>
    </row>
    <row r="168" spans="2:23" ht="11.25" customHeight="1">
      <c r="B168" s="504"/>
      <c r="C168" s="504"/>
      <c r="D168" s="83"/>
      <c r="E168" s="504"/>
      <c r="F168" s="504"/>
      <c r="G168" s="504"/>
      <c r="H168" s="504"/>
      <c r="I168" s="504"/>
      <c r="J168" s="504"/>
      <c r="K168" s="504"/>
      <c r="L168" s="504"/>
      <c r="M168" s="504"/>
      <c r="N168" s="504"/>
      <c r="O168" s="504"/>
      <c r="P168" s="504"/>
      <c r="Q168" s="504"/>
      <c r="R168" s="504"/>
      <c r="S168" s="504"/>
      <c r="T168" s="504"/>
      <c r="U168" s="504"/>
      <c r="V168" s="504"/>
      <c r="W168" s="504"/>
    </row>
    <row r="169" spans="2:23" ht="11.25" customHeight="1">
      <c r="B169" s="504"/>
      <c r="C169" s="504"/>
      <c r="D169" s="83"/>
      <c r="E169" s="504"/>
      <c r="F169" s="504"/>
      <c r="G169" s="504"/>
      <c r="H169" s="504"/>
      <c r="I169" s="504"/>
      <c r="J169" s="504"/>
      <c r="K169" s="504"/>
      <c r="L169" s="504"/>
      <c r="M169" s="504"/>
      <c r="N169" s="504"/>
      <c r="O169" s="504"/>
      <c r="P169" s="504"/>
      <c r="Q169" s="504"/>
      <c r="R169" s="504"/>
      <c r="S169" s="504"/>
      <c r="T169" s="504"/>
      <c r="U169" s="504"/>
      <c r="V169" s="504"/>
      <c r="W169" s="504"/>
    </row>
    <row r="170" spans="2:23" ht="11.25" customHeight="1">
      <c r="B170" s="504"/>
      <c r="C170" s="504"/>
      <c r="D170" s="83"/>
      <c r="E170" s="504"/>
      <c r="F170" s="504"/>
      <c r="G170" s="504"/>
      <c r="H170" s="504"/>
      <c r="I170" s="504"/>
      <c r="J170" s="504"/>
      <c r="K170" s="504"/>
      <c r="L170" s="504"/>
      <c r="M170" s="504"/>
      <c r="N170" s="504"/>
      <c r="O170" s="504"/>
      <c r="P170" s="504"/>
      <c r="Q170" s="504"/>
      <c r="R170" s="504"/>
      <c r="S170" s="504"/>
      <c r="T170" s="504"/>
      <c r="U170" s="504"/>
      <c r="V170" s="504"/>
      <c r="W170" s="504"/>
    </row>
    <row r="171" spans="2:23" ht="11.25" customHeight="1">
      <c r="B171" s="504"/>
      <c r="C171" s="504"/>
      <c r="D171" s="83"/>
      <c r="E171" s="504"/>
      <c r="F171" s="504"/>
      <c r="G171" s="504"/>
      <c r="H171" s="504"/>
      <c r="I171" s="504"/>
      <c r="J171" s="504"/>
      <c r="K171" s="504"/>
      <c r="L171" s="504"/>
      <c r="M171" s="504"/>
      <c r="N171" s="504"/>
      <c r="O171" s="504"/>
      <c r="P171" s="504"/>
      <c r="Q171" s="504"/>
      <c r="R171" s="504"/>
      <c r="S171" s="504"/>
      <c r="T171" s="504"/>
      <c r="U171" s="504"/>
      <c r="V171" s="504"/>
      <c r="W171" s="504"/>
    </row>
    <row r="172" spans="2:23" ht="11.25" customHeight="1">
      <c r="B172" s="504"/>
      <c r="C172" s="504"/>
      <c r="D172" s="83"/>
      <c r="E172" s="504"/>
      <c r="F172" s="504"/>
      <c r="G172" s="504"/>
      <c r="H172" s="504"/>
      <c r="I172" s="504"/>
      <c r="J172" s="504"/>
      <c r="K172" s="504"/>
      <c r="L172" s="504"/>
      <c r="M172" s="504"/>
      <c r="N172" s="504"/>
      <c r="O172" s="504"/>
      <c r="P172" s="504"/>
      <c r="Q172" s="504"/>
      <c r="R172" s="504"/>
      <c r="S172" s="504"/>
      <c r="T172" s="504"/>
      <c r="U172" s="504"/>
      <c r="V172" s="504"/>
      <c r="W172" s="504"/>
    </row>
    <row r="173" spans="2:23" ht="11.25" customHeight="1">
      <c r="B173" s="504"/>
      <c r="C173" s="504"/>
      <c r="D173" s="83"/>
      <c r="E173" s="504"/>
      <c r="F173" s="504"/>
      <c r="G173" s="504"/>
      <c r="H173" s="504"/>
      <c r="I173" s="504"/>
      <c r="J173" s="504"/>
      <c r="K173" s="504"/>
      <c r="L173" s="504"/>
      <c r="M173" s="504"/>
      <c r="N173" s="504"/>
      <c r="O173" s="504"/>
      <c r="P173" s="504"/>
      <c r="Q173" s="504"/>
      <c r="R173" s="504"/>
      <c r="S173" s="504"/>
      <c r="T173" s="504"/>
      <c r="U173" s="504"/>
      <c r="V173" s="504"/>
      <c r="W173" s="504"/>
    </row>
    <row r="174" spans="2:23" ht="11.25" customHeight="1">
      <c r="B174" s="504"/>
      <c r="C174" s="504"/>
      <c r="D174" s="83"/>
      <c r="E174" s="504"/>
      <c r="F174" s="504"/>
      <c r="G174" s="504"/>
      <c r="H174" s="504"/>
      <c r="I174" s="504"/>
      <c r="J174" s="504"/>
      <c r="K174" s="504"/>
      <c r="L174" s="504"/>
      <c r="M174" s="504"/>
      <c r="N174" s="504"/>
      <c r="O174" s="504"/>
      <c r="P174" s="504"/>
      <c r="Q174" s="504"/>
      <c r="R174" s="504"/>
      <c r="S174" s="504"/>
      <c r="T174" s="504"/>
      <c r="U174" s="504"/>
      <c r="V174" s="504"/>
      <c r="W174" s="504"/>
    </row>
    <row r="175" spans="2:23" ht="11.25" customHeight="1">
      <c r="B175" s="504"/>
      <c r="C175" s="504"/>
      <c r="D175" s="83"/>
      <c r="E175" s="504"/>
      <c r="F175" s="504"/>
      <c r="G175" s="504"/>
      <c r="H175" s="504"/>
      <c r="I175" s="504"/>
      <c r="J175" s="504"/>
      <c r="K175" s="504"/>
      <c r="L175" s="504"/>
      <c r="M175" s="504"/>
      <c r="N175" s="504"/>
      <c r="O175" s="504"/>
      <c r="P175" s="504"/>
      <c r="Q175" s="504"/>
      <c r="R175" s="504"/>
      <c r="S175" s="504"/>
      <c r="T175" s="504"/>
      <c r="U175" s="504"/>
      <c r="V175" s="504"/>
      <c r="W175" s="504"/>
    </row>
    <row r="176" spans="2:23" ht="11.25" customHeight="1">
      <c r="B176" s="504"/>
      <c r="C176" s="504"/>
      <c r="D176" s="83"/>
      <c r="E176" s="504"/>
      <c r="F176" s="504"/>
      <c r="G176" s="504"/>
      <c r="H176" s="504"/>
      <c r="I176" s="504"/>
      <c r="J176" s="504"/>
      <c r="K176" s="504"/>
      <c r="L176" s="504"/>
      <c r="M176" s="504"/>
      <c r="N176" s="504"/>
      <c r="O176" s="504"/>
      <c r="P176" s="504"/>
      <c r="Q176" s="504"/>
      <c r="R176" s="504"/>
      <c r="S176" s="504"/>
      <c r="T176" s="504"/>
      <c r="U176" s="504"/>
      <c r="V176" s="504"/>
      <c r="W176" s="504"/>
    </row>
    <row r="177" spans="2:23" ht="11.25" customHeight="1">
      <c r="B177" s="504"/>
      <c r="C177" s="504"/>
      <c r="D177" s="83"/>
      <c r="E177" s="504"/>
      <c r="F177" s="504"/>
      <c r="G177" s="504"/>
      <c r="H177" s="504"/>
      <c r="I177" s="504"/>
      <c r="J177" s="504"/>
      <c r="K177" s="504"/>
      <c r="L177" s="504"/>
      <c r="M177" s="504"/>
      <c r="N177" s="504"/>
      <c r="O177" s="504"/>
      <c r="P177" s="504"/>
      <c r="Q177" s="504"/>
      <c r="R177" s="504"/>
      <c r="S177" s="504"/>
      <c r="T177" s="504"/>
      <c r="U177" s="504"/>
      <c r="V177" s="504"/>
      <c r="W177" s="504"/>
    </row>
    <row r="178" spans="2:23" ht="11.25" customHeight="1">
      <c r="B178" s="504"/>
      <c r="C178" s="504"/>
      <c r="D178" s="83"/>
      <c r="E178" s="504"/>
      <c r="F178" s="504"/>
      <c r="G178" s="504"/>
      <c r="H178" s="504"/>
      <c r="I178" s="504"/>
      <c r="J178" s="504"/>
      <c r="K178" s="504"/>
      <c r="L178" s="504"/>
      <c r="M178" s="504"/>
      <c r="N178" s="504"/>
      <c r="O178" s="504"/>
      <c r="P178" s="504"/>
      <c r="Q178" s="504"/>
      <c r="R178" s="504"/>
      <c r="S178" s="504"/>
      <c r="T178" s="504"/>
      <c r="U178" s="504"/>
      <c r="V178" s="504"/>
      <c r="W178" s="504"/>
    </row>
    <row r="179" spans="2:23" ht="11.25" customHeight="1">
      <c r="B179" s="504"/>
      <c r="C179" s="504"/>
      <c r="D179" s="83"/>
      <c r="E179" s="504"/>
      <c r="F179" s="504"/>
      <c r="G179" s="504"/>
      <c r="H179" s="504"/>
      <c r="I179" s="504"/>
      <c r="J179" s="504"/>
      <c r="K179" s="504"/>
      <c r="L179" s="504"/>
      <c r="M179" s="504"/>
      <c r="N179" s="504"/>
      <c r="O179" s="504"/>
      <c r="P179" s="504"/>
      <c r="Q179" s="504"/>
      <c r="R179" s="504"/>
      <c r="S179" s="504"/>
      <c r="T179" s="504"/>
      <c r="U179" s="504"/>
      <c r="V179" s="504"/>
      <c r="W179" s="504"/>
    </row>
    <row r="180" spans="2:23" ht="11.25" customHeight="1">
      <c r="B180" s="504"/>
      <c r="C180" s="504"/>
      <c r="D180" s="83"/>
      <c r="E180" s="504"/>
      <c r="F180" s="504"/>
      <c r="G180" s="504"/>
      <c r="H180" s="504"/>
      <c r="I180" s="504"/>
      <c r="J180" s="504"/>
      <c r="K180" s="504"/>
      <c r="L180" s="504"/>
      <c r="M180" s="504"/>
      <c r="N180" s="504"/>
      <c r="O180" s="504"/>
      <c r="P180" s="504"/>
      <c r="Q180" s="504"/>
      <c r="R180" s="504"/>
      <c r="S180" s="504"/>
      <c r="T180" s="504"/>
      <c r="U180" s="504"/>
      <c r="V180" s="504"/>
      <c r="W180" s="504"/>
    </row>
    <row r="181" spans="2:23" ht="11.25" customHeight="1">
      <c r="B181" s="504"/>
      <c r="C181" s="504"/>
      <c r="D181" s="83"/>
      <c r="E181" s="504"/>
      <c r="F181" s="504"/>
      <c r="G181" s="504"/>
      <c r="H181" s="504"/>
      <c r="I181" s="504"/>
      <c r="J181" s="504"/>
      <c r="K181" s="504"/>
      <c r="L181" s="504"/>
      <c r="M181" s="504"/>
      <c r="N181" s="504"/>
      <c r="O181" s="504"/>
      <c r="P181" s="504"/>
      <c r="Q181" s="504"/>
      <c r="R181" s="504"/>
      <c r="S181" s="504"/>
      <c r="T181" s="504"/>
      <c r="U181" s="504"/>
      <c r="V181" s="504"/>
      <c r="W181" s="504"/>
    </row>
    <row r="182" spans="2:23" ht="11.25" customHeight="1">
      <c r="B182" s="504"/>
      <c r="C182" s="504"/>
      <c r="D182" s="83"/>
      <c r="E182" s="504"/>
      <c r="F182" s="504"/>
      <c r="G182" s="504"/>
      <c r="H182" s="504"/>
      <c r="I182" s="504"/>
      <c r="J182" s="504"/>
      <c r="K182" s="504"/>
      <c r="L182" s="504"/>
      <c r="M182" s="504"/>
      <c r="N182" s="504"/>
      <c r="O182" s="504"/>
      <c r="P182" s="504"/>
      <c r="Q182" s="504"/>
      <c r="R182" s="504"/>
      <c r="S182" s="504"/>
      <c r="T182" s="504"/>
      <c r="U182" s="504"/>
      <c r="V182" s="504"/>
      <c r="W182" s="504"/>
    </row>
    <row r="183" spans="2:23" ht="11.25" customHeight="1">
      <c r="B183" s="504"/>
      <c r="C183" s="504"/>
      <c r="D183" s="83"/>
      <c r="E183" s="504"/>
      <c r="F183" s="504"/>
      <c r="G183" s="504"/>
      <c r="H183" s="504"/>
      <c r="I183" s="504"/>
      <c r="J183" s="504"/>
      <c r="K183" s="504"/>
      <c r="L183" s="504"/>
      <c r="M183" s="504"/>
      <c r="N183" s="504"/>
      <c r="O183" s="504"/>
      <c r="P183" s="504"/>
      <c r="Q183" s="504"/>
      <c r="R183" s="504"/>
      <c r="S183" s="504"/>
      <c r="T183" s="504"/>
      <c r="U183" s="504"/>
      <c r="V183" s="504"/>
      <c r="W183" s="504"/>
    </row>
    <row r="184" spans="2:23" ht="11.25" customHeight="1">
      <c r="B184" s="504"/>
      <c r="C184" s="504"/>
      <c r="D184" s="83"/>
      <c r="E184" s="504"/>
      <c r="F184" s="504"/>
      <c r="G184" s="504"/>
      <c r="H184" s="504"/>
      <c r="I184" s="504"/>
      <c r="J184" s="504"/>
      <c r="K184" s="504"/>
      <c r="L184" s="504"/>
      <c r="M184" s="504"/>
      <c r="N184" s="504"/>
      <c r="O184" s="504"/>
      <c r="P184" s="504"/>
      <c r="Q184" s="504"/>
      <c r="R184" s="504"/>
      <c r="S184" s="504"/>
      <c r="T184" s="504"/>
      <c r="U184" s="504"/>
      <c r="V184" s="504"/>
      <c r="W184" s="504"/>
    </row>
    <row r="185" spans="2:23" ht="11.25" customHeight="1">
      <c r="B185" s="504"/>
      <c r="C185" s="504"/>
      <c r="D185" s="83"/>
      <c r="E185" s="504"/>
      <c r="F185" s="504"/>
      <c r="G185" s="504"/>
      <c r="H185" s="504"/>
      <c r="I185" s="504"/>
      <c r="J185" s="504"/>
      <c r="K185" s="504"/>
      <c r="L185" s="504"/>
      <c r="M185" s="504"/>
      <c r="N185" s="504"/>
      <c r="O185" s="504"/>
      <c r="P185" s="504"/>
      <c r="Q185" s="504"/>
      <c r="R185" s="504"/>
      <c r="S185" s="504"/>
      <c r="T185" s="504"/>
      <c r="U185" s="504"/>
      <c r="V185" s="504"/>
      <c r="W185" s="504"/>
    </row>
    <row r="186" spans="2:23" ht="11.25" customHeight="1">
      <c r="B186" s="504"/>
      <c r="C186" s="504"/>
      <c r="D186" s="83"/>
      <c r="E186" s="504"/>
      <c r="F186" s="504"/>
      <c r="G186" s="504"/>
      <c r="H186" s="504"/>
      <c r="I186" s="504"/>
      <c r="J186" s="504"/>
      <c r="K186" s="504"/>
      <c r="L186" s="504"/>
      <c r="M186" s="504"/>
      <c r="N186" s="504"/>
      <c r="O186" s="504"/>
      <c r="P186" s="504"/>
      <c r="Q186" s="504"/>
      <c r="R186" s="504"/>
      <c r="S186" s="504"/>
      <c r="T186" s="504"/>
      <c r="U186" s="504"/>
      <c r="V186" s="504"/>
      <c r="W186" s="504"/>
    </row>
    <row r="187" spans="2:23" ht="11.25" customHeight="1">
      <c r="B187" s="504"/>
      <c r="C187" s="504"/>
      <c r="D187" s="83"/>
      <c r="E187" s="504"/>
      <c r="F187" s="504"/>
      <c r="G187" s="504"/>
      <c r="H187" s="504"/>
      <c r="I187" s="504"/>
      <c r="J187" s="504"/>
      <c r="K187" s="504"/>
      <c r="L187" s="504"/>
      <c r="M187" s="504"/>
      <c r="N187" s="504"/>
      <c r="O187" s="504"/>
      <c r="P187" s="504"/>
      <c r="Q187" s="504"/>
      <c r="R187" s="504"/>
      <c r="S187" s="504"/>
      <c r="T187" s="504"/>
      <c r="U187" s="504"/>
      <c r="V187" s="504"/>
      <c r="W187" s="504"/>
    </row>
    <row r="188" spans="2:23" ht="11.25" customHeight="1">
      <c r="B188" s="504"/>
      <c r="C188" s="504"/>
      <c r="D188" s="83"/>
      <c r="E188" s="504"/>
      <c r="F188" s="504"/>
      <c r="G188" s="504"/>
      <c r="H188" s="504"/>
      <c r="I188" s="504"/>
      <c r="J188" s="504"/>
      <c r="K188" s="504"/>
      <c r="L188" s="504"/>
      <c r="M188" s="504"/>
      <c r="N188" s="504"/>
      <c r="O188" s="504"/>
      <c r="P188" s="504"/>
      <c r="Q188" s="504"/>
      <c r="R188" s="504"/>
      <c r="S188" s="504"/>
      <c r="T188" s="504"/>
      <c r="U188" s="504"/>
      <c r="V188" s="504"/>
      <c r="W188" s="504"/>
    </row>
    <row r="189" spans="2:23" ht="11.25" customHeight="1">
      <c r="B189" s="504"/>
      <c r="C189" s="504"/>
      <c r="D189" s="83"/>
      <c r="E189" s="504"/>
      <c r="F189" s="504"/>
      <c r="G189" s="504"/>
      <c r="H189" s="504"/>
      <c r="I189" s="504"/>
      <c r="J189" s="504"/>
      <c r="K189" s="504"/>
      <c r="L189" s="504"/>
      <c r="M189" s="504"/>
      <c r="N189" s="504"/>
      <c r="O189" s="504"/>
      <c r="P189" s="504"/>
      <c r="Q189" s="504"/>
      <c r="R189" s="504"/>
      <c r="S189" s="504"/>
      <c r="T189" s="504"/>
      <c r="U189" s="504"/>
      <c r="V189" s="504"/>
      <c r="W189" s="504"/>
    </row>
    <row r="190" spans="2:23" ht="11.25" customHeight="1">
      <c r="B190" s="504"/>
      <c r="C190" s="504"/>
      <c r="D190" s="83"/>
      <c r="E190" s="504"/>
      <c r="F190" s="504"/>
      <c r="G190" s="504"/>
      <c r="H190" s="504"/>
      <c r="I190" s="504"/>
      <c r="J190" s="504"/>
      <c r="K190" s="504"/>
      <c r="L190" s="504"/>
      <c r="M190" s="504"/>
      <c r="N190" s="504"/>
      <c r="O190" s="504"/>
      <c r="P190" s="504"/>
      <c r="Q190" s="504"/>
      <c r="R190" s="504"/>
      <c r="S190" s="504"/>
      <c r="T190" s="504"/>
      <c r="U190" s="504"/>
      <c r="V190" s="504"/>
      <c r="W190" s="504"/>
    </row>
    <row r="191" spans="2:23" ht="11.25" customHeight="1">
      <c r="B191" s="504"/>
      <c r="C191" s="504"/>
      <c r="D191" s="83"/>
      <c r="E191" s="504"/>
      <c r="F191" s="504"/>
      <c r="G191" s="504"/>
      <c r="H191" s="504"/>
      <c r="I191" s="504"/>
      <c r="J191" s="504"/>
      <c r="K191" s="504"/>
      <c r="L191" s="504"/>
      <c r="M191" s="504"/>
      <c r="N191" s="504"/>
      <c r="O191" s="504"/>
      <c r="P191" s="504"/>
      <c r="Q191" s="504"/>
      <c r="R191" s="504"/>
      <c r="S191" s="504"/>
      <c r="T191" s="504"/>
      <c r="U191" s="504"/>
      <c r="V191" s="504"/>
      <c r="W191" s="504"/>
    </row>
    <row r="192" spans="2:23" ht="11.25" customHeight="1">
      <c r="B192" s="504"/>
      <c r="C192" s="504"/>
      <c r="D192" s="83"/>
      <c r="E192" s="504"/>
      <c r="F192" s="504"/>
      <c r="G192" s="504"/>
      <c r="H192" s="504"/>
      <c r="I192" s="504"/>
      <c r="J192" s="504"/>
      <c r="K192" s="504"/>
      <c r="L192" s="504"/>
      <c r="M192" s="504"/>
      <c r="N192" s="504"/>
      <c r="O192" s="504"/>
      <c r="P192" s="504"/>
      <c r="Q192" s="504"/>
      <c r="R192" s="504"/>
      <c r="S192" s="504"/>
      <c r="T192" s="504"/>
      <c r="U192" s="504"/>
      <c r="V192" s="504"/>
      <c r="W192" s="504"/>
    </row>
    <row r="193" spans="2:23" ht="11.25" customHeight="1">
      <c r="B193" s="504"/>
      <c r="C193" s="504"/>
      <c r="D193" s="83"/>
      <c r="E193" s="504"/>
      <c r="F193" s="504"/>
      <c r="G193" s="504"/>
      <c r="H193" s="504"/>
      <c r="I193" s="504"/>
      <c r="J193" s="504"/>
      <c r="K193" s="504"/>
      <c r="L193" s="504"/>
      <c r="M193" s="504"/>
      <c r="N193" s="504"/>
      <c r="O193" s="504"/>
      <c r="P193" s="504"/>
      <c r="Q193" s="504"/>
      <c r="R193" s="504"/>
      <c r="S193" s="504"/>
      <c r="T193" s="504"/>
      <c r="U193" s="504"/>
      <c r="V193" s="504"/>
      <c r="W193" s="504"/>
    </row>
    <row r="194" spans="2:23" ht="11.25" customHeight="1">
      <c r="B194" s="504"/>
      <c r="C194" s="504"/>
      <c r="D194" s="83"/>
      <c r="E194" s="504"/>
      <c r="F194" s="504"/>
      <c r="G194" s="504"/>
      <c r="H194" s="504"/>
      <c r="I194" s="504"/>
      <c r="J194" s="504"/>
      <c r="K194" s="504"/>
      <c r="L194" s="504"/>
      <c r="M194" s="504"/>
      <c r="N194" s="504"/>
      <c r="O194" s="504"/>
      <c r="P194" s="504"/>
      <c r="Q194" s="504"/>
      <c r="R194" s="504"/>
      <c r="S194" s="504"/>
      <c r="T194" s="504"/>
      <c r="U194" s="504"/>
      <c r="V194" s="504"/>
      <c r="W194" s="504"/>
    </row>
    <row r="195" spans="2:23" ht="11.25" customHeight="1">
      <c r="B195" s="504"/>
      <c r="C195" s="504"/>
      <c r="D195" s="83"/>
      <c r="E195" s="504"/>
      <c r="F195" s="504"/>
      <c r="G195" s="504"/>
      <c r="H195" s="504"/>
      <c r="I195" s="504"/>
      <c r="J195" s="504"/>
      <c r="K195" s="504"/>
      <c r="L195" s="504"/>
      <c r="M195" s="504"/>
      <c r="N195" s="504"/>
      <c r="O195" s="504"/>
      <c r="P195" s="504"/>
      <c r="Q195" s="504"/>
      <c r="R195" s="504"/>
      <c r="S195" s="504"/>
      <c r="T195" s="504"/>
      <c r="U195" s="504"/>
      <c r="V195" s="504"/>
      <c r="W195" s="504"/>
    </row>
    <row r="196" spans="2:23" ht="11.25" customHeight="1">
      <c r="B196" s="504"/>
      <c r="C196" s="504"/>
      <c r="D196" s="83"/>
      <c r="E196" s="504"/>
      <c r="F196" s="504"/>
      <c r="G196" s="504"/>
      <c r="H196" s="504"/>
      <c r="I196" s="504"/>
      <c r="J196" s="504"/>
      <c r="K196" s="504"/>
      <c r="L196" s="504"/>
      <c r="M196" s="504"/>
      <c r="N196" s="504"/>
      <c r="O196" s="504"/>
      <c r="P196" s="504"/>
      <c r="Q196" s="504"/>
      <c r="R196" s="504"/>
      <c r="S196" s="504"/>
      <c r="T196" s="504"/>
      <c r="U196" s="504"/>
      <c r="V196" s="504"/>
      <c r="W196" s="504"/>
    </row>
    <row r="197" spans="2:23" ht="11.25" customHeight="1">
      <c r="B197" s="504"/>
      <c r="C197" s="504"/>
      <c r="D197" s="83"/>
      <c r="E197" s="504"/>
      <c r="F197" s="504"/>
      <c r="G197" s="504"/>
      <c r="H197" s="504"/>
      <c r="I197" s="504"/>
      <c r="J197" s="504"/>
      <c r="K197" s="504"/>
      <c r="L197" s="504"/>
      <c r="M197" s="504"/>
      <c r="N197" s="504"/>
      <c r="O197" s="504"/>
      <c r="P197" s="504"/>
      <c r="Q197" s="504"/>
      <c r="R197" s="504"/>
      <c r="S197" s="504"/>
      <c r="T197" s="504"/>
      <c r="U197" s="504"/>
      <c r="V197" s="504"/>
      <c r="W197" s="504"/>
    </row>
    <row r="198" spans="2:23" ht="11.25" customHeight="1">
      <c r="B198" s="504"/>
      <c r="C198" s="504"/>
      <c r="D198" s="83"/>
      <c r="E198" s="504"/>
      <c r="F198" s="504"/>
      <c r="G198" s="504"/>
      <c r="H198" s="504"/>
      <c r="I198" s="504"/>
      <c r="J198" s="504"/>
      <c r="K198" s="504"/>
      <c r="L198" s="504"/>
      <c r="M198" s="504"/>
      <c r="N198" s="504"/>
      <c r="O198" s="504"/>
      <c r="P198" s="504"/>
      <c r="Q198" s="504"/>
      <c r="R198" s="504"/>
      <c r="S198" s="504"/>
      <c r="T198" s="504"/>
      <c r="U198" s="504"/>
      <c r="V198" s="504"/>
      <c r="W198" s="504"/>
    </row>
    <row r="199" spans="2:23" ht="11.25" customHeight="1">
      <c r="B199" s="504"/>
      <c r="C199" s="504"/>
      <c r="D199" s="83"/>
      <c r="E199" s="504"/>
      <c r="F199" s="504"/>
      <c r="G199" s="504"/>
      <c r="H199" s="504"/>
      <c r="I199" s="504"/>
      <c r="J199" s="504"/>
      <c r="K199" s="504"/>
      <c r="L199" s="504"/>
      <c r="M199" s="504"/>
      <c r="N199" s="504"/>
      <c r="O199" s="504"/>
      <c r="P199" s="504"/>
      <c r="Q199" s="504"/>
      <c r="R199" s="504"/>
      <c r="S199" s="504"/>
      <c r="T199" s="504"/>
      <c r="U199" s="504"/>
      <c r="V199" s="504"/>
      <c r="W199" s="504"/>
    </row>
    <row r="200" spans="2:23" ht="11.25" customHeight="1">
      <c r="B200" s="504"/>
      <c r="C200" s="504"/>
      <c r="D200" s="83"/>
      <c r="E200" s="504"/>
      <c r="F200" s="504"/>
      <c r="G200" s="504"/>
      <c r="H200" s="504"/>
      <c r="I200" s="504"/>
      <c r="J200" s="504"/>
      <c r="K200" s="504"/>
      <c r="L200" s="504"/>
      <c r="M200" s="504"/>
      <c r="N200" s="504"/>
      <c r="O200" s="504"/>
      <c r="P200" s="504"/>
      <c r="Q200" s="504"/>
      <c r="R200" s="504"/>
      <c r="S200" s="504"/>
      <c r="T200" s="504"/>
      <c r="U200" s="504"/>
      <c r="V200" s="504"/>
      <c r="W200" s="504"/>
    </row>
    <row r="201" spans="2:23" ht="11.25" customHeight="1">
      <c r="B201" s="504"/>
      <c r="C201" s="504"/>
      <c r="D201" s="83"/>
      <c r="E201" s="504"/>
      <c r="F201" s="504"/>
      <c r="G201" s="504"/>
      <c r="H201" s="504"/>
      <c r="I201" s="504"/>
      <c r="J201" s="504"/>
      <c r="K201" s="504"/>
      <c r="L201" s="504"/>
      <c r="M201" s="504"/>
      <c r="N201" s="504"/>
      <c r="O201" s="504"/>
      <c r="P201" s="504"/>
      <c r="Q201" s="504"/>
      <c r="R201" s="504"/>
      <c r="S201" s="504"/>
      <c r="T201" s="504"/>
      <c r="U201" s="504"/>
      <c r="V201" s="504"/>
      <c r="W201" s="504"/>
    </row>
    <row r="202" spans="2:23" ht="11.25" customHeight="1">
      <c r="B202" s="504"/>
      <c r="C202" s="504"/>
      <c r="D202" s="83"/>
      <c r="E202" s="504"/>
      <c r="F202" s="504"/>
      <c r="G202" s="504"/>
      <c r="H202" s="504"/>
      <c r="I202" s="504"/>
      <c r="J202" s="504"/>
      <c r="K202" s="504"/>
      <c r="L202" s="504"/>
      <c r="M202" s="504"/>
      <c r="N202" s="504"/>
      <c r="O202" s="504"/>
      <c r="P202" s="504"/>
      <c r="Q202" s="504"/>
      <c r="R202" s="504"/>
      <c r="S202" s="504"/>
      <c r="T202" s="504"/>
      <c r="U202" s="504"/>
      <c r="V202" s="504"/>
      <c r="W202" s="504"/>
    </row>
    <row r="203" spans="2:23" ht="11.25" customHeight="1">
      <c r="B203" s="504"/>
      <c r="C203" s="504"/>
      <c r="D203" s="83"/>
      <c r="E203" s="504"/>
      <c r="F203" s="504"/>
      <c r="G203" s="504"/>
      <c r="H203" s="504"/>
      <c r="I203" s="504"/>
      <c r="J203" s="504"/>
      <c r="K203" s="504"/>
      <c r="L203" s="504"/>
      <c r="M203" s="504"/>
      <c r="N203" s="504"/>
      <c r="O203" s="504"/>
      <c r="P203" s="504"/>
      <c r="Q203" s="504"/>
      <c r="R203" s="504"/>
      <c r="S203" s="504"/>
      <c r="T203" s="504"/>
      <c r="U203" s="504"/>
      <c r="V203" s="504"/>
      <c r="W203" s="504"/>
    </row>
    <row r="204" spans="2:23" ht="11.25" customHeight="1">
      <c r="B204" s="504"/>
      <c r="C204" s="504"/>
      <c r="D204" s="83"/>
      <c r="E204" s="504"/>
      <c r="F204" s="504"/>
      <c r="G204" s="504"/>
      <c r="H204" s="504"/>
      <c r="I204" s="504"/>
      <c r="J204" s="504"/>
      <c r="K204" s="504"/>
      <c r="L204" s="504"/>
      <c r="M204" s="504"/>
      <c r="N204" s="504"/>
      <c r="O204" s="504"/>
      <c r="P204" s="504"/>
      <c r="Q204" s="504"/>
      <c r="R204" s="504"/>
      <c r="S204" s="504"/>
      <c r="T204" s="504"/>
      <c r="U204" s="504"/>
      <c r="V204" s="504"/>
      <c r="W204" s="504"/>
    </row>
    <row r="205" spans="2:23" ht="11.25" customHeight="1">
      <c r="B205" s="504"/>
      <c r="C205" s="504"/>
      <c r="D205" s="83"/>
      <c r="E205" s="504"/>
      <c r="F205" s="504"/>
      <c r="G205" s="504"/>
      <c r="H205" s="504"/>
      <c r="I205" s="504"/>
      <c r="J205" s="504"/>
      <c r="K205" s="504"/>
      <c r="L205" s="504"/>
      <c r="M205" s="504"/>
      <c r="N205" s="504"/>
      <c r="O205" s="504"/>
      <c r="P205" s="504"/>
      <c r="Q205" s="504"/>
      <c r="R205" s="504"/>
      <c r="S205" s="504"/>
      <c r="T205" s="504"/>
      <c r="U205" s="504"/>
      <c r="V205" s="504"/>
      <c r="W205" s="504"/>
    </row>
    <row r="206" spans="2:23" ht="11.25" customHeight="1">
      <c r="B206" s="504"/>
      <c r="C206" s="504"/>
      <c r="D206" s="83"/>
      <c r="E206" s="504"/>
      <c r="F206" s="504"/>
      <c r="G206" s="504"/>
      <c r="H206" s="504"/>
      <c r="I206" s="504"/>
      <c r="J206" s="504"/>
      <c r="K206" s="504"/>
      <c r="L206" s="504"/>
      <c r="M206" s="504"/>
      <c r="N206" s="504"/>
      <c r="O206" s="504"/>
      <c r="P206" s="504"/>
      <c r="Q206" s="504"/>
      <c r="R206" s="504"/>
      <c r="S206" s="504"/>
      <c r="T206" s="504"/>
      <c r="U206" s="504"/>
      <c r="V206" s="504"/>
      <c r="W206" s="504"/>
    </row>
    <row r="207" spans="2:23" ht="11.25" customHeight="1">
      <c r="B207" s="504"/>
      <c r="C207" s="504"/>
      <c r="D207" s="83"/>
      <c r="E207" s="504"/>
      <c r="F207" s="504"/>
      <c r="G207" s="504"/>
      <c r="H207" s="504"/>
      <c r="I207" s="504"/>
      <c r="J207" s="504"/>
      <c r="K207" s="504"/>
      <c r="L207" s="504"/>
      <c r="M207" s="504"/>
      <c r="N207" s="504"/>
      <c r="O207" s="504"/>
      <c r="P207" s="504"/>
      <c r="Q207" s="504"/>
      <c r="R207" s="504"/>
      <c r="S207" s="504"/>
      <c r="T207" s="504"/>
      <c r="U207" s="504"/>
      <c r="V207" s="504"/>
      <c r="W207" s="504"/>
    </row>
    <row r="208" spans="2:23" ht="11.25" customHeight="1">
      <c r="B208" s="504"/>
      <c r="C208" s="504"/>
      <c r="D208" s="83"/>
      <c r="E208" s="504"/>
      <c r="F208" s="504"/>
      <c r="G208" s="504"/>
      <c r="H208" s="504"/>
      <c r="I208" s="504"/>
      <c r="J208" s="504"/>
      <c r="K208" s="504"/>
      <c r="L208" s="504"/>
      <c r="M208" s="504"/>
      <c r="N208" s="504"/>
      <c r="O208" s="504"/>
      <c r="P208" s="504"/>
      <c r="Q208" s="504"/>
      <c r="R208" s="504"/>
      <c r="S208" s="504"/>
      <c r="T208" s="504"/>
      <c r="U208" s="504"/>
      <c r="V208" s="504"/>
      <c r="W208" s="504"/>
    </row>
    <row r="209" spans="2:23" ht="11.25" customHeight="1">
      <c r="B209" s="504"/>
      <c r="C209" s="504"/>
      <c r="D209" s="83"/>
      <c r="E209" s="504"/>
      <c r="F209" s="504"/>
      <c r="G209" s="504"/>
      <c r="H209" s="504"/>
      <c r="I209" s="504"/>
      <c r="J209" s="504"/>
      <c r="K209" s="504"/>
      <c r="L209" s="504"/>
      <c r="M209" s="504"/>
      <c r="N209" s="504"/>
      <c r="O209" s="504"/>
      <c r="P209" s="504"/>
      <c r="Q209" s="504"/>
      <c r="R209" s="504"/>
      <c r="S209" s="504"/>
      <c r="T209" s="504"/>
      <c r="U209" s="504"/>
      <c r="V209" s="504"/>
      <c r="W209" s="504"/>
    </row>
    <row r="210" spans="2:23" ht="11.25" customHeight="1">
      <c r="B210" s="504"/>
      <c r="C210" s="504"/>
      <c r="D210" s="83"/>
      <c r="E210" s="504"/>
      <c r="F210" s="504"/>
      <c r="G210" s="504"/>
      <c r="H210" s="504"/>
      <c r="I210" s="504"/>
      <c r="J210" s="504"/>
      <c r="K210" s="504"/>
      <c r="L210" s="504"/>
      <c r="M210" s="504"/>
      <c r="N210" s="504"/>
      <c r="O210" s="504"/>
      <c r="P210" s="504"/>
      <c r="Q210" s="504"/>
      <c r="R210" s="504"/>
      <c r="S210" s="504"/>
      <c r="T210" s="504"/>
      <c r="U210" s="504"/>
      <c r="V210" s="504"/>
      <c r="W210" s="504"/>
    </row>
    <row r="211" spans="2:23" ht="11.25" customHeight="1">
      <c r="B211" s="504"/>
      <c r="C211" s="504"/>
      <c r="D211" s="83"/>
      <c r="E211" s="504"/>
      <c r="F211" s="504"/>
      <c r="G211" s="504"/>
      <c r="H211" s="504"/>
      <c r="I211" s="504"/>
      <c r="J211" s="504"/>
      <c r="K211" s="504"/>
      <c r="L211" s="504"/>
      <c r="M211" s="504"/>
      <c r="N211" s="504"/>
      <c r="O211" s="504"/>
      <c r="P211" s="504"/>
      <c r="Q211" s="504"/>
      <c r="R211" s="504"/>
      <c r="S211" s="504"/>
      <c r="T211" s="504"/>
      <c r="U211" s="504"/>
      <c r="V211" s="504"/>
      <c r="W211" s="504"/>
    </row>
    <row r="212" spans="2:23" ht="11.25" customHeight="1">
      <c r="B212" s="504"/>
      <c r="C212" s="504"/>
      <c r="D212" s="83"/>
      <c r="E212" s="504"/>
      <c r="F212" s="504"/>
      <c r="G212" s="504"/>
      <c r="H212" s="504"/>
      <c r="I212" s="504"/>
      <c r="J212" s="504"/>
      <c r="K212" s="504"/>
      <c r="L212" s="504"/>
      <c r="M212" s="504"/>
      <c r="N212" s="504"/>
      <c r="O212" s="504"/>
      <c r="P212" s="504"/>
      <c r="Q212" s="504"/>
      <c r="R212" s="504"/>
      <c r="S212" s="504"/>
      <c r="T212" s="504"/>
      <c r="U212" s="504"/>
      <c r="V212" s="504"/>
      <c r="W212" s="504"/>
    </row>
    <row r="213" spans="2:23" ht="11.25" customHeight="1">
      <c r="B213" s="504"/>
      <c r="C213" s="504"/>
      <c r="D213" s="83"/>
      <c r="E213" s="504"/>
      <c r="F213" s="504"/>
      <c r="G213" s="504"/>
      <c r="H213" s="504"/>
      <c r="I213" s="504"/>
      <c r="J213" s="504"/>
      <c r="K213" s="504"/>
      <c r="L213" s="504"/>
      <c r="M213" s="504"/>
      <c r="N213" s="504"/>
      <c r="O213" s="504"/>
      <c r="P213" s="504"/>
      <c r="Q213" s="504"/>
      <c r="R213" s="504"/>
      <c r="S213" s="504"/>
      <c r="T213" s="504"/>
      <c r="U213" s="504"/>
      <c r="V213" s="504"/>
      <c r="W213" s="504"/>
    </row>
    <row r="214" spans="2:23" ht="11.25" customHeight="1">
      <c r="B214" s="504"/>
      <c r="C214" s="504"/>
      <c r="D214" s="83"/>
      <c r="E214" s="504"/>
      <c r="F214" s="504"/>
      <c r="G214" s="504"/>
      <c r="H214" s="504"/>
      <c r="I214" s="504"/>
      <c r="J214" s="504"/>
      <c r="K214" s="504"/>
      <c r="L214" s="504"/>
      <c r="M214" s="504"/>
      <c r="N214" s="504"/>
      <c r="O214" s="504"/>
      <c r="P214" s="504"/>
      <c r="Q214" s="504"/>
      <c r="R214" s="504"/>
      <c r="S214" s="504"/>
      <c r="T214" s="504"/>
      <c r="U214" s="504"/>
      <c r="V214" s="504"/>
      <c r="W214" s="504"/>
    </row>
    <row r="215" spans="2:23" ht="11.25" customHeight="1">
      <c r="B215" s="504"/>
      <c r="C215" s="504"/>
      <c r="D215" s="83"/>
      <c r="E215" s="504"/>
      <c r="F215" s="504"/>
      <c r="G215" s="504"/>
      <c r="H215" s="504"/>
      <c r="I215" s="504"/>
      <c r="J215" s="504"/>
      <c r="K215" s="504"/>
      <c r="L215" s="504"/>
      <c r="M215" s="504"/>
      <c r="N215" s="504"/>
      <c r="O215" s="504"/>
      <c r="P215" s="504"/>
      <c r="Q215" s="504"/>
      <c r="R215" s="504"/>
      <c r="S215" s="504"/>
      <c r="T215" s="504"/>
      <c r="U215" s="504"/>
      <c r="V215" s="504"/>
      <c r="W215" s="504"/>
    </row>
    <row r="216" spans="2:23" ht="11.25" customHeight="1">
      <c r="B216" s="504"/>
      <c r="C216" s="504"/>
      <c r="D216" s="83"/>
      <c r="E216" s="504"/>
      <c r="F216" s="504"/>
      <c r="G216" s="504"/>
      <c r="H216" s="504"/>
      <c r="I216" s="504"/>
      <c r="J216" s="504"/>
      <c r="K216" s="504"/>
      <c r="L216" s="504"/>
      <c r="M216" s="504"/>
      <c r="N216" s="504"/>
      <c r="O216" s="504"/>
      <c r="P216" s="504"/>
      <c r="Q216" s="504"/>
      <c r="R216" s="504"/>
      <c r="S216" s="504"/>
      <c r="T216" s="504"/>
      <c r="U216" s="504"/>
      <c r="V216" s="504"/>
      <c r="W216" s="504"/>
    </row>
    <row r="217" spans="2:23" ht="11.25" customHeight="1">
      <c r="B217" s="504"/>
      <c r="C217" s="504"/>
      <c r="D217" s="83"/>
      <c r="E217" s="504"/>
      <c r="F217" s="504"/>
      <c r="G217" s="504"/>
      <c r="H217" s="504"/>
      <c r="I217" s="504"/>
      <c r="J217" s="504"/>
      <c r="K217" s="504"/>
      <c r="L217" s="504"/>
      <c r="M217" s="504"/>
      <c r="N217" s="504"/>
      <c r="O217" s="504"/>
      <c r="P217" s="504"/>
      <c r="Q217" s="504"/>
      <c r="R217" s="504"/>
      <c r="S217" s="504"/>
      <c r="T217" s="504"/>
      <c r="U217" s="504"/>
      <c r="V217" s="504"/>
      <c r="W217" s="504"/>
    </row>
    <row r="218" spans="2:23" ht="11.25" customHeight="1">
      <c r="B218" s="504"/>
      <c r="C218" s="504"/>
      <c r="D218" s="83"/>
      <c r="E218" s="504"/>
      <c r="F218" s="504"/>
      <c r="G218" s="504"/>
      <c r="H218" s="504"/>
      <c r="I218" s="504"/>
      <c r="J218" s="504"/>
      <c r="K218" s="504"/>
      <c r="L218" s="504"/>
      <c r="M218" s="504"/>
      <c r="N218" s="504"/>
      <c r="O218" s="504"/>
      <c r="P218" s="504"/>
      <c r="Q218" s="504"/>
      <c r="R218" s="504"/>
      <c r="S218" s="504"/>
      <c r="T218" s="504"/>
      <c r="U218" s="504"/>
      <c r="V218" s="504"/>
      <c r="W218" s="504"/>
    </row>
    <row r="219" spans="2:23" ht="11.25" customHeight="1">
      <c r="B219" s="504"/>
      <c r="C219" s="504"/>
      <c r="D219" s="83"/>
      <c r="E219" s="504"/>
      <c r="F219" s="504"/>
      <c r="G219" s="504"/>
      <c r="H219" s="504"/>
      <c r="I219" s="504"/>
      <c r="J219" s="504"/>
      <c r="K219" s="504"/>
      <c r="L219" s="504"/>
      <c r="M219" s="504"/>
      <c r="N219" s="504"/>
      <c r="O219" s="504"/>
      <c r="P219" s="504"/>
      <c r="Q219" s="504"/>
      <c r="R219" s="504"/>
      <c r="S219" s="504"/>
      <c r="T219" s="504"/>
      <c r="U219" s="504"/>
      <c r="V219" s="504"/>
      <c r="W219" s="504"/>
    </row>
    <row r="220" spans="2:23" ht="11.25" customHeight="1">
      <c r="B220" s="504"/>
      <c r="C220" s="504"/>
      <c r="D220" s="83"/>
      <c r="E220" s="504"/>
      <c r="F220" s="504"/>
      <c r="G220" s="504"/>
      <c r="H220" s="504"/>
      <c r="I220" s="504"/>
      <c r="J220" s="504"/>
      <c r="K220" s="504"/>
      <c r="L220" s="504"/>
      <c r="M220" s="504"/>
      <c r="N220" s="504"/>
      <c r="O220" s="504"/>
      <c r="P220" s="504"/>
      <c r="Q220" s="504"/>
      <c r="R220" s="504"/>
      <c r="S220" s="504"/>
      <c r="T220" s="504"/>
      <c r="U220" s="504"/>
      <c r="V220" s="504"/>
      <c r="W220" s="504"/>
    </row>
    <row r="221" spans="2:23" ht="11.25" customHeight="1">
      <c r="B221" s="504"/>
      <c r="C221" s="504"/>
      <c r="D221" s="83"/>
      <c r="E221" s="504"/>
      <c r="F221" s="504"/>
      <c r="G221" s="504"/>
      <c r="H221" s="504"/>
      <c r="I221" s="504"/>
      <c r="J221" s="504"/>
      <c r="K221" s="504"/>
      <c r="L221" s="504"/>
      <c r="M221" s="504"/>
      <c r="N221" s="504"/>
      <c r="O221" s="504"/>
      <c r="P221" s="504"/>
      <c r="Q221" s="504"/>
      <c r="R221" s="504"/>
      <c r="S221" s="504"/>
      <c r="T221" s="504"/>
      <c r="U221" s="504"/>
      <c r="V221" s="504"/>
      <c r="W221" s="504"/>
    </row>
    <row r="222" spans="2:23" ht="11.25" customHeight="1">
      <c r="B222" s="504"/>
      <c r="C222" s="504"/>
      <c r="D222" s="83"/>
      <c r="E222" s="504"/>
      <c r="F222" s="504"/>
      <c r="G222" s="504"/>
      <c r="H222" s="504"/>
      <c r="I222" s="504"/>
      <c r="J222" s="504"/>
      <c r="K222" s="504"/>
      <c r="L222" s="504"/>
      <c r="M222" s="504"/>
      <c r="N222" s="504"/>
      <c r="O222" s="504"/>
      <c r="P222" s="504"/>
      <c r="Q222" s="504"/>
      <c r="R222" s="504"/>
      <c r="S222" s="504"/>
      <c r="T222" s="504"/>
      <c r="U222" s="504"/>
      <c r="V222" s="504"/>
      <c r="W222" s="504"/>
    </row>
    <row r="223" spans="2:23" ht="11.25" customHeight="1">
      <c r="B223" s="504"/>
      <c r="C223" s="504"/>
      <c r="D223" s="83"/>
      <c r="E223" s="504"/>
      <c r="F223" s="504"/>
      <c r="G223" s="504"/>
      <c r="H223" s="504"/>
      <c r="I223" s="504"/>
      <c r="J223" s="504"/>
      <c r="K223" s="504"/>
      <c r="L223" s="504"/>
      <c r="M223" s="504"/>
      <c r="N223" s="504"/>
      <c r="O223" s="504"/>
      <c r="P223" s="504"/>
      <c r="Q223" s="504"/>
      <c r="R223" s="504"/>
      <c r="S223" s="504"/>
      <c r="T223" s="504"/>
      <c r="U223" s="504"/>
      <c r="V223" s="504"/>
      <c r="W223" s="504"/>
    </row>
    <row r="224" spans="2:23" ht="11.25" customHeight="1">
      <c r="B224" s="504"/>
      <c r="C224" s="504"/>
      <c r="D224" s="83"/>
      <c r="E224" s="504"/>
      <c r="F224" s="504"/>
      <c r="G224" s="504"/>
      <c r="H224" s="504"/>
      <c r="I224" s="504"/>
      <c r="J224" s="504"/>
      <c r="K224" s="504"/>
      <c r="L224" s="504"/>
      <c r="M224" s="504"/>
      <c r="N224" s="504"/>
      <c r="O224" s="504"/>
      <c r="P224" s="504"/>
      <c r="Q224" s="504"/>
      <c r="R224" s="504"/>
      <c r="S224" s="504"/>
      <c r="T224" s="504"/>
      <c r="U224" s="504"/>
      <c r="V224" s="504"/>
      <c r="W224" s="504"/>
    </row>
    <row r="225" spans="2:23" ht="11.25" customHeight="1">
      <c r="B225" s="504"/>
      <c r="C225" s="504"/>
      <c r="D225" s="83"/>
      <c r="E225" s="504"/>
      <c r="F225" s="504"/>
      <c r="G225" s="504"/>
      <c r="H225" s="504"/>
      <c r="I225" s="504"/>
      <c r="J225" s="504"/>
      <c r="K225" s="504"/>
      <c r="L225" s="504"/>
      <c r="M225" s="504"/>
      <c r="N225" s="504"/>
      <c r="O225" s="504"/>
      <c r="P225" s="504"/>
      <c r="Q225" s="504"/>
      <c r="R225" s="504"/>
      <c r="S225" s="504"/>
      <c r="T225" s="504"/>
      <c r="U225" s="504"/>
      <c r="V225" s="504"/>
      <c r="W225" s="504"/>
    </row>
    <row r="226" spans="2:23" ht="11.25" customHeight="1">
      <c r="B226" s="504"/>
      <c r="C226" s="504"/>
      <c r="D226" s="83"/>
      <c r="E226" s="504"/>
      <c r="F226" s="504"/>
      <c r="G226" s="504"/>
      <c r="H226" s="504"/>
      <c r="I226" s="504"/>
      <c r="J226" s="504"/>
      <c r="K226" s="504"/>
      <c r="L226" s="504"/>
      <c r="M226" s="504"/>
      <c r="N226" s="504"/>
      <c r="O226" s="504"/>
      <c r="P226" s="504"/>
      <c r="Q226" s="504"/>
      <c r="R226" s="504"/>
      <c r="S226" s="504"/>
      <c r="T226" s="504"/>
      <c r="U226" s="504"/>
      <c r="V226" s="504"/>
      <c r="W226" s="504"/>
    </row>
    <row r="227" spans="2:23" ht="11.25" customHeight="1">
      <c r="B227" s="504"/>
      <c r="C227" s="504"/>
      <c r="D227" s="83"/>
      <c r="E227" s="504"/>
      <c r="F227" s="504"/>
      <c r="G227" s="504"/>
      <c r="H227" s="504"/>
      <c r="I227" s="504"/>
      <c r="J227" s="504"/>
      <c r="K227" s="504"/>
      <c r="L227" s="504"/>
      <c r="M227" s="504"/>
      <c r="N227" s="504"/>
      <c r="O227" s="504"/>
      <c r="P227" s="504"/>
      <c r="Q227" s="504"/>
      <c r="R227" s="504"/>
      <c r="S227" s="504"/>
      <c r="T227" s="504"/>
      <c r="U227" s="504"/>
      <c r="V227" s="504"/>
      <c r="W227" s="504"/>
    </row>
    <row r="228" spans="2:23" ht="11.25" customHeight="1">
      <c r="B228" s="504"/>
      <c r="C228" s="504"/>
      <c r="D228" s="83"/>
      <c r="E228" s="504"/>
      <c r="F228" s="504"/>
      <c r="G228" s="504"/>
      <c r="H228" s="504"/>
      <c r="I228" s="504"/>
      <c r="J228" s="504"/>
      <c r="K228" s="504"/>
      <c r="L228" s="504"/>
      <c r="M228" s="504"/>
      <c r="N228" s="504"/>
      <c r="O228" s="504"/>
      <c r="P228" s="504"/>
      <c r="Q228" s="504"/>
      <c r="R228" s="504"/>
      <c r="S228" s="504"/>
      <c r="T228" s="504"/>
      <c r="U228" s="504"/>
      <c r="V228" s="504"/>
      <c r="W228" s="504"/>
    </row>
    <row r="229" spans="2:23" ht="11.25" customHeight="1">
      <c r="B229" s="504"/>
      <c r="C229" s="504"/>
      <c r="D229" s="83"/>
      <c r="E229" s="504"/>
      <c r="F229" s="504"/>
      <c r="G229" s="504"/>
      <c r="H229" s="504"/>
      <c r="I229" s="504"/>
      <c r="J229" s="504"/>
      <c r="K229" s="504"/>
      <c r="L229" s="504"/>
      <c r="M229" s="504"/>
      <c r="N229" s="504"/>
      <c r="O229" s="504"/>
      <c r="P229" s="504"/>
      <c r="Q229" s="504"/>
      <c r="R229" s="504"/>
      <c r="S229" s="504"/>
      <c r="T229" s="504"/>
      <c r="U229" s="504"/>
      <c r="V229" s="504"/>
      <c r="W229" s="504"/>
    </row>
    <row r="230" spans="2:23" ht="11.25" customHeight="1">
      <c r="B230" s="504"/>
      <c r="C230" s="504"/>
      <c r="D230" s="83"/>
      <c r="E230" s="504"/>
      <c r="F230" s="504"/>
      <c r="G230" s="504"/>
      <c r="H230" s="504"/>
      <c r="I230" s="504"/>
      <c r="J230" s="504"/>
      <c r="K230" s="504"/>
      <c r="L230" s="504"/>
      <c r="M230" s="504"/>
      <c r="N230" s="504"/>
      <c r="O230" s="504"/>
      <c r="P230" s="504"/>
      <c r="Q230" s="504"/>
      <c r="R230" s="504"/>
      <c r="S230" s="504"/>
      <c r="T230" s="504"/>
      <c r="U230" s="504"/>
      <c r="V230" s="504"/>
      <c r="W230" s="504"/>
    </row>
    <row r="231" spans="2:23" ht="11.25" customHeight="1">
      <c r="B231" s="504"/>
      <c r="C231" s="504"/>
      <c r="D231" s="83"/>
      <c r="E231" s="504"/>
      <c r="F231" s="504"/>
      <c r="G231" s="504"/>
      <c r="H231" s="504"/>
      <c r="I231" s="504"/>
      <c r="J231" s="504"/>
      <c r="K231" s="504"/>
      <c r="L231" s="504"/>
      <c r="M231" s="504"/>
      <c r="N231" s="504"/>
      <c r="O231" s="504"/>
      <c r="P231" s="504"/>
      <c r="Q231" s="504"/>
      <c r="R231" s="504"/>
      <c r="S231" s="504"/>
      <c r="T231" s="504"/>
      <c r="U231" s="504"/>
      <c r="V231" s="504"/>
      <c r="W231" s="504"/>
    </row>
    <row r="232" spans="2:23" ht="11.25" customHeight="1">
      <c r="B232" s="504"/>
      <c r="C232" s="504"/>
      <c r="D232" s="83"/>
      <c r="E232" s="504"/>
      <c r="F232" s="504"/>
      <c r="G232" s="504"/>
      <c r="H232" s="504"/>
      <c r="I232" s="504"/>
      <c r="J232" s="504"/>
      <c r="K232" s="504"/>
      <c r="L232" s="504"/>
      <c r="M232" s="504"/>
      <c r="N232" s="504"/>
      <c r="O232" s="504"/>
      <c r="P232" s="504"/>
      <c r="Q232" s="504"/>
      <c r="R232" s="504"/>
      <c r="S232" s="504"/>
      <c r="T232" s="504"/>
      <c r="U232" s="504"/>
      <c r="V232" s="504"/>
      <c r="W232" s="504"/>
    </row>
    <row r="233" spans="2:23" ht="11.25" customHeight="1">
      <c r="B233" s="504"/>
      <c r="C233" s="504"/>
      <c r="D233" s="83"/>
      <c r="E233" s="504"/>
      <c r="F233" s="504"/>
      <c r="G233" s="504"/>
      <c r="H233" s="504"/>
      <c r="I233" s="504"/>
      <c r="J233" s="504"/>
      <c r="K233" s="504"/>
      <c r="L233" s="504"/>
      <c r="M233" s="504"/>
      <c r="N233" s="504"/>
      <c r="O233" s="504"/>
      <c r="P233" s="504"/>
      <c r="Q233" s="504"/>
      <c r="R233" s="504"/>
      <c r="S233" s="504"/>
      <c r="T233" s="504"/>
      <c r="U233" s="504"/>
      <c r="V233" s="504"/>
      <c r="W233" s="504"/>
    </row>
    <row r="234" spans="2:23" ht="11.25" customHeight="1">
      <c r="B234" s="504"/>
      <c r="C234" s="504"/>
      <c r="D234" s="83"/>
      <c r="E234" s="504"/>
      <c r="F234" s="504"/>
      <c r="G234" s="504"/>
      <c r="H234" s="504"/>
      <c r="I234" s="504"/>
      <c r="J234" s="504"/>
      <c r="K234" s="504"/>
      <c r="L234" s="504"/>
      <c r="M234" s="504"/>
      <c r="N234" s="504"/>
      <c r="O234" s="504"/>
      <c r="P234" s="504"/>
      <c r="Q234" s="504"/>
      <c r="R234" s="504"/>
      <c r="S234" s="504"/>
      <c r="T234" s="504"/>
      <c r="U234" s="504"/>
      <c r="V234" s="504"/>
      <c r="W234" s="504"/>
    </row>
    <row r="235" spans="2:23" ht="11.25" customHeight="1">
      <c r="B235" s="504"/>
      <c r="C235" s="504"/>
      <c r="D235" s="83"/>
      <c r="E235" s="504"/>
      <c r="F235" s="504"/>
      <c r="G235" s="504"/>
      <c r="H235" s="504"/>
      <c r="I235" s="504"/>
      <c r="J235" s="504"/>
      <c r="K235" s="504"/>
      <c r="L235" s="504"/>
      <c r="M235" s="504"/>
      <c r="N235" s="504"/>
      <c r="O235" s="504"/>
      <c r="P235" s="504"/>
      <c r="Q235" s="504"/>
      <c r="R235" s="504"/>
      <c r="S235" s="504"/>
      <c r="T235" s="504"/>
      <c r="U235" s="504"/>
      <c r="V235" s="504"/>
      <c r="W235" s="504"/>
    </row>
    <row r="236" spans="2:23" ht="11.25" customHeight="1">
      <c r="B236" s="504"/>
      <c r="C236" s="504"/>
      <c r="D236" s="83"/>
      <c r="E236" s="504"/>
      <c r="F236" s="504"/>
      <c r="G236" s="504"/>
      <c r="H236" s="504"/>
      <c r="I236" s="504"/>
      <c r="J236" s="504"/>
      <c r="K236" s="504"/>
      <c r="L236" s="504"/>
      <c r="M236" s="504"/>
      <c r="N236" s="504"/>
      <c r="O236" s="504"/>
      <c r="P236" s="504"/>
      <c r="Q236" s="504"/>
      <c r="R236" s="504"/>
      <c r="S236" s="504"/>
      <c r="T236" s="504"/>
      <c r="U236" s="504"/>
      <c r="V236" s="504"/>
      <c r="W236" s="504"/>
    </row>
    <row r="237" spans="2:23" ht="11.25" customHeight="1">
      <c r="B237" s="504"/>
      <c r="C237" s="504"/>
      <c r="D237" s="83"/>
      <c r="E237" s="504"/>
      <c r="F237" s="504"/>
      <c r="G237" s="504"/>
      <c r="H237" s="504"/>
      <c r="I237" s="504"/>
      <c r="J237" s="504"/>
      <c r="K237" s="504"/>
      <c r="L237" s="504"/>
      <c r="M237" s="504"/>
      <c r="N237" s="504"/>
      <c r="O237" s="504"/>
      <c r="P237" s="504"/>
      <c r="Q237" s="504"/>
      <c r="R237" s="504"/>
      <c r="S237" s="504"/>
      <c r="T237" s="504"/>
      <c r="U237" s="504"/>
      <c r="V237" s="504"/>
      <c r="W237" s="504"/>
    </row>
    <row r="238" spans="2:23" ht="11.25" customHeight="1">
      <c r="B238" s="504"/>
      <c r="C238" s="504"/>
      <c r="D238" s="83"/>
      <c r="E238" s="504"/>
      <c r="F238" s="504"/>
      <c r="G238" s="504"/>
      <c r="H238" s="504"/>
      <c r="I238" s="504"/>
      <c r="J238" s="504"/>
      <c r="K238" s="504"/>
      <c r="L238" s="504"/>
      <c r="M238" s="504"/>
      <c r="N238" s="504"/>
      <c r="O238" s="504"/>
      <c r="P238" s="504"/>
      <c r="Q238" s="504"/>
      <c r="R238" s="504"/>
      <c r="S238" s="504"/>
      <c r="T238" s="504"/>
      <c r="U238" s="504"/>
      <c r="V238" s="504"/>
      <c r="W238" s="504"/>
    </row>
    <row r="239" spans="2:23" ht="11.25" customHeight="1">
      <c r="B239" s="504"/>
      <c r="C239" s="504"/>
      <c r="D239" s="83"/>
      <c r="E239" s="504"/>
      <c r="F239" s="504"/>
      <c r="G239" s="504"/>
      <c r="H239" s="504"/>
      <c r="I239" s="504"/>
      <c r="J239" s="504"/>
      <c r="K239" s="504"/>
      <c r="L239" s="504"/>
      <c r="M239" s="504"/>
      <c r="N239" s="504"/>
      <c r="O239" s="504"/>
      <c r="P239" s="504"/>
      <c r="Q239" s="504"/>
      <c r="R239" s="504"/>
      <c r="S239" s="504"/>
      <c r="T239" s="504"/>
      <c r="U239" s="504"/>
      <c r="V239" s="504"/>
      <c r="W239" s="504"/>
    </row>
    <row r="240" spans="2:23" ht="11.25" customHeight="1">
      <c r="B240" s="504"/>
      <c r="C240" s="504"/>
      <c r="D240" s="83"/>
      <c r="E240" s="504"/>
      <c r="F240" s="504"/>
      <c r="G240" s="504"/>
      <c r="H240" s="504"/>
      <c r="I240" s="504"/>
      <c r="J240" s="504"/>
      <c r="K240" s="504"/>
      <c r="L240" s="504"/>
      <c r="M240" s="504"/>
      <c r="N240" s="504"/>
      <c r="O240" s="504"/>
      <c r="P240" s="504"/>
      <c r="Q240" s="504"/>
      <c r="R240" s="504"/>
      <c r="S240" s="504"/>
      <c r="T240" s="504"/>
      <c r="U240" s="504"/>
      <c r="V240" s="504"/>
      <c r="W240" s="504"/>
    </row>
    <row r="241" spans="2:23" ht="11.25" customHeight="1">
      <c r="B241" s="504"/>
      <c r="C241" s="504"/>
      <c r="D241" s="83"/>
      <c r="E241" s="504"/>
      <c r="F241" s="504"/>
      <c r="G241" s="504"/>
      <c r="H241" s="504"/>
      <c r="I241" s="504"/>
      <c r="J241" s="504"/>
      <c r="K241" s="504"/>
      <c r="L241" s="504"/>
      <c r="M241" s="504"/>
      <c r="N241" s="504"/>
      <c r="O241" s="504"/>
      <c r="P241" s="504"/>
      <c r="Q241" s="504"/>
      <c r="R241" s="504"/>
      <c r="S241" s="504"/>
      <c r="T241" s="504"/>
      <c r="U241" s="504"/>
      <c r="V241" s="504"/>
      <c r="W241" s="504"/>
    </row>
    <row r="242" spans="2:23" ht="11.25" customHeight="1">
      <c r="B242" s="504"/>
      <c r="C242" s="504"/>
      <c r="D242" s="83"/>
      <c r="E242" s="504"/>
      <c r="F242" s="504"/>
      <c r="G242" s="504"/>
      <c r="H242" s="504"/>
      <c r="I242" s="504"/>
      <c r="J242" s="504"/>
      <c r="K242" s="504"/>
      <c r="L242" s="504"/>
      <c r="M242" s="504"/>
      <c r="N242" s="504"/>
      <c r="O242" s="504"/>
      <c r="P242" s="504"/>
      <c r="Q242" s="504"/>
      <c r="R242" s="504"/>
      <c r="S242" s="504"/>
      <c r="T242" s="504"/>
      <c r="U242" s="504"/>
      <c r="V242" s="504"/>
      <c r="W242" s="504"/>
    </row>
    <row r="243" spans="2:23" ht="11.25" customHeight="1">
      <c r="B243" s="504"/>
      <c r="C243" s="504"/>
      <c r="D243" s="83"/>
      <c r="E243" s="504"/>
      <c r="F243" s="504"/>
      <c r="G243" s="504"/>
      <c r="H243" s="504"/>
      <c r="I243" s="504"/>
      <c r="J243" s="504"/>
      <c r="K243" s="504"/>
      <c r="L243" s="504"/>
      <c r="M243" s="504"/>
      <c r="N243" s="504"/>
      <c r="O243" s="504"/>
      <c r="P243" s="504"/>
      <c r="Q243" s="504"/>
      <c r="R243" s="504"/>
      <c r="S243" s="504"/>
      <c r="T243" s="504"/>
      <c r="U243" s="504"/>
      <c r="V243" s="504"/>
      <c r="W243" s="504"/>
    </row>
    <row r="244" spans="2:23" ht="11.25" customHeight="1">
      <c r="B244" s="504"/>
      <c r="C244" s="504"/>
      <c r="D244" s="83"/>
      <c r="E244" s="504"/>
      <c r="F244" s="504"/>
      <c r="G244" s="504"/>
      <c r="H244" s="504"/>
      <c r="I244" s="504"/>
      <c r="J244" s="504"/>
      <c r="K244" s="504"/>
      <c r="L244" s="504"/>
      <c r="M244" s="504"/>
      <c r="N244" s="504"/>
      <c r="O244" s="504"/>
      <c r="P244" s="504"/>
      <c r="Q244" s="504"/>
      <c r="R244" s="504"/>
      <c r="S244" s="504"/>
      <c r="T244" s="504"/>
      <c r="U244" s="504"/>
      <c r="V244" s="504"/>
      <c r="W244" s="504"/>
    </row>
    <row r="245" spans="2:23" ht="11.25" customHeight="1">
      <c r="B245" s="504"/>
      <c r="C245" s="504"/>
      <c r="D245" s="83"/>
      <c r="E245" s="504"/>
      <c r="F245" s="504"/>
      <c r="G245" s="504"/>
      <c r="H245" s="504"/>
      <c r="I245" s="504"/>
      <c r="J245" s="504"/>
      <c r="K245" s="504"/>
      <c r="L245" s="504"/>
      <c r="M245" s="504"/>
      <c r="N245" s="504"/>
      <c r="O245" s="504"/>
      <c r="P245" s="504"/>
      <c r="Q245" s="504"/>
      <c r="R245" s="504"/>
      <c r="S245" s="504"/>
      <c r="T245" s="504"/>
      <c r="U245" s="504"/>
      <c r="V245" s="504"/>
      <c r="W245" s="504"/>
    </row>
    <row r="246" spans="2:23" ht="11.25" customHeight="1">
      <c r="B246" s="504"/>
      <c r="C246" s="504"/>
      <c r="D246" s="83"/>
      <c r="E246" s="504"/>
      <c r="F246" s="504"/>
      <c r="G246" s="504"/>
      <c r="H246" s="504"/>
      <c r="I246" s="504"/>
      <c r="J246" s="504"/>
      <c r="K246" s="504"/>
      <c r="L246" s="504"/>
      <c r="M246" s="504"/>
      <c r="N246" s="504"/>
      <c r="O246" s="504"/>
      <c r="P246" s="504"/>
      <c r="Q246" s="504"/>
      <c r="R246" s="504"/>
      <c r="S246" s="504"/>
      <c r="T246" s="504"/>
      <c r="U246" s="504"/>
      <c r="V246" s="504"/>
      <c r="W246" s="504"/>
    </row>
    <row r="247" spans="2:23" ht="11.25" customHeight="1">
      <c r="B247" s="504"/>
      <c r="C247" s="504"/>
      <c r="D247" s="83"/>
      <c r="E247" s="504"/>
      <c r="F247" s="504"/>
      <c r="G247" s="504"/>
      <c r="H247" s="504"/>
      <c r="I247" s="504"/>
      <c r="J247" s="504"/>
      <c r="K247" s="504"/>
      <c r="L247" s="504"/>
      <c r="M247" s="504"/>
      <c r="N247" s="504"/>
      <c r="O247" s="504"/>
      <c r="P247" s="504"/>
      <c r="Q247" s="504"/>
      <c r="R247" s="504"/>
      <c r="S247" s="504"/>
      <c r="T247" s="504"/>
      <c r="U247" s="504"/>
      <c r="V247" s="504"/>
      <c r="W247" s="504"/>
    </row>
    <row r="248" spans="2:23" ht="11.25" customHeight="1">
      <c r="B248" s="504"/>
      <c r="C248" s="504"/>
      <c r="D248" s="83"/>
      <c r="E248" s="504"/>
      <c r="F248" s="504"/>
      <c r="G248" s="504"/>
      <c r="H248" s="504"/>
      <c r="I248" s="504"/>
      <c r="J248" s="504"/>
      <c r="K248" s="504"/>
      <c r="L248" s="504"/>
      <c r="M248" s="504"/>
      <c r="N248" s="504"/>
      <c r="O248" s="504"/>
      <c r="P248" s="504"/>
      <c r="Q248" s="504"/>
      <c r="R248" s="504"/>
      <c r="S248" s="504"/>
      <c r="T248" s="504"/>
      <c r="U248" s="504"/>
      <c r="V248" s="504"/>
      <c r="W248" s="504"/>
    </row>
    <row r="249" spans="2:23" ht="11.25" customHeight="1">
      <c r="B249" s="504"/>
      <c r="C249" s="504"/>
      <c r="D249" s="83"/>
      <c r="E249" s="504"/>
      <c r="F249" s="504"/>
      <c r="G249" s="504"/>
      <c r="H249" s="504"/>
      <c r="I249" s="504"/>
      <c r="J249" s="504"/>
      <c r="K249" s="504"/>
      <c r="L249" s="504"/>
      <c r="M249" s="504"/>
      <c r="N249" s="504"/>
      <c r="O249" s="504"/>
      <c r="P249" s="504"/>
      <c r="Q249" s="504"/>
      <c r="R249" s="504"/>
      <c r="S249" s="504"/>
      <c r="T249" s="504"/>
      <c r="U249" s="504"/>
      <c r="V249" s="504"/>
      <c r="W249" s="504"/>
    </row>
    <row r="250" spans="2:23" ht="11.25" customHeight="1">
      <c r="B250" s="504"/>
      <c r="C250" s="504"/>
      <c r="D250" s="83"/>
      <c r="E250" s="504"/>
      <c r="F250" s="504"/>
      <c r="G250" s="504"/>
      <c r="H250" s="504"/>
      <c r="I250" s="504"/>
      <c r="J250" s="504"/>
      <c r="K250" s="504"/>
      <c r="L250" s="504"/>
      <c r="M250" s="504"/>
      <c r="N250" s="504"/>
      <c r="O250" s="504"/>
      <c r="P250" s="504"/>
      <c r="Q250" s="504"/>
      <c r="R250" s="504"/>
      <c r="S250" s="504"/>
      <c r="T250" s="504"/>
      <c r="U250" s="504"/>
      <c r="V250" s="504"/>
      <c r="W250" s="504"/>
    </row>
    <row r="251" spans="2:23" ht="11.25" customHeight="1">
      <c r="B251" s="504"/>
      <c r="C251" s="504"/>
      <c r="D251" s="83"/>
      <c r="E251" s="504"/>
      <c r="F251" s="504"/>
      <c r="G251" s="504"/>
      <c r="H251" s="504"/>
      <c r="I251" s="504"/>
      <c r="J251" s="504"/>
      <c r="K251" s="504"/>
      <c r="L251" s="504"/>
      <c r="M251" s="504"/>
      <c r="N251" s="504"/>
      <c r="O251" s="504"/>
      <c r="P251" s="504"/>
      <c r="Q251" s="504"/>
      <c r="R251" s="504"/>
      <c r="S251" s="504"/>
      <c r="T251" s="504"/>
      <c r="U251" s="504"/>
      <c r="V251" s="504"/>
      <c r="W251" s="504"/>
    </row>
    <row r="252" spans="2:23" ht="11.25" customHeight="1">
      <c r="B252" s="504"/>
      <c r="C252" s="504"/>
      <c r="D252" s="83"/>
      <c r="E252" s="504"/>
      <c r="F252" s="504"/>
      <c r="G252" s="504"/>
      <c r="H252" s="504"/>
      <c r="I252" s="504"/>
      <c r="J252" s="504"/>
      <c r="K252" s="504"/>
      <c r="L252" s="504"/>
      <c r="M252" s="504"/>
      <c r="N252" s="504"/>
      <c r="O252" s="504"/>
      <c r="P252" s="504"/>
      <c r="Q252" s="504"/>
      <c r="R252" s="504"/>
      <c r="S252" s="504"/>
      <c r="T252" s="504"/>
      <c r="U252" s="504"/>
      <c r="V252" s="504"/>
      <c r="W252" s="504"/>
    </row>
    <row r="253" spans="2:23" ht="11.25" customHeight="1">
      <c r="B253" s="504"/>
      <c r="C253" s="504"/>
      <c r="D253" s="83"/>
      <c r="E253" s="504"/>
      <c r="F253" s="504"/>
      <c r="G253" s="504"/>
      <c r="H253" s="504"/>
      <c r="I253" s="504"/>
      <c r="J253" s="504"/>
      <c r="K253" s="504"/>
      <c r="L253" s="504"/>
      <c r="M253" s="504"/>
      <c r="N253" s="504"/>
      <c r="O253" s="504"/>
      <c r="P253" s="504"/>
      <c r="Q253" s="504"/>
      <c r="R253" s="504"/>
      <c r="S253" s="504"/>
      <c r="T253" s="504"/>
      <c r="U253" s="504"/>
      <c r="V253" s="504"/>
      <c r="W253" s="504"/>
    </row>
    <row r="254" spans="2:23" ht="11.25" customHeight="1">
      <c r="B254" s="504"/>
      <c r="C254" s="504"/>
      <c r="D254" s="83"/>
      <c r="E254" s="504"/>
      <c r="F254" s="504"/>
      <c r="G254" s="504"/>
      <c r="H254" s="504"/>
      <c r="I254" s="504"/>
      <c r="J254" s="504"/>
      <c r="K254" s="504"/>
      <c r="L254" s="504"/>
      <c r="M254" s="504"/>
      <c r="N254" s="504"/>
      <c r="O254" s="504"/>
      <c r="P254" s="504"/>
      <c r="Q254" s="504"/>
      <c r="R254" s="504"/>
      <c r="S254" s="504"/>
      <c r="T254" s="504"/>
      <c r="U254" s="504"/>
      <c r="V254" s="504"/>
      <c r="W254" s="504"/>
    </row>
    <row r="255" spans="2:23" ht="11.25" customHeight="1">
      <c r="B255" s="504"/>
      <c r="C255" s="504"/>
      <c r="D255" s="83"/>
      <c r="E255" s="504"/>
      <c r="F255" s="504"/>
      <c r="G255" s="504"/>
      <c r="H255" s="504"/>
      <c r="I255" s="504"/>
      <c r="J255" s="504"/>
      <c r="K255" s="504"/>
      <c r="L255" s="504"/>
      <c r="M255" s="504"/>
      <c r="N255" s="504"/>
      <c r="O255" s="504"/>
      <c r="P255" s="504"/>
      <c r="Q255" s="504"/>
      <c r="R255" s="504"/>
      <c r="S255" s="504"/>
      <c r="T255" s="504"/>
      <c r="U255" s="504"/>
      <c r="V255" s="504"/>
      <c r="W255" s="504"/>
    </row>
    <row r="256" spans="2:23" ht="11.25" customHeight="1">
      <c r="B256" s="504"/>
      <c r="C256" s="504"/>
      <c r="D256" s="83"/>
      <c r="E256" s="504"/>
      <c r="F256" s="504"/>
      <c r="G256" s="504"/>
      <c r="H256" s="504"/>
      <c r="I256" s="504"/>
      <c r="J256" s="504"/>
      <c r="K256" s="504"/>
      <c r="L256" s="504"/>
      <c r="M256" s="504"/>
      <c r="N256" s="504"/>
      <c r="O256" s="504"/>
      <c r="P256" s="504"/>
      <c r="Q256" s="504"/>
      <c r="R256" s="504"/>
      <c r="S256" s="504"/>
      <c r="T256" s="504"/>
      <c r="U256" s="504"/>
      <c r="V256" s="504"/>
      <c r="W256" s="504"/>
    </row>
    <row r="257" spans="2:23" ht="11.25" customHeight="1">
      <c r="B257" s="504"/>
      <c r="C257" s="504"/>
      <c r="D257" s="83"/>
      <c r="E257" s="504"/>
      <c r="F257" s="504"/>
      <c r="G257" s="504"/>
      <c r="H257" s="504"/>
      <c r="I257" s="504"/>
      <c r="J257" s="504"/>
      <c r="K257" s="504"/>
      <c r="L257" s="504"/>
      <c r="M257" s="504"/>
      <c r="N257" s="504"/>
      <c r="O257" s="504"/>
      <c r="P257" s="504"/>
      <c r="Q257" s="504"/>
      <c r="R257" s="504"/>
      <c r="S257" s="504"/>
      <c r="T257" s="504"/>
      <c r="U257" s="504"/>
      <c r="V257" s="504"/>
      <c r="W257" s="504"/>
    </row>
    <row r="258" spans="2:23" ht="11.25" customHeight="1">
      <c r="B258" s="504"/>
      <c r="C258" s="504"/>
      <c r="D258" s="83"/>
      <c r="E258" s="504"/>
      <c r="F258" s="504"/>
      <c r="G258" s="504"/>
      <c r="H258" s="504"/>
      <c r="I258" s="504"/>
      <c r="J258" s="504"/>
      <c r="K258" s="504"/>
      <c r="L258" s="504"/>
      <c r="M258" s="504"/>
      <c r="N258" s="504"/>
      <c r="O258" s="504"/>
      <c r="P258" s="504"/>
      <c r="Q258" s="504"/>
      <c r="R258" s="504"/>
      <c r="S258" s="504"/>
      <c r="T258" s="504"/>
      <c r="U258" s="504"/>
      <c r="V258" s="504"/>
      <c r="W258" s="504"/>
    </row>
    <row r="259" spans="2:23" ht="11.25" customHeight="1">
      <c r="B259" s="504"/>
      <c r="C259" s="504"/>
      <c r="D259" s="83"/>
      <c r="E259" s="504"/>
      <c r="F259" s="504"/>
      <c r="G259" s="504"/>
      <c r="H259" s="504"/>
      <c r="I259" s="504"/>
      <c r="J259" s="504"/>
      <c r="K259" s="504"/>
      <c r="L259" s="504"/>
      <c r="M259" s="504"/>
      <c r="N259" s="504"/>
      <c r="O259" s="504"/>
      <c r="P259" s="504"/>
      <c r="Q259" s="504"/>
      <c r="R259" s="504"/>
      <c r="S259" s="504"/>
      <c r="T259" s="504"/>
      <c r="U259" s="504"/>
      <c r="V259" s="504"/>
      <c r="W259" s="504"/>
    </row>
    <row r="260" spans="2:23" ht="11.25" customHeight="1">
      <c r="B260" s="504"/>
      <c r="C260" s="504"/>
      <c r="D260" s="83"/>
      <c r="E260" s="504"/>
      <c r="F260" s="504"/>
      <c r="G260" s="504"/>
      <c r="H260" s="504"/>
      <c r="I260" s="504"/>
      <c r="J260" s="504"/>
      <c r="K260" s="504"/>
      <c r="L260" s="504"/>
      <c r="M260" s="504"/>
      <c r="N260" s="504"/>
      <c r="O260" s="504"/>
      <c r="P260" s="504"/>
      <c r="Q260" s="504"/>
      <c r="R260" s="504"/>
      <c r="S260" s="504"/>
      <c r="T260" s="504"/>
      <c r="U260" s="504"/>
      <c r="V260" s="504"/>
      <c r="W260" s="504"/>
    </row>
    <row r="261" spans="2:23" ht="11.25" customHeight="1">
      <c r="B261" s="504"/>
      <c r="C261" s="504"/>
      <c r="D261" s="83"/>
      <c r="E261" s="504"/>
      <c r="F261" s="504"/>
      <c r="G261" s="504"/>
      <c r="H261" s="504"/>
      <c r="I261" s="504"/>
      <c r="J261" s="504"/>
      <c r="K261" s="504"/>
      <c r="L261" s="504"/>
      <c r="M261" s="504"/>
      <c r="N261" s="504"/>
      <c r="O261" s="504"/>
      <c r="P261" s="504"/>
      <c r="Q261" s="504"/>
      <c r="R261" s="504"/>
      <c r="S261" s="504"/>
      <c r="T261" s="504"/>
      <c r="U261" s="504"/>
      <c r="V261" s="504"/>
      <c r="W261" s="504"/>
    </row>
    <row r="262" spans="2:23" ht="11.25" customHeight="1">
      <c r="B262" s="504"/>
      <c r="C262" s="504"/>
      <c r="D262" s="83"/>
      <c r="E262" s="504"/>
      <c r="F262" s="504"/>
      <c r="G262" s="504"/>
      <c r="H262" s="504"/>
      <c r="I262" s="504"/>
      <c r="J262" s="504"/>
      <c r="K262" s="504"/>
      <c r="L262" s="504"/>
      <c r="M262" s="504"/>
      <c r="N262" s="504"/>
      <c r="O262" s="504"/>
      <c r="P262" s="504"/>
      <c r="Q262" s="504"/>
      <c r="R262" s="504"/>
      <c r="S262" s="504"/>
      <c r="T262" s="504"/>
      <c r="U262" s="504"/>
      <c r="V262" s="504"/>
      <c r="W262" s="504"/>
    </row>
    <row r="263" spans="2:23" ht="11.25" customHeight="1">
      <c r="B263" s="504"/>
      <c r="C263" s="504"/>
      <c r="D263" s="83"/>
      <c r="E263" s="504"/>
      <c r="F263" s="504"/>
      <c r="G263" s="504"/>
      <c r="H263" s="504"/>
      <c r="I263" s="504"/>
      <c r="J263" s="504"/>
      <c r="K263" s="504"/>
      <c r="L263" s="504"/>
      <c r="M263" s="504"/>
      <c r="N263" s="504"/>
      <c r="O263" s="504"/>
      <c r="P263" s="504"/>
      <c r="Q263" s="504"/>
      <c r="R263" s="504"/>
      <c r="S263" s="504"/>
      <c r="T263" s="504"/>
      <c r="U263" s="504"/>
      <c r="V263" s="504"/>
      <c r="W263" s="504"/>
    </row>
    <row r="264" spans="2:23" ht="11.25" customHeight="1">
      <c r="B264" s="504"/>
      <c r="C264" s="504"/>
      <c r="D264" s="83"/>
      <c r="E264" s="504"/>
      <c r="F264" s="504"/>
      <c r="G264" s="504"/>
      <c r="H264" s="504"/>
      <c r="I264" s="504"/>
      <c r="J264" s="504"/>
      <c r="K264" s="504"/>
      <c r="L264" s="504"/>
      <c r="M264" s="504"/>
      <c r="N264" s="504"/>
      <c r="O264" s="504"/>
      <c r="P264" s="504"/>
      <c r="Q264" s="504"/>
      <c r="R264" s="504"/>
      <c r="S264" s="504"/>
      <c r="T264" s="504"/>
      <c r="U264" s="504"/>
      <c r="V264" s="504"/>
      <c r="W264" s="504"/>
    </row>
    <row r="265" spans="2:23" ht="11.25" customHeight="1">
      <c r="B265" s="504"/>
      <c r="C265" s="504"/>
      <c r="D265" s="83"/>
      <c r="E265" s="504"/>
      <c r="F265" s="504"/>
      <c r="G265" s="504"/>
      <c r="H265" s="504"/>
      <c r="I265" s="504"/>
      <c r="J265" s="504"/>
      <c r="K265" s="504"/>
      <c r="L265" s="504"/>
      <c r="M265" s="504"/>
      <c r="N265" s="504"/>
      <c r="O265" s="504"/>
      <c r="P265" s="504"/>
      <c r="Q265" s="504"/>
      <c r="R265" s="504"/>
      <c r="S265" s="504"/>
      <c r="T265" s="504"/>
      <c r="U265" s="504"/>
      <c r="V265" s="504"/>
      <c r="W265" s="504"/>
    </row>
    <row r="266" spans="2:23" ht="11.25" customHeight="1">
      <c r="B266" s="504"/>
      <c r="C266" s="504"/>
      <c r="D266" s="83"/>
      <c r="E266" s="504"/>
      <c r="F266" s="504"/>
      <c r="G266" s="504"/>
      <c r="H266" s="504"/>
      <c r="I266" s="504"/>
      <c r="J266" s="504"/>
      <c r="K266" s="504"/>
      <c r="L266" s="504"/>
      <c r="M266" s="504"/>
      <c r="N266" s="504"/>
      <c r="O266" s="504"/>
      <c r="P266" s="504"/>
      <c r="Q266" s="504"/>
      <c r="R266" s="504"/>
      <c r="S266" s="504"/>
      <c r="T266" s="504"/>
      <c r="U266" s="504"/>
      <c r="V266" s="504"/>
      <c r="W266" s="504"/>
    </row>
    <row r="267" spans="2:23" ht="11.25" customHeight="1">
      <c r="B267" s="504"/>
      <c r="C267" s="504"/>
      <c r="D267" s="83"/>
      <c r="E267" s="504"/>
      <c r="F267" s="504"/>
      <c r="G267" s="504"/>
      <c r="H267" s="504"/>
      <c r="I267" s="504"/>
      <c r="J267" s="504"/>
      <c r="K267" s="504"/>
      <c r="L267" s="504"/>
      <c r="M267" s="504"/>
      <c r="N267" s="504"/>
      <c r="O267" s="504"/>
      <c r="P267" s="504"/>
      <c r="Q267" s="504"/>
      <c r="R267" s="504"/>
      <c r="S267" s="504"/>
      <c r="T267" s="504"/>
      <c r="U267" s="504"/>
      <c r="V267" s="504"/>
      <c r="W267" s="504"/>
    </row>
    <row r="268" spans="2:23" ht="11.25" customHeight="1">
      <c r="B268" s="504"/>
      <c r="C268" s="504"/>
      <c r="D268" s="83"/>
      <c r="E268" s="504"/>
      <c r="F268" s="504"/>
      <c r="G268" s="504"/>
      <c r="H268" s="504"/>
      <c r="I268" s="504"/>
      <c r="J268" s="504"/>
      <c r="K268" s="504"/>
      <c r="L268" s="504"/>
      <c r="M268" s="504"/>
      <c r="N268" s="504"/>
      <c r="O268" s="504"/>
      <c r="P268" s="504"/>
      <c r="Q268" s="504"/>
      <c r="R268" s="504"/>
      <c r="S268" s="504"/>
      <c r="T268" s="504"/>
      <c r="U268" s="504"/>
      <c r="V268" s="504"/>
      <c r="W268" s="504"/>
    </row>
    <row r="269" spans="2:23" ht="11.25" customHeight="1">
      <c r="B269" s="504"/>
      <c r="C269" s="504"/>
      <c r="D269" s="83"/>
      <c r="E269" s="504"/>
      <c r="F269" s="504"/>
      <c r="G269" s="504"/>
      <c r="H269" s="504"/>
      <c r="I269" s="504"/>
      <c r="J269" s="504"/>
      <c r="K269" s="504"/>
      <c r="L269" s="504"/>
      <c r="M269" s="504"/>
      <c r="N269" s="504"/>
      <c r="O269" s="504"/>
      <c r="P269" s="504"/>
      <c r="Q269" s="504"/>
      <c r="R269" s="504"/>
      <c r="S269" s="504"/>
      <c r="T269" s="504"/>
      <c r="U269" s="504"/>
      <c r="V269" s="504"/>
      <c r="W269" s="504"/>
    </row>
    <row r="270" spans="2:23" ht="11.25" customHeight="1">
      <c r="B270" s="504"/>
      <c r="C270" s="504"/>
      <c r="D270" s="83"/>
      <c r="E270" s="504"/>
      <c r="F270" s="504"/>
      <c r="G270" s="504"/>
      <c r="H270" s="504"/>
      <c r="I270" s="504"/>
      <c r="J270" s="504"/>
      <c r="K270" s="504"/>
      <c r="L270" s="504"/>
      <c r="M270" s="504"/>
      <c r="N270" s="504"/>
      <c r="O270" s="504"/>
      <c r="P270" s="504"/>
      <c r="Q270" s="504"/>
      <c r="R270" s="504"/>
      <c r="S270" s="504"/>
      <c r="T270" s="504"/>
      <c r="U270" s="504"/>
      <c r="V270" s="504"/>
      <c r="W270" s="504"/>
    </row>
    <row r="271" spans="2:23" ht="11.25" customHeight="1">
      <c r="B271" s="504"/>
      <c r="C271" s="504"/>
      <c r="D271" s="83"/>
      <c r="E271" s="504"/>
      <c r="F271" s="504"/>
      <c r="G271" s="504"/>
      <c r="H271" s="504"/>
      <c r="I271" s="504"/>
      <c r="J271" s="504"/>
      <c r="K271" s="504"/>
      <c r="L271" s="504"/>
      <c r="M271" s="504"/>
      <c r="N271" s="504"/>
      <c r="O271" s="504"/>
      <c r="P271" s="504"/>
      <c r="Q271" s="504"/>
      <c r="R271" s="504"/>
      <c r="S271" s="504"/>
      <c r="T271" s="504"/>
      <c r="U271" s="504"/>
      <c r="V271" s="504"/>
      <c r="W271" s="504"/>
    </row>
    <row r="272" spans="2:23" ht="11.25" customHeight="1">
      <c r="B272" s="504"/>
      <c r="C272" s="504"/>
      <c r="D272" s="83"/>
      <c r="E272" s="504"/>
      <c r="F272" s="504"/>
      <c r="G272" s="504"/>
      <c r="H272" s="504"/>
      <c r="I272" s="504"/>
      <c r="J272" s="504"/>
      <c r="K272" s="504"/>
      <c r="L272" s="504"/>
      <c r="M272" s="504"/>
      <c r="N272" s="504"/>
      <c r="O272" s="504"/>
      <c r="P272" s="504"/>
      <c r="Q272" s="504"/>
      <c r="R272" s="504"/>
      <c r="S272" s="504"/>
      <c r="T272" s="504"/>
      <c r="U272" s="504"/>
      <c r="V272" s="504"/>
      <c r="W272" s="504"/>
    </row>
    <row r="273" spans="2:23" ht="11.25" customHeight="1">
      <c r="B273" s="504"/>
      <c r="C273" s="504"/>
      <c r="D273" s="83"/>
      <c r="E273" s="504"/>
      <c r="F273" s="504"/>
      <c r="G273" s="504"/>
      <c r="H273" s="504"/>
      <c r="I273" s="504"/>
      <c r="J273" s="504"/>
      <c r="K273" s="504"/>
      <c r="L273" s="504"/>
      <c r="M273" s="504"/>
      <c r="N273" s="504"/>
      <c r="O273" s="504"/>
      <c r="P273" s="504"/>
      <c r="Q273" s="504"/>
      <c r="R273" s="504"/>
      <c r="S273" s="504"/>
      <c r="T273" s="504"/>
      <c r="U273" s="504"/>
      <c r="V273" s="504"/>
      <c r="W273" s="504"/>
    </row>
    <row r="274" spans="2:23" ht="11.25" customHeight="1">
      <c r="B274" s="504"/>
      <c r="C274" s="504"/>
      <c r="D274" s="83"/>
      <c r="E274" s="504"/>
      <c r="F274" s="504"/>
      <c r="G274" s="504"/>
      <c r="H274" s="504"/>
      <c r="I274" s="504"/>
      <c r="J274" s="504"/>
      <c r="K274" s="504"/>
      <c r="L274" s="504"/>
      <c r="M274" s="504"/>
      <c r="N274" s="504"/>
      <c r="O274" s="504"/>
      <c r="P274" s="504"/>
      <c r="Q274" s="504"/>
      <c r="R274" s="504"/>
      <c r="S274" s="504"/>
      <c r="T274" s="504"/>
      <c r="U274" s="504"/>
      <c r="V274" s="504"/>
      <c r="W274" s="504"/>
    </row>
    <row r="275" spans="2:23" ht="11.25" customHeight="1">
      <c r="B275" s="504"/>
      <c r="C275" s="504"/>
      <c r="D275" s="83"/>
      <c r="E275" s="504"/>
      <c r="F275" s="504"/>
      <c r="G275" s="504"/>
      <c r="H275" s="504"/>
      <c r="I275" s="504"/>
      <c r="J275" s="504"/>
      <c r="K275" s="504"/>
      <c r="L275" s="504"/>
      <c r="M275" s="504"/>
      <c r="N275" s="504"/>
      <c r="O275" s="504"/>
      <c r="P275" s="504"/>
      <c r="Q275" s="504"/>
      <c r="R275" s="504"/>
      <c r="S275" s="504"/>
      <c r="T275" s="504"/>
      <c r="U275" s="504"/>
      <c r="V275" s="504"/>
      <c r="W275" s="504"/>
    </row>
    <row r="276" spans="2:23" ht="11.25" customHeight="1">
      <c r="B276" s="504"/>
      <c r="C276" s="504"/>
      <c r="D276" s="83"/>
      <c r="E276" s="504"/>
      <c r="F276" s="504"/>
      <c r="G276" s="504"/>
      <c r="H276" s="504"/>
      <c r="I276" s="504"/>
      <c r="J276" s="504"/>
      <c r="K276" s="504"/>
      <c r="L276" s="504"/>
      <c r="M276" s="504"/>
      <c r="N276" s="504"/>
      <c r="O276" s="504"/>
      <c r="P276" s="504"/>
      <c r="Q276" s="504"/>
      <c r="R276" s="504"/>
      <c r="S276" s="504"/>
      <c r="T276" s="504"/>
      <c r="U276" s="504"/>
      <c r="V276" s="504"/>
      <c r="W276" s="504"/>
    </row>
    <row r="277" spans="2:23" ht="11.25" customHeight="1">
      <c r="B277" s="504"/>
      <c r="C277" s="504"/>
      <c r="D277" s="83"/>
      <c r="E277" s="504"/>
      <c r="F277" s="504"/>
      <c r="G277" s="504"/>
      <c r="H277" s="504"/>
      <c r="I277" s="504"/>
      <c r="J277" s="504"/>
      <c r="K277" s="504"/>
      <c r="L277" s="504"/>
      <c r="M277" s="504"/>
      <c r="N277" s="504"/>
      <c r="O277" s="504"/>
      <c r="P277" s="504"/>
      <c r="Q277" s="504"/>
      <c r="R277" s="504"/>
      <c r="S277" s="504"/>
      <c r="T277" s="504"/>
      <c r="U277" s="504"/>
      <c r="V277" s="504"/>
      <c r="W277" s="504"/>
    </row>
    <row r="278" spans="2:23" ht="15.75" customHeight="1">
      <c r="B278" s="503"/>
      <c r="C278" s="503"/>
      <c r="D278" s="503"/>
      <c r="E278" s="503"/>
      <c r="F278" s="503"/>
      <c r="G278" s="503"/>
      <c r="H278" s="503"/>
      <c r="I278" s="503"/>
      <c r="J278" s="503"/>
      <c r="K278" s="503"/>
      <c r="L278" s="503"/>
      <c r="M278" s="503"/>
      <c r="N278" s="503"/>
      <c r="O278" s="503"/>
      <c r="P278" s="503"/>
      <c r="Q278" s="503"/>
      <c r="R278" s="503"/>
      <c r="S278" s="503"/>
      <c r="T278" s="503"/>
      <c r="U278" s="503"/>
      <c r="V278" s="503"/>
      <c r="W278" s="503"/>
    </row>
    <row r="279" spans="2:23" ht="15.75" customHeight="1">
      <c r="B279" s="503"/>
      <c r="C279" s="503"/>
      <c r="D279" s="503"/>
      <c r="E279" s="503"/>
      <c r="F279" s="503"/>
      <c r="G279" s="503"/>
      <c r="H279" s="503"/>
      <c r="I279" s="503"/>
      <c r="J279" s="503"/>
      <c r="K279" s="503"/>
      <c r="L279" s="503"/>
      <c r="M279" s="503"/>
      <c r="N279" s="503"/>
      <c r="O279" s="503"/>
      <c r="P279" s="503"/>
      <c r="Q279" s="503"/>
      <c r="R279" s="503"/>
      <c r="S279" s="503"/>
      <c r="T279" s="503"/>
      <c r="U279" s="503"/>
      <c r="V279" s="503"/>
      <c r="W279" s="503"/>
    </row>
    <row r="280" spans="2:23" ht="15.75" customHeight="1">
      <c r="B280" s="503"/>
      <c r="C280" s="503"/>
      <c r="D280" s="503"/>
      <c r="E280" s="503"/>
      <c r="F280" s="503"/>
      <c r="G280" s="503"/>
      <c r="H280" s="503"/>
      <c r="I280" s="503"/>
      <c r="J280" s="503"/>
      <c r="K280" s="503"/>
      <c r="L280" s="503"/>
      <c r="M280" s="503"/>
      <c r="N280" s="503"/>
      <c r="O280" s="503"/>
      <c r="P280" s="503"/>
      <c r="Q280" s="503"/>
      <c r="R280" s="503"/>
      <c r="S280" s="503"/>
      <c r="T280" s="503"/>
      <c r="U280" s="503"/>
      <c r="V280" s="503"/>
      <c r="W280" s="503"/>
    </row>
    <row r="281" spans="2:23" ht="15.75" customHeight="1">
      <c r="B281" s="503"/>
      <c r="C281" s="503"/>
      <c r="D281" s="503"/>
      <c r="E281" s="503"/>
      <c r="F281" s="503"/>
      <c r="G281" s="503"/>
      <c r="H281" s="503"/>
      <c r="I281" s="503"/>
      <c r="J281" s="503"/>
      <c r="K281" s="503"/>
      <c r="L281" s="503"/>
      <c r="M281" s="503"/>
      <c r="N281" s="503"/>
      <c r="O281" s="503"/>
      <c r="P281" s="503"/>
      <c r="Q281" s="503"/>
      <c r="R281" s="503"/>
      <c r="S281" s="503"/>
      <c r="T281" s="503"/>
      <c r="U281" s="503"/>
      <c r="V281" s="503"/>
      <c r="W281" s="503"/>
    </row>
    <row r="282" spans="2:23" ht="15.75" customHeight="1">
      <c r="B282" s="503"/>
      <c r="C282" s="503"/>
      <c r="D282" s="503"/>
      <c r="E282" s="503"/>
      <c r="F282" s="503"/>
      <c r="G282" s="503"/>
      <c r="H282" s="503"/>
      <c r="I282" s="503"/>
      <c r="J282" s="503"/>
      <c r="K282" s="503"/>
      <c r="L282" s="503"/>
      <c r="M282" s="503"/>
      <c r="N282" s="503"/>
      <c r="O282" s="503"/>
      <c r="P282" s="503"/>
      <c r="Q282" s="503"/>
      <c r="R282" s="503"/>
      <c r="S282" s="503"/>
      <c r="T282" s="503"/>
      <c r="U282" s="503"/>
      <c r="V282" s="503"/>
      <c r="W282" s="503"/>
    </row>
    <row r="283" spans="2:23" ht="15.75" customHeight="1">
      <c r="B283" s="503"/>
      <c r="C283" s="503"/>
      <c r="D283" s="503"/>
      <c r="E283" s="503"/>
      <c r="F283" s="503"/>
      <c r="G283" s="503"/>
      <c r="H283" s="503"/>
      <c r="I283" s="503"/>
      <c r="J283" s="503"/>
      <c r="K283" s="503"/>
      <c r="L283" s="503"/>
      <c r="M283" s="503"/>
      <c r="N283" s="503"/>
      <c r="O283" s="503"/>
      <c r="P283" s="503"/>
      <c r="Q283" s="503"/>
      <c r="R283" s="503"/>
      <c r="S283" s="503"/>
      <c r="T283" s="503"/>
      <c r="U283" s="503"/>
      <c r="V283" s="503"/>
      <c r="W283" s="503"/>
    </row>
    <row r="284" spans="2:23" ht="15.75" customHeight="1">
      <c r="B284" s="503"/>
      <c r="C284" s="503"/>
      <c r="D284" s="503"/>
      <c r="E284" s="503"/>
      <c r="F284" s="503"/>
      <c r="G284" s="503"/>
      <c r="H284" s="503"/>
      <c r="I284" s="503"/>
      <c r="J284" s="503"/>
      <c r="K284" s="503"/>
      <c r="L284" s="503"/>
      <c r="M284" s="503"/>
      <c r="N284" s="503"/>
      <c r="O284" s="503"/>
      <c r="P284" s="503"/>
      <c r="Q284" s="503"/>
      <c r="R284" s="503"/>
      <c r="S284" s="503"/>
      <c r="T284" s="503"/>
      <c r="U284" s="503"/>
      <c r="V284" s="503"/>
      <c r="W284" s="503"/>
    </row>
    <row r="285" spans="2:23" ht="15.75" customHeight="1">
      <c r="B285" s="503"/>
      <c r="C285" s="503"/>
      <c r="D285" s="503"/>
      <c r="E285" s="503"/>
      <c r="F285" s="503"/>
      <c r="G285" s="503"/>
      <c r="H285" s="503"/>
      <c r="I285" s="503"/>
      <c r="J285" s="503"/>
      <c r="K285" s="503"/>
      <c r="L285" s="503"/>
      <c r="M285" s="503"/>
      <c r="N285" s="503"/>
      <c r="O285" s="503"/>
      <c r="P285" s="503"/>
      <c r="Q285" s="503"/>
      <c r="R285" s="503"/>
      <c r="S285" s="503"/>
      <c r="T285" s="503"/>
      <c r="U285" s="503"/>
      <c r="V285" s="503"/>
      <c r="W285" s="503"/>
    </row>
    <row r="286" spans="2:23" ht="15.75" customHeight="1">
      <c r="B286" s="503"/>
      <c r="C286" s="503"/>
      <c r="D286" s="503"/>
      <c r="E286" s="503"/>
      <c r="F286" s="503"/>
      <c r="G286" s="503"/>
      <c r="H286" s="503"/>
      <c r="I286" s="503"/>
      <c r="J286" s="503"/>
      <c r="K286" s="503"/>
      <c r="L286" s="503"/>
      <c r="M286" s="503"/>
      <c r="N286" s="503"/>
      <c r="O286" s="503"/>
      <c r="P286" s="503"/>
      <c r="Q286" s="503"/>
      <c r="R286" s="503"/>
      <c r="S286" s="503"/>
      <c r="T286" s="503"/>
      <c r="U286" s="503"/>
      <c r="V286" s="503"/>
      <c r="W286" s="503"/>
    </row>
    <row r="287" spans="2:23" ht="15.75" customHeight="1">
      <c r="B287" s="503"/>
      <c r="C287" s="503"/>
      <c r="D287" s="503"/>
      <c r="E287" s="503"/>
      <c r="F287" s="503"/>
      <c r="G287" s="503"/>
      <c r="H287" s="503"/>
      <c r="I287" s="503"/>
      <c r="J287" s="503"/>
      <c r="K287" s="503"/>
      <c r="L287" s="503"/>
      <c r="M287" s="503"/>
      <c r="N287" s="503"/>
      <c r="O287" s="503"/>
      <c r="P287" s="503"/>
      <c r="Q287" s="503"/>
      <c r="R287" s="503"/>
      <c r="S287" s="503"/>
      <c r="T287" s="503"/>
      <c r="U287" s="503"/>
      <c r="V287" s="503"/>
      <c r="W287" s="503"/>
    </row>
    <row r="288" spans="2:23" ht="15.75" customHeight="1">
      <c r="B288" s="503"/>
      <c r="C288" s="503"/>
      <c r="D288" s="503"/>
      <c r="E288" s="503"/>
      <c r="F288" s="503"/>
      <c r="G288" s="503"/>
      <c r="H288" s="503"/>
      <c r="I288" s="503"/>
      <c r="J288" s="503"/>
      <c r="K288" s="503"/>
      <c r="L288" s="503"/>
      <c r="M288" s="503"/>
      <c r="N288" s="503"/>
      <c r="O288" s="503"/>
      <c r="P288" s="503"/>
      <c r="Q288" s="503"/>
      <c r="R288" s="503"/>
      <c r="S288" s="503"/>
      <c r="T288" s="503"/>
      <c r="U288" s="503"/>
      <c r="V288" s="503"/>
      <c r="W288" s="503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999"/>
  <sheetViews>
    <sheetView showGridLines="0" zoomScaleNormal="100" workbookViewId="0"/>
  </sheetViews>
  <sheetFormatPr defaultColWidth="14.453125" defaultRowHeight="15" customHeight="1"/>
  <cols>
    <col min="1" max="1" width="4.90625" customWidth="1"/>
    <col min="2" max="2" width="23.90625" customWidth="1"/>
    <col min="3" max="3" width="6.7265625" bestFit="1" customWidth="1"/>
    <col min="4" max="5" width="4.36328125" customWidth="1"/>
    <col min="6" max="6" width="9.7265625" customWidth="1"/>
    <col min="7" max="7" width="8.90625" customWidth="1"/>
    <col min="8" max="8" width="8.08984375" customWidth="1"/>
    <col min="9" max="11" width="8.1796875" bestFit="1" customWidth="1"/>
    <col min="12" max="12" width="8.26953125" customWidth="1"/>
    <col min="13" max="13" width="9.08984375" customWidth="1"/>
    <col min="14" max="25" width="8" customWidth="1"/>
  </cols>
  <sheetData>
    <row r="1" spans="1:25" ht="14.25" customHeight="1">
      <c r="A1" s="502"/>
      <c r="B1" s="565" t="str">
        <f>'University-wide'!A1</f>
        <v>University of California, San Diego Survey of Parking Space Occupancy Levels, Spring 2021</v>
      </c>
      <c r="C1" s="566"/>
      <c r="D1" s="566"/>
      <c r="E1" s="566"/>
      <c r="F1" s="566"/>
      <c r="G1" s="566"/>
      <c r="H1" s="566"/>
      <c r="I1" s="566"/>
      <c r="J1" s="566"/>
      <c r="K1" s="566"/>
      <c r="L1" s="502"/>
      <c r="M1" s="502"/>
      <c r="N1" s="504"/>
      <c r="O1" s="504"/>
      <c r="P1" s="504"/>
      <c r="Q1" s="504"/>
      <c r="R1" s="504"/>
      <c r="S1" s="504"/>
      <c r="T1" s="504"/>
      <c r="U1" s="504"/>
      <c r="V1" s="504"/>
      <c r="W1" s="504"/>
      <c r="X1" s="504"/>
      <c r="Y1" s="504"/>
    </row>
    <row r="2" spans="1:25" ht="14.25" customHeight="1">
      <c r="A2" s="502"/>
      <c r="B2" s="565" t="s">
        <v>643</v>
      </c>
      <c r="C2" s="566"/>
      <c r="D2" s="566"/>
      <c r="E2" s="566"/>
      <c r="F2" s="566"/>
      <c r="G2" s="566"/>
      <c r="H2" s="566"/>
      <c r="I2" s="566"/>
      <c r="J2" s="566"/>
      <c r="K2" s="566"/>
      <c r="L2" s="502"/>
      <c r="M2" s="502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</row>
    <row r="3" spans="1:25" ht="11.25" customHeight="1">
      <c r="A3" s="504"/>
      <c r="B3" s="50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</row>
    <row r="4" spans="1:25" ht="11.25" customHeight="1">
      <c r="A4" s="92" t="s">
        <v>644</v>
      </c>
      <c r="B4" s="92" t="s">
        <v>60</v>
      </c>
      <c r="C4" s="85" t="s">
        <v>698</v>
      </c>
      <c r="D4" s="466">
        <v>2</v>
      </c>
      <c r="E4" s="466">
        <v>3</v>
      </c>
      <c r="F4" s="86">
        <v>4</v>
      </c>
      <c r="G4" s="466">
        <v>5</v>
      </c>
      <c r="H4" s="466">
        <v>6</v>
      </c>
      <c r="I4" s="86">
        <v>7</v>
      </c>
      <c r="J4" s="86">
        <v>8</v>
      </c>
      <c r="K4" s="86">
        <v>9</v>
      </c>
      <c r="L4" s="86">
        <v>10</v>
      </c>
      <c r="M4" s="87" t="s">
        <v>707</v>
      </c>
      <c r="N4" s="504"/>
      <c r="O4" s="504"/>
      <c r="P4" s="504"/>
      <c r="Q4" s="504"/>
      <c r="R4" s="504"/>
      <c r="S4" s="504"/>
      <c r="T4" s="504"/>
      <c r="U4" s="504"/>
      <c r="V4" s="504"/>
      <c r="W4" s="504"/>
      <c r="X4" s="504"/>
      <c r="Y4" s="504"/>
    </row>
    <row r="5" spans="1:25" ht="11.25" customHeight="1">
      <c r="A5" s="101"/>
      <c r="B5" s="101"/>
      <c r="C5" s="180"/>
      <c r="D5" s="469"/>
      <c r="E5" s="469"/>
      <c r="F5" s="95"/>
      <c r="G5" s="469"/>
      <c r="H5" s="469"/>
      <c r="I5" s="88"/>
      <c r="J5" s="88"/>
      <c r="K5" s="88"/>
      <c r="L5" s="88"/>
      <c r="M5" s="181"/>
      <c r="N5" s="504"/>
      <c r="O5" s="504"/>
      <c r="P5" s="504"/>
      <c r="Q5" s="504"/>
      <c r="R5" s="504"/>
      <c r="S5" s="504"/>
      <c r="T5" s="504"/>
      <c r="U5" s="504"/>
      <c r="V5" s="504"/>
      <c r="W5" s="504"/>
      <c r="X5" s="504"/>
      <c r="Y5" s="504"/>
    </row>
    <row r="6" spans="1:25" ht="11.25" customHeight="1">
      <c r="A6" s="182">
        <v>1</v>
      </c>
      <c r="B6" s="182" t="s">
        <v>645</v>
      </c>
      <c r="C6" s="183"/>
      <c r="D6" s="470"/>
      <c r="E6" s="473"/>
      <c r="F6" s="490" t="s">
        <v>696</v>
      </c>
      <c r="G6" s="473"/>
      <c r="H6" s="477"/>
      <c r="I6" s="477"/>
      <c r="J6" s="477"/>
      <c r="K6" s="477"/>
      <c r="L6" s="477"/>
      <c r="M6" s="184"/>
      <c r="N6" s="504"/>
      <c r="O6" s="504"/>
      <c r="P6" s="504"/>
      <c r="Q6" s="504"/>
      <c r="R6" s="504"/>
      <c r="S6" s="504"/>
      <c r="T6" s="504"/>
      <c r="U6" s="504"/>
      <c r="V6" s="504"/>
      <c r="W6" s="504"/>
      <c r="X6" s="504"/>
      <c r="Y6" s="504"/>
    </row>
    <row r="7" spans="1:25" ht="11.25" customHeight="1">
      <c r="A7" s="182">
        <v>1</v>
      </c>
      <c r="B7" s="182" t="s">
        <v>646</v>
      </c>
      <c r="C7" s="183"/>
      <c r="D7" s="468"/>
      <c r="E7" s="474"/>
      <c r="F7" s="478" t="s">
        <v>696</v>
      </c>
      <c r="G7" s="474"/>
      <c r="H7" s="478"/>
      <c r="I7" s="478"/>
      <c r="J7" s="478"/>
      <c r="K7" s="478"/>
      <c r="L7" s="478"/>
      <c r="M7" s="184"/>
      <c r="N7" s="504"/>
      <c r="O7" s="504"/>
      <c r="P7" s="504"/>
      <c r="Q7" s="504"/>
      <c r="R7" s="504"/>
      <c r="S7" s="504"/>
      <c r="T7" s="504"/>
      <c r="U7" s="504"/>
      <c r="V7" s="504"/>
      <c r="W7" s="504"/>
      <c r="X7" s="504"/>
      <c r="Y7" s="504"/>
    </row>
    <row r="8" spans="1:25" ht="11.25" customHeight="1">
      <c r="A8" s="182">
        <v>1</v>
      </c>
      <c r="B8" s="182" t="s">
        <v>647</v>
      </c>
      <c r="C8" s="183"/>
      <c r="D8" s="468"/>
      <c r="E8" s="474"/>
      <c r="F8" s="478" t="s">
        <v>696</v>
      </c>
      <c r="G8" s="474"/>
      <c r="H8" s="478"/>
      <c r="I8" s="478"/>
      <c r="J8" s="478"/>
      <c r="K8" s="478"/>
      <c r="L8" s="478"/>
      <c r="M8" s="184"/>
      <c r="N8" s="504"/>
      <c r="O8" s="504"/>
      <c r="P8" s="504"/>
      <c r="Q8" s="504"/>
      <c r="R8" s="504"/>
      <c r="S8" s="504"/>
      <c r="T8" s="504"/>
      <c r="U8" s="504"/>
      <c r="V8" s="504"/>
      <c r="W8" s="504"/>
      <c r="X8" s="504"/>
      <c r="Y8" s="504"/>
    </row>
    <row r="9" spans="1:25" ht="11.25" customHeight="1">
      <c r="A9" s="182">
        <v>1</v>
      </c>
      <c r="B9" s="182" t="s">
        <v>64</v>
      </c>
      <c r="C9" s="183"/>
      <c r="D9" s="468"/>
      <c r="E9" s="474"/>
      <c r="F9" s="478" t="s">
        <v>696</v>
      </c>
      <c r="G9" s="474"/>
      <c r="H9" s="478"/>
      <c r="I9" s="478"/>
      <c r="J9" s="478"/>
      <c r="K9" s="478"/>
      <c r="L9" s="478"/>
      <c r="M9" s="184"/>
      <c r="N9" s="504"/>
      <c r="O9" s="504"/>
      <c r="P9" s="504"/>
      <c r="Q9" s="504"/>
      <c r="R9" s="504"/>
      <c r="S9" s="504"/>
      <c r="T9" s="504"/>
      <c r="U9" s="504"/>
      <c r="V9" s="504"/>
      <c r="W9" s="504"/>
      <c r="X9" s="504"/>
      <c r="Y9" s="504"/>
    </row>
    <row r="10" spans="1:25" ht="11.25" customHeight="1">
      <c r="A10" s="185">
        <v>2</v>
      </c>
      <c r="B10" s="185" t="s">
        <v>648</v>
      </c>
      <c r="C10" s="186"/>
      <c r="D10" s="471"/>
      <c r="E10" s="472"/>
      <c r="F10" s="479"/>
      <c r="G10" s="475" t="s">
        <v>697</v>
      </c>
      <c r="H10" s="479"/>
      <c r="I10" s="479"/>
      <c r="J10" s="479"/>
      <c r="K10" s="479"/>
      <c r="L10" s="479"/>
      <c r="M10" s="187"/>
      <c r="N10" s="504"/>
      <c r="O10" s="504"/>
      <c r="P10" s="504"/>
      <c r="Q10" s="504"/>
      <c r="R10" s="504"/>
      <c r="S10" s="504"/>
      <c r="T10" s="504"/>
      <c r="U10" s="504"/>
      <c r="V10" s="504"/>
      <c r="W10" s="504"/>
      <c r="X10" s="504"/>
      <c r="Y10" s="504"/>
    </row>
    <row r="11" spans="1:25" ht="11.25" customHeight="1">
      <c r="A11" s="185">
        <v>2</v>
      </c>
      <c r="B11" s="185" t="s">
        <v>649</v>
      </c>
      <c r="C11" s="186"/>
      <c r="D11" s="471"/>
      <c r="E11" s="472"/>
      <c r="F11" s="479"/>
      <c r="G11" s="472" t="s">
        <v>697</v>
      </c>
      <c r="H11" s="479"/>
      <c r="I11" s="479"/>
      <c r="J11" s="479"/>
      <c r="K11" s="479"/>
      <c r="L11" s="479"/>
      <c r="M11" s="187"/>
      <c r="N11" s="504"/>
      <c r="O11" s="504"/>
      <c r="P11" s="504"/>
      <c r="Q11" s="504"/>
      <c r="R11" s="504"/>
      <c r="S11" s="504"/>
      <c r="T11" s="504"/>
      <c r="U11" s="504"/>
      <c r="V11" s="504"/>
      <c r="W11" s="504"/>
      <c r="X11" s="504"/>
      <c r="Y11" s="504"/>
    </row>
    <row r="12" spans="1:25" ht="11.25" customHeight="1">
      <c r="A12" s="182">
        <v>3</v>
      </c>
      <c r="B12" s="182" t="s">
        <v>650</v>
      </c>
      <c r="C12" s="188"/>
      <c r="D12" s="468"/>
      <c r="E12" s="474"/>
      <c r="F12" s="483"/>
      <c r="G12" s="474" t="s">
        <v>697</v>
      </c>
      <c r="H12" s="478"/>
      <c r="I12" s="478" t="s">
        <v>702</v>
      </c>
      <c r="J12" s="478"/>
      <c r="K12" s="478"/>
      <c r="L12" s="478"/>
      <c r="M12" s="184"/>
      <c r="N12" s="504"/>
      <c r="O12" s="504"/>
      <c r="P12" s="504"/>
      <c r="Q12" s="504"/>
      <c r="R12" s="504"/>
      <c r="S12" s="504"/>
      <c r="T12" s="504"/>
      <c r="U12" s="504"/>
      <c r="V12" s="504"/>
      <c r="W12" s="504"/>
      <c r="X12" s="504"/>
      <c r="Y12" s="504"/>
    </row>
    <row r="13" spans="1:25" ht="11.25" customHeight="1">
      <c r="A13" s="185">
        <v>4</v>
      </c>
      <c r="B13" s="185" t="s">
        <v>651</v>
      </c>
      <c r="C13" s="186"/>
      <c r="D13" s="467"/>
      <c r="E13" s="472"/>
      <c r="F13" s="482"/>
      <c r="G13" s="467" t="s">
        <v>697</v>
      </c>
      <c r="H13" s="480"/>
      <c r="I13" s="479"/>
      <c r="J13" s="479"/>
      <c r="K13" s="479"/>
      <c r="L13" s="479"/>
      <c r="M13" s="187"/>
      <c r="N13" s="504"/>
      <c r="O13" s="504"/>
      <c r="P13" s="504"/>
      <c r="Q13" s="504"/>
      <c r="R13" s="504"/>
      <c r="S13" s="504"/>
      <c r="T13" s="504"/>
      <c r="U13" s="504"/>
      <c r="V13" s="504"/>
      <c r="W13" s="504"/>
      <c r="X13" s="504"/>
      <c r="Y13" s="504"/>
    </row>
    <row r="14" spans="1:25" ht="11.25" customHeight="1">
      <c r="A14" s="185">
        <v>4</v>
      </c>
      <c r="B14" s="185" t="s">
        <v>652</v>
      </c>
      <c r="C14" s="186"/>
      <c r="D14" s="467"/>
      <c r="E14" s="472"/>
      <c r="F14" s="482"/>
      <c r="G14" s="467" t="s">
        <v>697</v>
      </c>
      <c r="H14" s="480"/>
      <c r="I14" s="479"/>
      <c r="J14" s="479"/>
      <c r="K14" s="479"/>
      <c r="L14" s="479"/>
      <c r="M14" s="187"/>
      <c r="N14" s="504"/>
      <c r="O14" s="504"/>
      <c r="P14" s="504"/>
      <c r="Q14" s="504"/>
      <c r="R14" s="504"/>
      <c r="S14" s="504"/>
      <c r="T14" s="504"/>
      <c r="U14" s="504"/>
      <c r="V14" s="504"/>
      <c r="W14" s="504"/>
      <c r="X14" s="504"/>
      <c r="Y14" s="504"/>
    </row>
    <row r="15" spans="1:25" ht="11.25" customHeight="1">
      <c r="A15" s="182">
        <v>5</v>
      </c>
      <c r="B15" s="182" t="s">
        <v>653</v>
      </c>
      <c r="C15" s="188"/>
      <c r="D15" s="468"/>
      <c r="E15" s="468"/>
      <c r="F15" s="486"/>
      <c r="G15" s="474"/>
      <c r="H15" s="481" t="s">
        <v>699</v>
      </c>
      <c r="I15" s="478"/>
      <c r="J15" s="478"/>
      <c r="K15" s="478"/>
      <c r="L15" s="478"/>
      <c r="M15" s="184"/>
      <c r="N15" s="504"/>
      <c r="O15" s="504"/>
      <c r="P15" s="504"/>
      <c r="Q15" s="504"/>
      <c r="R15" s="504"/>
      <c r="S15" s="504"/>
      <c r="T15" s="504"/>
      <c r="U15" s="504"/>
      <c r="V15" s="504"/>
      <c r="W15" s="504"/>
      <c r="X15" s="504"/>
      <c r="Y15" s="504"/>
    </row>
    <row r="16" spans="1:25" ht="11.25" customHeight="1">
      <c r="A16" s="185">
        <v>6</v>
      </c>
      <c r="B16" s="185" t="s">
        <v>654</v>
      </c>
      <c r="C16" s="186"/>
      <c r="D16" s="467"/>
      <c r="E16" s="467"/>
      <c r="F16" s="484"/>
      <c r="G16" s="472"/>
      <c r="H16" s="482" t="s">
        <v>700</v>
      </c>
      <c r="I16" s="479"/>
      <c r="J16" s="479"/>
      <c r="K16" s="480"/>
      <c r="L16" s="479"/>
      <c r="M16" s="187"/>
      <c r="N16" s="504"/>
      <c r="O16" s="504"/>
      <c r="P16" s="504"/>
      <c r="Q16" s="504"/>
      <c r="R16" s="504"/>
      <c r="S16" s="504"/>
      <c r="T16" s="504"/>
      <c r="U16" s="504"/>
      <c r="V16" s="504"/>
      <c r="W16" s="504"/>
      <c r="X16" s="504"/>
      <c r="Y16" s="504"/>
    </row>
    <row r="17" spans="1:25" ht="11.25" customHeight="1">
      <c r="A17" s="182">
        <v>7</v>
      </c>
      <c r="B17" s="182" t="s">
        <v>655</v>
      </c>
      <c r="C17" s="188"/>
      <c r="D17" s="468"/>
      <c r="E17" s="468"/>
      <c r="F17" s="485"/>
      <c r="G17" s="468"/>
      <c r="H17" s="483"/>
      <c r="I17" s="483" t="s">
        <v>701</v>
      </c>
      <c r="J17" s="478"/>
      <c r="K17" s="478"/>
      <c r="L17" s="481"/>
      <c r="M17" s="184"/>
      <c r="N17" s="504"/>
      <c r="O17" s="504"/>
      <c r="P17" s="504"/>
      <c r="Q17" s="504"/>
      <c r="R17" s="504"/>
      <c r="S17" s="504"/>
      <c r="T17" s="504"/>
      <c r="U17" s="504"/>
      <c r="V17" s="504"/>
      <c r="W17" s="504"/>
      <c r="X17" s="504"/>
      <c r="Y17" s="504"/>
    </row>
    <row r="18" spans="1:25" ht="11.25" customHeight="1">
      <c r="A18" s="182">
        <v>7</v>
      </c>
      <c r="B18" s="182" t="s">
        <v>656</v>
      </c>
      <c r="C18" s="188"/>
      <c r="D18" s="468"/>
      <c r="E18" s="468"/>
      <c r="F18" s="485"/>
      <c r="G18" s="468"/>
      <c r="H18" s="483"/>
      <c r="I18" s="483" t="s">
        <v>701</v>
      </c>
      <c r="J18" s="478"/>
      <c r="K18" s="478"/>
      <c r="L18" s="481"/>
      <c r="M18" s="184"/>
      <c r="N18" s="504"/>
      <c r="O18" s="504"/>
      <c r="P18" s="504"/>
      <c r="Q18" s="504"/>
      <c r="R18" s="504"/>
      <c r="S18" s="504"/>
      <c r="T18" s="504"/>
      <c r="U18" s="504"/>
      <c r="V18" s="504"/>
      <c r="W18" s="504"/>
      <c r="X18" s="504"/>
      <c r="Y18" s="504"/>
    </row>
    <row r="19" spans="1:25" ht="11.25" customHeight="1">
      <c r="A19" s="185">
        <v>8</v>
      </c>
      <c r="B19" s="185" t="s">
        <v>657</v>
      </c>
      <c r="C19" s="186"/>
      <c r="D19" s="467"/>
      <c r="E19" s="467"/>
      <c r="F19" s="479"/>
      <c r="G19" s="471"/>
      <c r="H19" s="484"/>
      <c r="I19" s="479"/>
      <c r="J19" s="482" t="s">
        <v>703</v>
      </c>
      <c r="K19" s="479"/>
      <c r="L19" s="479"/>
      <c r="M19" s="187"/>
      <c r="N19" s="504"/>
      <c r="O19" s="504"/>
      <c r="P19" s="504"/>
      <c r="Q19" s="504"/>
      <c r="R19" s="504"/>
      <c r="S19" s="504"/>
      <c r="T19" s="504"/>
      <c r="U19" s="504"/>
      <c r="V19" s="504"/>
      <c r="W19" s="504"/>
      <c r="X19" s="504"/>
      <c r="Y19" s="504"/>
    </row>
    <row r="20" spans="1:25" ht="11.25" customHeight="1">
      <c r="A20" s="182">
        <v>9</v>
      </c>
      <c r="B20" s="182" t="s">
        <v>658</v>
      </c>
      <c r="C20" s="188"/>
      <c r="D20" s="468"/>
      <c r="E20" s="468"/>
      <c r="F20" s="478"/>
      <c r="G20" s="476"/>
      <c r="H20" s="485"/>
      <c r="I20" s="483"/>
      <c r="J20" s="483" t="s">
        <v>703</v>
      </c>
      <c r="K20" s="478"/>
      <c r="L20" s="478"/>
      <c r="M20" s="184"/>
      <c r="N20" s="504"/>
      <c r="O20" s="504"/>
      <c r="P20" s="504"/>
      <c r="Q20" s="504"/>
      <c r="R20" s="504"/>
      <c r="S20" s="504"/>
      <c r="T20" s="504"/>
      <c r="U20" s="504"/>
      <c r="V20" s="504"/>
      <c r="W20" s="504"/>
      <c r="X20" s="504"/>
      <c r="Y20" s="504"/>
    </row>
    <row r="21" spans="1:25" ht="11.25" customHeight="1">
      <c r="A21" s="185">
        <v>10</v>
      </c>
      <c r="B21" s="185" t="s">
        <v>659</v>
      </c>
      <c r="C21" s="186"/>
      <c r="D21" s="467"/>
      <c r="E21" s="467"/>
      <c r="F21" s="479"/>
      <c r="G21" s="467"/>
      <c r="H21" s="479"/>
      <c r="I21" s="484"/>
      <c r="J21" s="479" t="s">
        <v>704</v>
      </c>
      <c r="K21" s="482"/>
      <c r="L21" s="479"/>
      <c r="M21" s="187"/>
      <c r="N21" s="504"/>
      <c r="O21" s="504"/>
      <c r="P21" s="504"/>
      <c r="Q21" s="504"/>
      <c r="R21" s="504"/>
      <c r="S21" s="504"/>
      <c r="T21" s="504"/>
      <c r="U21" s="504"/>
      <c r="V21" s="504"/>
      <c r="W21" s="504"/>
      <c r="X21" s="504"/>
      <c r="Y21" s="504"/>
    </row>
    <row r="22" spans="1:25" s="557" customFormat="1" ht="11.25" customHeight="1">
      <c r="A22" s="185">
        <v>16</v>
      </c>
      <c r="B22" s="185" t="s">
        <v>659</v>
      </c>
      <c r="C22" s="186"/>
      <c r="D22" s="467"/>
      <c r="E22" s="467"/>
      <c r="F22" s="479"/>
      <c r="G22" s="467"/>
      <c r="H22" s="479"/>
      <c r="I22" s="484"/>
      <c r="J22" s="479" t="s">
        <v>704</v>
      </c>
      <c r="K22" s="482"/>
      <c r="L22" s="479"/>
      <c r="M22" s="187"/>
      <c r="N22" s="558"/>
      <c r="O22" s="558"/>
      <c r="P22" s="558"/>
      <c r="Q22" s="558"/>
      <c r="R22" s="558"/>
      <c r="S22" s="558"/>
      <c r="T22" s="558"/>
      <c r="U22" s="558"/>
      <c r="V22" s="558"/>
      <c r="W22" s="558"/>
      <c r="X22" s="558"/>
      <c r="Y22" s="558"/>
    </row>
    <row r="23" spans="1:25" ht="11.25" customHeight="1">
      <c r="A23" s="182">
        <v>11</v>
      </c>
      <c r="B23" s="182" t="s">
        <v>660</v>
      </c>
      <c r="C23" s="188"/>
      <c r="D23" s="468"/>
      <c r="E23" s="468"/>
      <c r="F23" s="478"/>
      <c r="G23" s="468"/>
      <c r="H23" s="478"/>
      <c r="I23" s="478"/>
      <c r="J23" s="483"/>
      <c r="K23" s="486" t="s">
        <v>705</v>
      </c>
      <c r="L23" s="478"/>
      <c r="M23" s="189"/>
      <c r="N23" s="504"/>
      <c r="O23" s="504"/>
      <c r="P23" s="504"/>
      <c r="Q23" s="504"/>
      <c r="R23" s="504"/>
      <c r="S23" s="504"/>
      <c r="T23" s="504"/>
      <c r="U23" s="504"/>
      <c r="V23" s="504"/>
      <c r="W23" s="504"/>
      <c r="X23" s="504"/>
      <c r="Y23" s="504"/>
    </row>
    <row r="24" spans="1:25" ht="11.25" customHeight="1">
      <c r="A24" s="182">
        <v>11</v>
      </c>
      <c r="B24" s="182" t="s">
        <v>661</v>
      </c>
      <c r="C24" s="188"/>
      <c r="D24" s="468"/>
      <c r="E24" s="468"/>
      <c r="F24" s="478"/>
      <c r="G24" s="468"/>
      <c r="H24" s="478"/>
      <c r="I24" s="478"/>
      <c r="J24" s="483"/>
      <c r="K24" s="486" t="s">
        <v>705</v>
      </c>
      <c r="L24" s="478"/>
      <c r="M24" s="189"/>
      <c r="N24" s="504"/>
      <c r="O24" s="504"/>
      <c r="P24" s="504"/>
      <c r="Q24" s="504"/>
      <c r="R24" s="504"/>
      <c r="S24" s="504"/>
      <c r="T24" s="504"/>
      <c r="U24" s="504"/>
      <c r="V24" s="504"/>
      <c r="W24" s="504"/>
      <c r="X24" s="504"/>
      <c r="Y24" s="504"/>
    </row>
    <row r="25" spans="1:25" ht="11.25" customHeight="1">
      <c r="A25" s="185">
        <v>12</v>
      </c>
      <c r="B25" s="185" t="s">
        <v>662</v>
      </c>
      <c r="C25" s="186"/>
      <c r="D25" s="467"/>
      <c r="E25" s="467"/>
      <c r="F25" s="479"/>
      <c r="G25" s="467"/>
      <c r="H25" s="479"/>
      <c r="I25" s="479"/>
      <c r="J25" s="482"/>
      <c r="K25" s="484"/>
      <c r="L25" s="484"/>
      <c r="M25" s="190" t="s">
        <v>709</v>
      </c>
      <c r="N25" s="504"/>
      <c r="O25" s="504"/>
      <c r="P25" s="504"/>
      <c r="Q25" s="504"/>
      <c r="R25" s="504"/>
      <c r="S25" s="504"/>
      <c r="T25" s="504"/>
      <c r="U25" s="504"/>
      <c r="V25" s="504"/>
      <c r="W25" s="504"/>
      <c r="X25" s="504"/>
      <c r="Y25" s="504"/>
    </row>
    <row r="26" spans="1:25" ht="11.25" customHeight="1">
      <c r="A26" s="182">
        <v>13</v>
      </c>
      <c r="B26" s="182" t="s">
        <v>663</v>
      </c>
      <c r="C26" s="188"/>
      <c r="D26" s="468"/>
      <c r="E26" s="468"/>
      <c r="F26" s="478"/>
      <c r="G26" s="468"/>
      <c r="H26" s="478"/>
      <c r="I26" s="478"/>
      <c r="J26" s="478"/>
      <c r="K26" s="483"/>
      <c r="L26" s="486" t="s">
        <v>706</v>
      </c>
      <c r="M26" s="189"/>
      <c r="N26" s="504"/>
      <c r="O26" s="504"/>
      <c r="P26" s="504"/>
      <c r="Q26" s="504"/>
      <c r="R26" s="504"/>
      <c r="S26" s="504"/>
      <c r="T26" s="504"/>
      <c r="U26" s="504"/>
      <c r="V26" s="504"/>
      <c r="W26" s="504"/>
      <c r="X26" s="504"/>
      <c r="Y26" s="504"/>
    </row>
    <row r="27" spans="1:25" ht="11.25" customHeight="1">
      <c r="A27" s="185">
        <v>14</v>
      </c>
      <c r="B27" s="185" t="s">
        <v>664</v>
      </c>
      <c r="C27" s="186"/>
      <c r="D27" s="472"/>
      <c r="E27" s="467"/>
      <c r="F27" s="482"/>
      <c r="G27" s="467"/>
      <c r="H27" s="479"/>
      <c r="I27" s="479"/>
      <c r="J27" s="479"/>
      <c r="K27" s="479"/>
      <c r="L27" s="482"/>
      <c r="M27" s="191" t="s">
        <v>708</v>
      </c>
      <c r="N27" s="504"/>
      <c r="O27" s="504"/>
      <c r="P27" s="504"/>
      <c r="Q27" s="504"/>
      <c r="R27" s="504"/>
      <c r="S27" s="504"/>
      <c r="T27" s="504"/>
      <c r="U27" s="504"/>
      <c r="V27" s="504"/>
      <c r="W27" s="504"/>
      <c r="X27" s="504"/>
      <c r="Y27" s="504"/>
    </row>
    <row r="28" spans="1:25" ht="11.25" customHeight="1">
      <c r="A28" s="375">
        <v>15</v>
      </c>
      <c r="B28" s="375" t="s">
        <v>665</v>
      </c>
      <c r="C28" s="376"/>
      <c r="D28" s="487"/>
      <c r="E28" s="487"/>
      <c r="F28" s="488"/>
      <c r="G28" s="487"/>
      <c r="H28" s="488"/>
      <c r="I28" s="488"/>
      <c r="J28" s="488"/>
      <c r="K28" s="488"/>
      <c r="L28" s="489"/>
      <c r="M28" s="377" t="s">
        <v>709</v>
      </c>
      <c r="N28" s="504"/>
      <c r="O28" s="504"/>
      <c r="P28" s="504"/>
      <c r="Q28" s="504"/>
      <c r="R28" s="504"/>
      <c r="S28" s="504"/>
      <c r="T28" s="504"/>
      <c r="U28" s="504"/>
      <c r="V28" s="504"/>
      <c r="W28" s="504"/>
      <c r="X28" s="504"/>
      <c r="Y28" s="504"/>
    </row>
    <row r="29" spans="1:25" ht="11.25" customHeight="1">
      <c r="A29" s="89"/>
      <c r="B29" s="89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504"/>
      <c r="O29" s="504"/>
      <c r="P29" s="504"/>
      <c r="Q29" s="504"/>
      <c r="R29" s="504"/>
      <c r="S29" s="504"/>
      <c r="T29" s="504"/>
      <c r="U29" s="504"/>
      <c r="V29" s="504"/>
      <c r="W29" s="504"/>
      <c r="X29" s="504"/>
      <c r="Y29" s="504"/>
    </row>
    <row r="30" spans="1:25" ht="11.25" customHeight="1">
      <c r="A30" s="89"/>
      <c r="B30" s="89" t="s">
        <v>666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504"/>
      <c r="O30" s="504"/>
      <c r="P30" s="504"/>
      <c r="Q30" s="504"/>
      <c r="R30" s="504"/>
      <c r="S30" s="504"/>
      <c r="T30" s="504"/>
      <c r="U30" s="504"/>
      <c r="V30" s="504"/>
      <c r="W30" s="504"/>
      <c r="X30" s="504"/>
      <c r="Y30" s="504"/>
    </row>
    <row r="31" spans="1:25" ht="11.25" customHeight="1">
      <c r="A31" s="504"/>
      <c r="B31" s="504" t="s">
        <v>667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504"/>
      <c r="O31" s="504"/>
      <c r="P31" s="504"/>
      <c r="Q31" s="504"/>
      <c r="R31" s="504"/>
      <c r="S31" s="504"/>
      <c r="T31" s="504"/>
      <c r="U31" s="504"/>
      <c r="V31" s="504"/>
      <c r="W31" s="504"/>
      <c r="X31" s="504"/>
      <c r="Y31" s="504"/>
    </row>
    <row r="32" spans="1:25" ht="11.25" customHeight="1">
      <c r="A32" s="504"/>
      <c r="B32" s="504" t="s">
        <v>668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504"/>
      <c r="O32" s="504"/>
      <c r="P32" s="504"/>
      <c r="Q32" s="504"/>
      <c r="R32" s="504"/>
      <c r="S32" s="504"/>
      <c r="T32" s="504"/>
      <c r="U32" s="504"/>
      <c r="V32" s="504"/>
      <c r="W32" s="504"/>
      <c r="X32" s="504"/>
      <c r="Y32" s="504"/>
    </row>
    <row r="33" spans="1:25" ht="11.25" customHeight="1">
      <c r="A33" s="504"/>
      <c r="B33" s="504" t="s">
        <v>669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504"/>
      <c r="O33" s="504"/>
      <c r="P33" s="504"/>
      <c r="Q33" s="504"/>
      <c r="R33" s="504"/>
      <c r="S33" s="504"/>
      <c r="T33" s="504"/>
      <c r="U33" s="504"/>
      <c r="V33" s="504"/>
      <c r="W33" s="504"/>
      <c r="X33" s="504"/>
      <c r="Y33" s="504"/>
    </row>
    <row r="34" spans="1:25" ht="11.25" customHeight="1">
      <c r="A34" s="504"/>
      <c r="B34" s="91"/>
      <c r="C34" s="12"/>
      <c r="D34" s="12"/>
      <c r="E34" s="84"/>
      <c r="F34" s="84"/>
      <c r="G34" s="84"/>
      <c r="H34" s="84"/>
      <c r="I34" s="84"/>
      <c r="J34" s="84"/>
      <c r="K34" s="84"/>
      <c r="L34" s="84"/>
      <c r="M34" s="84"/>
      <c r="N34" s="504"/>
      <c r="O34" s="504"/>
      <c r="P34" s="504"/>
      <c r="Q34" s="504"/>
      <c r="R34" s="504"/>
      <c r="S34" s="504"/>
      <c r="T34" s="504"/>
      <c r="U34" s="504"/>
      <c r="V34" s="504"/>
      <c r="W34" s="504"/>
      <c r="X34" s="504"/>
      <c r="Y34" s="504"/>
    </row>
    <row r="35" spans="1:25" ht="11.25" customHeight="1">
      <c r="A35" s="504"/>
      <c r="B35" s="50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504"/>
      <c r="O35" s="504"/>
      <c r="P35" s="504"/>
      <c r="Q35" s="504"/>
      <c r="R35" s="504"/>
      <c r="S35" s="504"/>
      <c r="T35" s="504"/>
      <c r="U35" s="504"/>
      <c r="V35" s="504"/>
      <c r="W35" s="504"/>
      <c r="X35" s="504"/>
      <c r="Y35" s="504"/>
    </row>
    <row r="36" spans="1:25" ht="11.25" customHeight="1">
      <c r="A36" s="504"/>
      <c r="B36" s="50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504"/>
      <c r="O36" s="504"/>
      <c r="P36" s="504"/>
      <c r="Q36" s="504"/>
      <c r="R36" s="504"/>
      <c r="S36" s="504"/>
      <c r="T36" s="504"/>
      <c r="U36" s="504"/>
      <c r="V36" s="504"/>
      <c r="W36" s="504"/>
      <c r="X36" s="504"/>
      <c r="Y36" s="504"/>
    </row>
    <row r="37" spans="1:25" ht="11.25" customHeight="1">
      <c r="A37" s="504"/>
      <c r="B37" s="50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504"/>
      <c r="O37" s="504"/>
      <c r="P37" s="504"/>
      <c r="Q37" s="504"/>
      <c r="R37" s="504"/>
      <c r="S37" s="504"/>
      <c r="T37" s="504"/>
      <c r="U37" s="504"/>
      <c r="V37" s="504"/>
      <c r="W37" s="504"/>
      <c r="X37" s="504"/>
      <c r="Y37" s="504"/>
    </row>
    <row r="38" spans="1:25" ht="11.25" customHeight="1">
      <c r="A38" s="504"/>
      <c r="B38" s="50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504"/>
      <c r="O38" s="504"/>
      <c r="P38" s="504"/>
      <c r="Q38" s="504"/>
      <c r="R38" s="504"/>
      <c r="S38" s="504"/>
      <c r="T38" s="504"/>
      <c r="U38" s="504"/>
      <c r="V38" s="504"/>
      <c r="W38" s="504"/>
      <c r="X38" s="504"/>
      <c r="Y38" s="504"/>
    </row>
    <row r="39" spans="1:25" ht="11.25" customHeight="1">
      <c r="A39" s="504"/>
      <c r="B39" s="50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504"/>
      <c r="O39" s="504"/>
      <c r="P39" s="504"/>
      <c r="Q39" s="504"/>
      <c r="R39" s="504"/>
      <c r="S39" s="504"/>
      <c r="T39" s="504"/>
      <c r="U39" s="504"/>
      <c r="V39" s="504"/>
      <c r="W39" s="504"/>
      <c r="X39" s="504"/>
      <c r="Y39" s="504"/>
    </row>
    <row r="40" spans="1:25" ht="11.25" customHeight="1">
      <c r="A40" s="504"/>
      <c r="B40" s="50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504"/>
      <c r="O40" s="504"/>
      <c r="P40" s="504"/>
      <c r="Q40" s="504"/>
      <c r="R40" s="504"/>
      <c r="S40" s="504"/>
      <c r="T40" s="504"/>
      <c r="U40" s="504"/>
      <c r="V40" s="504"/>
      <c r="W40" s="504"/>
      <c r="X40" s="504"/>
      <c r="Y40" s="504"/>
    </row>
    <row r="41" spans="1:25" ht="11.25" customHeight="1">
      <c r="A41" s="504"/>
      <c r="B41" s="50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504"/>
      <c r="O41" s="504"/>
      <c r="P41" s="504"/>
      <c r="Q41" s="504"/>
      <c r="R41" s="504"/>
      <c r="S41" s="504"/>
      <c r="T41" s="504"/>
      <c r="U41" s="504"/>
      <c r="V41" s="504"/>
      <c r="W41" s="504"/>
      <c r="X41" s="504"/>
      <c r="Y41" s="504"/>
    </row>
    <row r="42" spans="1:25" ht="11.25" customHeight="1">
      <c r="A42" s="504"/>
      <c r="B42" s="50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504"/>
      <c r="O42" s="504"/>
      <c r="P42" s="504"/>
      <c r="Q42" s="504"/>
      <c r="R42" s="504"/>
      <c r="S42" s="504"/>
      <c r="T42" s="504"/>
      <c r="U42" s="504"/>
      <c r="V42" s="504"/>
      <c r="W42" s="504"/>
      <c r="X42" s="504"/>
      <c r="Y42" s="504"/>
    </row>
    <row r="43" spans="1:25" ht="11.25" customHeight="1">
      <c r="A43" s="504"/>
      <c r="B43" s="50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504"/>
      <c r="O43" s="504"/>
      <c r="P43" s="504"/>
      <c r="Q43" s="504"/>
      <c r="R43" s="504"/>
      <c r="S43" s="504"/>
      <c r="T43" s="504"/>
      <c r="U43" s="504"/>
      <c r="V43" s="504"/>
      <c r="W43" s="504"/>
      <c r="X43" s="504"/>
      <c r="Y43" s="504"/>
    </row>
    <row r="44" spans="1:25" ht="11.25" customHeight="1">
      <c r="A44" s="504"/>
      <c r="B44" s="50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504"/>
      <c r="O44" s="504"/>
      <c r="P44" s="504"/>
      <c r="Q44" s="504"/>
      <c r="R44" s="504"/>
      <c r="S44" s="504"/>
      <c r="T44" s="504"/>
      <c r="U44" s="504"/>
      <c r="V44" s="504"/>
      <c r="W44" s="504"/>
      <c r="X44" s="504"/>
      <c r="Y44" s="504"/>
    </row>
    <row r="45" spans="1:25" ht="11.25" customHeight="1">
      <c r="A45" s="504"/>
      <c r="B45" s="50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504"/>
      <c r="O45" s="504"/>
      <c r="P45" s="504"/>
      <c r="Q45" s="504"/>
      <c r="R45" s="504"/>
      <c r="S45" s="504"/>
      <c r="T45" s="504"/>
      <c r="U45" s="504"/>
      <c r="V45" s="504"/>
      <c r="W45" s="504"/>
      <c r="X45" s="504"/>
      <c r="Y45" s="504"/>
    </row>
    <row r="46" spans="1:25" ht="11.25" customHeight="1">
      <c r="A46" s="504"/>
      <c r="B46" s="50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504"/>
      <c r="O46" s="504"/>
      <c r="P46" s="504"/>
      <c r="Q46" s="504"/>
      <c r="R46" s="504"/>
      <c r="S46" s="504"/>
      <c r="T46" s="504"/>
      <c r="U46" s="504"/>
      <c r="V46" s="504"/>
      <c r="W46" s="504"/>
      <c r="X46" s="504"/>
      <c r="Y46" s="504"/>
    </row>
    <row r="47" spans="1:25" ht="11.25" customHeight="1">
      <c r="A47" s="504"/>
      <c r="B47" s="50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504"/>
      <c r="O47" s="504"/>
      <c r="P47" s="504"/>
      <c r="Q47" s="504"/>
      <c r="R47" s="504"/>
      <c r="S47" s="504"/>
      <c r="T47" s="504"/>
      <c r="U47" s="504"/>
      <c r="V47" s="504"/>
      <c r="W47" s="504"/>
      <c r="X47" s="504"/>
      <c r="Y47" s="504"/>
    </row>
    <row r="48" spans="1:25" ht="11.25" customHeight="1">
      <c r="A48" s="504"/>
      <c r="B48" s="50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504"/>
      <c r="O48" s="504"/>
      <c r="P48" s="504"/>
      <c r="Q48" s="504"/>
      <c r="R48" s="504"/>
      <c r="S48" s="504"/>
      <c r="T48" s="504"/>
      <c r="U48" s="504"/>
      <c r="V48" s="504"/>
      <c r="W48" s="504"/>
      <c r="X48" s="504"/>
      <c r="Y48" s="504"/>
    </row>
    <row r="49" spans="1:25" ht="11.25" customHeight="1">
      <c r="A49" s="504"/>
      <c r="B49" s="50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504"/>
      <c r="O49" s="504"/>
      <c r="P49" s="504"/>
      <c r="Q49" s="504"/>
      <c r="R49" s="504"/>
      <c r="S49" s="504"/>
      <c r="T49" s="504"/>
      <c r="U49" s="504"/>
      <c r="V49" s="504"/>
      <c r="W49" s="504"/>
      <c r="X49" s="504"/>
      <c r="Y49" s="504"/>
    </row>
    <row r="50" spans="1:25" ht="11.25" customHeight="1">
      <c r="A50" s="504"/>
      <c r="B50" s="50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504"/>
      <c r="O50" s="504"/>
      <c r="P50" s="504"/>
      <c r="Q50" s="504"/>
      <c r="R50" s="504"/>
      <c r="S50" s="504"/>
      <c r="T50" s="504"/>
      <c r="U50" s="504"/>
      <c r="V50" s="504"/>
      <c r="W50" s="504"/>
      <c r="X50" s="504"/>
      <c r="Y50" s="504"/>
    </row>
    <row r="51" spans="1:25" ht="11.25" customHeight="1">
      <c r="A51" s="504"/>
      <c r="B51" s="50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504"/>
      <c r="O51" s="504"/>
      <c r="P51" s="504"/>
      <c r="Q51" s="504"/>
      <c r="R51" s="504"/>
      <c r="S51" s="504"/>
      <c r="T51" s="504"/>
      <c r="U51" s="504"/>
      <c r="V51" s="504"/>
      <c r="W51" s="504"/>
      <c r="X51" s="504"/>
      <c r="Y51" s="504"/>
    </row>
    <row r="52" spans="1:25" ht="11.25" customHeight="1">
      <c r="A52" s="504"/>
      <c r="B52" s="50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504"/>
      <c r="O52" s="504"/>
      <c r="P52" s="504"/>
      <c r="Q52" s="504"/>
      <c r="R52" s="504"/>
      <c r="S52" s="504"/>
      <c r="T52" s="504"/>
      <c r="U52" s="504"/>
      <c r="V52" s="504"/>
      <c r="W52" s="504"/>
      <c r="X52" s="504"/>
      <c r="Y52" s="504"/>
    </row>
    <row r="53" spans="1:25" ht="11.25" customHeight="1">
      <c r="A53" s="504"/>
      <c r="B53" s="50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504"/>
      <c r="O53" s="504"/>
      <c r="P53" s="504"/>
      <c r="Q53" s="504"/>
      <c r="R53" s="504"/>
      <c r="S53" s="504"/>
      <c r="T53" s="504"/>
      <c r="U53" s="504"/>
      <c r="V53" s="504"/>
      <c r="W53" s="504"/>
      <c r="X53" s="504"/>
      <c r="Y53" s="504"/>
    </row>
    <row r="54" spans="1:25" ht="11.25" customHeight="1">
      <c r="A54" s="504"/>
      <c r="B54" s="50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504"/>
      <c r="O54" s="504"/>
      <c r="P54" s="504"/>
      <c r="Q54" s="504"/>
      <c r="R54" s="504"/>
      <c r="S54" s="504"/>
      <c r="T54" s="504"/>
      <c r="U54" s="504"/>
      <c r="V54" s="504"/>
      <c r="W54" s="504"/>
      <c r="X54" s="504"/>
      <c r="Y54" s="504"/>
    </row>
    <row r="55" spans="1:25" ht="11.25" customHeight="1">
      <c r="A55" s="504"/>
      <c r="B55" s="50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504"/>
      <c r="O55" s="504"/>
      <c r="P55" s="504"/>
      <c r="Q55" s="504"/>
      <c r="R55" s="504"/>
      <c r="S55" s="504"/>
      <c r="T55" s="504"/>
      <c r="U55" s="504"/>
      <c r="V55" s="504"/>
      <c r="W55" s="504"/>
      <c r="X55" s="504"/>
      <c r="Y55" s="504"/>
    </row>
    <row r="56" spans="1:25" ht="11.25" customHeight="1">
      <c r="A56" s="504"/>
      <c r="B56" s="50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504"/>
      <c r="O56" s="504"/>
      <c r="P56" s="504"/>
      <c r="Q56" s="504"/>
      <c r="R56" s="504"/>
      <c r="S56" s="504"/>
      <c r="T56" s="504"/>
      <c r="U56" s="504"/>
      <c r="V56" s="504"/>
      <c r="W56" s="504"/>
      <c r="X56" s="504"/>
      <c r="Y56" s="504"/>
    </row>
    <row r="57" spans="1:25" ht="11.25" customHeight="1">
      <c r="A57" s="504"/>
      <c r="B57" s="50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504"/>
      <c r="O57" s="504"/>
      <c r="P57" s="504"/>
      <c r="Q57" s="504"/>
      <c r="R57" s="504"/>
      <c r="S57" s="504"/>
      <c r="T57" s="504"/>
      <c r="U57" s="504"/>
      <c r="V57" s="504"/>
      <c r="W57" s="504"/>
      <c r="X57" s="504"/>
      <c r="Y57" s="504"/>
    </row>
    <row r="58" spans="1:25" ht="11.25" customHeight="1">
      <c r="A58" s="504"/>
      <c r="B58" s="50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504"/>
      <c r="O58" s="504"/>
      <c r="P58" s="504"/>
      <c r="Q58" s="504"/>
      <c r="R58" s="504"/>
      <c r="S58" s="504"/>
      <c r="T58" s="504"/>
      <c r="U58" s="504"/>
      <c r="V58" s="504"/>
      <c r="W58" s="504"/>
      <c r="X58" s="504"/>
      <c r="Y58" s="504"/>
    </row>
    <row r="59" spans="1:25" ht="11.25" customHeight="1">
      <c r="A59" s="504"/>
      <c r="B59" s="50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504"/>
      <c r="O59" s="504"/>
      <c r="P59" s="504"/>
      <c r="Q59" s="504"/>
      <c r="R59" s="504"/>
      <c r="S59" s="504"/>
      <c r="T59" s="504"/>
      <c r="U59" s="504"/>
      <c r="V59" s="504"/>
      <c r="W59" s="504"/>
      <c r="X59" s="504"/>
      <c r="Y59" s="504"/>
    </row>
    <row r="60" spans="1:25" ht="11.25" customHeight="1">
      <c r="A60" s="504"/>
      <c r="B60" s="50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504"/>
      <c r="O60" s="504"/>
      <c r="P60" s="504"/>
      <c r="Q60" s="504"/>
      <c r="R60" s="504"/>
      <c r="S60" s="504"/>
      <c r="T60" s="504"/>
      <c r="U60" s="504"/>
      <c r="V60" s="504"/>
      <c r="W60" s="504"/>
      <c r="X60" s="504"/>
      <c r="Y60" s="504"/>
    </row>
    <row r="61" spans="1:25" ht="11.25" customHeight="1">
      <c r="A61" s="504"/>
      <c r="B61" s="50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504"/>
      <c r="O61" s="504"/>
      <c r="P61" s="504"/>
      <c r="Q61" s="504"/>
      <c r="R61" s="504"/>
      <c r="S61" s="504"/>
      <c r="T61" s="504"/>
      <c r="U61" s="504"/>
      <c r="V61" s="504"/>
      <c r="W61" s="504"/>
      <c r="X61" s="504"/>
      <c r="Y61" s="504"/>
    </row>
    <row r="62" spans="1:25" ht="11.25" customHeight="1">
      <c r="A62" s="504"/>
      <c r="B62" s="50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504"/>
      <c r="O62" s="504"/>
      <c r="P62" s="504"/>
      <c r="Q62" s="504"/>
      <c r="R62" s="504"/>
      <c r="S62" s="504"/>
      <c r="T62" s="504"/>
      <c r="U62" s="504"/>
      <c r="V62" s="504"/>
      <c r="W62" s="504"/>
      <c r="X62" s="504"/>
      <c r="Y62" s="504"/>
    </row>
    <row r="63" spans="1:25" ht="11.25" customHeight="1">
      <c r="A63" s="504"/>
      <c r="B63" s="50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504"/>
      <c r="O63" s="504"/>
      <c r="P63" s="504"/>
      <c r="Q63" s="504"/>
      <c r="R63" s="504"/>
      <c r="S63" s="504"/>
      <c r="T63" s="504"/>
      <c r="U63" s="504"/>
      <c r="V63" s="504"/>
      <c r="W63" s="504"/>
      <c r="X63" s="504"/>
      <c r="Y63" s="504"/>
    </row>
    <row r="64" spans="1:25" ht="11.25" customHeight="1">
      <c r="A64" s="504"/>
      <c r="B64" s="50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504"/>
      <c r="O64" s="504"/>
      <c r="P64" s="504"/>
      <c r="Q64" s="504"/>
      <c r="R64" s="504"/>
      <c r="S64" s="504"/>
      <c r="T64" s="504"/>
      <c r="U64" s="504"/>
      <c r="V64" s="504"/>
      <c r="W64" s="504"/>
      <c r="X64" s="504"/>
      <c r="Y64" s="504"/>
    </row>
    <row r="65" spans="1:25" ht="11.25" customHeight="1">
      <c r="A65" s="504"/>
      <c r="B65" s="50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504"/>
      <c r="O65" s="504"/>
      <c r="P65" s="504"/>
      <c r="Q65" s="504"/>
      <c r="R65" s="504"/>
      <c r="S65" s="504"/>
      <c r="T65" s="504"/>
      <c r="U65" s="504"/>
      <c r="V65" s="504"/>
      <c r="W65" s="504"/>
      <c r="X65" s="504"/>
      <c r="Y65" s="504"/>
    </row>
    <row r="66" spans="1:25" ht="11.25" customHeight="1">
      <c r="A66" s="504"/>
      <c r="B66" s="50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504"/>
      <c r="O66" s="504"/>
      <c r="P66" s="504"/>
      <c r="Q66" s="504"/>
      <c r="R66" s="504"/>
      <c r="S66" s="504"/>
      <c r="T66" s="504"/>
      <c r="U66" s="504"/>
      <c r="V66" s="504"/>
      <c r="W66" s="504"/>
      <c r="X66" s="504"/>
      <c r="Y66" s="504"/>
    </row>
    <row r="67" spans="1:25" ht="11.25" customHeight="1">
      <c r="A67" s="504"/>
      <c r="B67" s="50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504"/>
      <c r="O67" s="504"/>
      <c r="P67" s="504"/>
      <c r="Q67" s="504"/>
      <c r="R67" s="504"/>
      <c r="S67" s="504"/>
      <c r="T67" s="504"/>
      <c r="U67" s="504"/>
      <c r="V67" s="504"/>
      <c r="W67" s="504"/>
      <c r="X67" s="504"/>
      <c r="Y67" s="504"/>
    </row>
    <row r="68" spans="1:25" ht="11.25" customHeight="1">
      <c r="A68" s="504"/>
      <c r="B68" s="50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504"/>
      <c r="O68" s="504"/>
      <c r="P68" s="504"/>
      <c r="Q68" s="504"/>
      <c r="R68" s="504"/>
      <c r="S68" s="504"/>
      <c r="T68" s="504"/>
      <c r="U68" s="504"/>
      <c r="V68" s="504"/>
      <c r="W68" s="504"/>
      <c r="X68" s="504"/>
      <c r="Y68" s="504"/>
    </row>
    <row r="69" spans="1:25" ht="11.25" customHeight="1">
      <c r="A69" s="504"/>
      <c r="B69" s="50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504"/>
      <c r="O69" s="504"/>
      <c r="P69" s="504"/>
      <c r="Q69" s="504"/>
      <c r="R69" s="504"/>
      <c r="S69" s="504"/>
      <c r="T69" s="504"/>
      <c r="U69" s="504"/>
      <c r="V69" s="504"/>
      <c r="W69" s="504"/>
      <c r="X69" s="504"/>
      <c r="Y69" s="504"/>
    </row>
    <row r="70" spans="1:25" ht="11.25" customHeight="1">
      <c r="A70" s="504"/>
      <c r="B70" s="50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504"/>
      <c r="O70" s="504"/>
      <c r="P70" s="504"/>
      <c r="Q70" s="504"/>
      <c r="R70" s="504"/>
      <c r="S70" s="504"/>
      <c r="T70" s="504"/>
      <c r="U70" s="504"/>
      <c r="V70" s="504"/>
      <c r="W70" s="504"/>
      <c r="X70" s="504"/>
      <c r="Y70" s="504"/>
    </row>
    <row r="71" spans="1:25" ht="11.25" customHeight="1">
      <c r="A71" s="504"/>
      <c r="B71" s="50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504"/>
      <c r="O71" s="504"/>
      <c r="P71" s="504"/>
      <c r="Q71" s="504"/>
      <c r="R71" s="504"/>
      <c r="S71" s="504"/>
      <c r="T71" s="504"/>
      <c r="U71" s="504"/>
      <c r="V71" s="504"/>
      <c r="W71" s="504"/>
      <c r="X71" s="504"/>
      <c r="Y71" s="504"/>
    </row>
    <row r="72" spans="1:25" ht="11.25" customHeight="1">
      <c r="A72" s="504"/>
      <c r="B72" s="50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504"/>
      <c r="O72" s="504"/>
      <c r="P72" s="504"/>
      <c r="Q72" s="504"/>
      <c r="R72" s="504"/>
      <c r="S72" s="504"/>
      <c r="T72" s="504"/>
      <c r="U72" s="504"/>
      <c r="V72" s="504"/>
      <c r="W72" s="504"/>
      <c r="X72" s="504"/>
      <c r="Y72" s="504"/>
    </row>
    <row r="73" spans="1:25" ht="11.25" customHeight="1">
      <c r="A73" s="504"/>
      <c r="B73" s="50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504"/>
      <c r="O73" s="504"/>
      <c r="P73" s="504"/>
      <c r="Q73" s="504"/>
      <c r="R73" s="504"/>
      <c r="S73" s="504"/>
      <c r="T73" s="504"/>
      <c r="U73" s="504"/>
      <c r="V73" s="504"/>
      <c r="W73" s="504"/>
      <c r="X73" s="504"/>
      <c r="Y73" s="504"/>
    </row>
    <row r="74" spans="1:25" ht="11.25" customHeight="1">
      <c r="A74" s="504"/>
      <c r="B74" s="50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504"/>
      <c r="O74" s="504"/>
      <c r="P74" s="504"/>
      <c r="Q74" s="504"/>
      <c r="R74" s="504"/>
      <c r="S74" s="504"/>
      <c r="T74" s="504"/>
      <c r="U74" s="504"/>
      <c r="V74" s="504"/>
      <c r="W74" s="504"/>
      <c r="X74" s="504"/>
      <c r="Y74" s="504"/>
    </row>
    <row r="75" spans="1:25" ht="11.25" customHeight="1">
      <c r="A75" s="504"/>
      <c r="B75" s="50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504"/>
      <c r="O75" s="504"/>
      <c r="P75" s="504"/>
      <c r="Q75" s="504"/>
      <c r="R75" s="504"/>
      <c r="S75" s="504"/>
      <c r="T75" s="504"/>
      <c r="U75" s="504"/>
      <c r="V75" s="504"/>
      <c r="W75" s="504"/>
      <c r="X75" s="504"/>
      <c r="Y75" s="504"/>
    </row>
    <row r="76" spans="1:25" ht="11.25" customHeight="1">
      <c r="A76" s="504"/>
      <c r="B76" s="50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504"/>
      <c r="O76" s="504"/>
      <c r="P76" s="504"/>
      <c r="Q76" s="504"/>
      <c r="R76" s="504"/>
      <c r="S76" s="504"/>
      <c r="T76" s="504"/>
      <c r="U76" s="504"/>
      <c r="V76" s="504"/>
      <c r="W76" s="504"/>
      <c r="X76" s="504"/>
      <c r="Y76" s="504"/>
    </row>
    <row r="77" spans="1:25" ht="11.25" customHeight="1">
      <c r="A77" s="504"/>
      <c r="B77" s="50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504"/>
      <c r="O77" s="504"/>
      <c r="P77" s="504"/>
      <c r="Q77" s="504"/>
      <c r="R77" s="504"/>
      <c r="S77" s="504"/>
      <c r="T77" s="504"/>
      <c r="U77" s="504"/>
      <c r="V77" s="504"/>
      <c r="W77" s="504"/>
      <c r="X77" s="504"/>
      <c r="Y77" s="504"/>
    </row>
    <row r="78" spans="1:25" ht="11.25" customHeight="1">
      <c r="A78" s="504"/>
      <c r="B78" s="50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504"/>
      <c r="O78" s="504"/>
      <c r="P78" s="504"/>
      <c r="Q78" s="504"/>
      <c r="R78" s="504"/>
      <c r="S78" s="504"/>
      <c r="T78" s="504"/>
      <c r="U78" s="504"/>
      <c r="V78" s="504"/>
      <c r="W78" s="504"/>
      <c r="X78" s="504"/>
      <c r="Y78" s="504"/>
    </row>
    <row r="79" spans="1:25" ht="11.25" customHeight="1">
      <c r="A79" s="504"/>
      <c r="B79" s="50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504"/>
      <c r="O79" s="504"/>
      <c r="P79" s="504"/>
      <c r="Q79" s="504"/>
      <c r="R79" s="504"/>
      <c r="S79" s="504"/>
      <c r="T79" s="504"/>
      <c r="U79" s="504"/>
      <c r="V79" s="504"/>
      <c r="W79" s="504"/>
      <c r="X79" s="504"/>
      <c r="Y79" s="504"/>
    </row>
    <row r="80" spans="1:25" ht="11.25" customHeight="1">
      <c r="A80" s="504"/>
      <c r="B80" s="50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504"/>
      <c r="O80" s="504"/>
      <c r="P80" s="504"/>
      <c r="Q80" s="504"/>
      <c r="R80" s="504"/>
      <c r="S80" s="504"/>
      <c r="T80" s="504"/>
      <c r="U80" s="504"/>
      <c r="V80" s="504"/>
      <c r="W80" s="504"/>
      <c r="X80" s="504"/>
      <c r="Y80" s="504"/>
    </row>
    <row r="81" spans="1:25" ht="11.25" customHeight="1">
      <c r="A81" s="504"/>
      <c r="B81" s="50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504"/>
      <c r="O81" s="504"/>
      <c r="P81" s="504"/>
      <c r="Q81" s="504"/>
      <c r="R81" s="504"/>
      <c r="S81" s="504"/>
      <c r="T81" s="504"/>
      <c r="U81" s="504"/>
      <c r="V81" s="504"/>
      <c r="W81" s="504"/>
      <c r="X81" s="504"/>
      <c r="Y81" s="504"/>
    </row>
    <row r="82" spans="1:25" ht="11.25" customHeight="1">
      <c r="A82" s="504"/>
      <c r="B82" s="50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504"/>
      <c r="O82" s="504"/>
      <c r="P82" s="504"/>
      <c r="Q82" s="504"/>
      <c r="R82" s="504"/>
      <c r="S82" s="504"/>
      <c r="T82" s="504"/>
      <c r="U82" s="504"/>
      <c r="V82" s="504"/>
      <c r="W82" s="504"/>
      <c r="X82" s="504"/>
      <c r="Y82" s="504"/>
    </row>
    <row r="83" spans="1:25" ht="11.25" customHeight="1">
      <c r="A83" s="504"/>
      <c r="B83" s="50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504"/>
      <c r="O83" s="504"/>
      <c r="P83" s="504"/>
      <c r="Q83" s="504"/>
      <c r="R83" s="504"/>
      <c r="S83" s="504"/>
      <c r="T83" s="504"/>
      <c r="U83" s="504"/>
      <c r="V83" s="504"/>
      <c r="W83" s="504"/>
      <c r="X83" s="504"/>
      <c r="Y83" s="504"/>
    </row>
    <row r="84" spans="1:25" ht="11.25" customHeight="1">
      <c r="A84" s="504"/>
      <c r="B84" s="50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504"/>
      <c r="O84" s="504"/>
      <c r="P84" s="504"/>
      <c r="Q84" s="504"/>
      <c r="R84" s="504"/>
      <c r="S84" s="504"/>
      <c r="T84" s="504"/>
      <c r="U84" s="504"/>
      <c r="V84" s="504"/>
      <c r="W84" s="504"/>
      <c r="X84" s="504"/>
      <c r="Y84" s="504"/>
    </row>
    <row r="85" spans="1:25" ht="11.25" customHeight="1">
      <c r="A85" s="504"/>
      <c r="B85" s="50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504"/>
      <c r="O85" s="504"/>
      <c r="P85" s="504"/>
      <c r="Q85" s="504"/>
      <c r="R85" s="504"/>
      <c r="S85" s="504"/>
      <c r="T85" s="504"/>
      <c r="U85" s="504"/>
      <c r="V85" s="504"/>
      <c r="W85" s="504"/>
      <c r="X85" s="504"/>
      <c r="Y85" s="504"/>
    </row>
    <row r="86" spans="1:25" ht="11.25" customHeight="1">
      <c r="A86" s="504"/>
      <c r="B86" s="50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504"/>
      <c r="O86" s="504"/>
      <c r="P86" s="504"/>
      <c r="Q86" s="504"/>
      <c r="R86" s="504"/>
      <c r="S86" s="504"/>
      <c r="T86" s="504"/>
      <c r="U86" s="504"/>
      <c r="V86" s="504"/>
      <c r="W86" s="504"/>
      <c r="X86" s="504"/>
      <c r="Y86" s="504"/>
    </row>
    <row r="87" spans="1:25" ht="11.25" customHeight="1">
      <c r="A87" s="504"/>
      <c r="B87" s="50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504"/>
      <c r="O87" s="504"/>
      <c r="P87" s="504"/>
      <c r="Q87" s="504"/>
      <c r="R87" s="504"/>
      <c r="S87" s="504"/>
      <c r="T87" s="504"/>
      <c r="U87" s="504"/>
      <c r="V87" s="504"/>
      <c r="W87" s="504"/>
      <c r="X87" s="504"/>
      <c r="Y87" s="504"/>
    </row>
    <row r="88" spans="1:25" ht="11.25" customHeight="1">
      <c r="A88" s="504"/>
      <c r="B88" s="50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504"/>
      <c r="O88" s="504"/>
      <c r="P88" s="504"/>
      <c r="Q88" s="504"/>
      <c r="R88" s="504"/>
      <c r="S88" s="504"/>
      <c r="T88" s="504"/>
      <c r="U88" s="504"/>
      <c r="V88" s="504"/>
      <c r="W88" s="504"/>
      <c r="X88" s="504"/>
      <c r="Y88" s="504"/>
    </row>
    <row r="89" spans="1:25" ht="11.25" customHeight="1">
      <c r="A89" s="504"/>
      <c r="B89" s="50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504"/>
      <c r="O89" s="504"/>
      <c r="P89" s="504"/>
      <c r="Q89" s="504"/>
      <c r="R89" s="504"/>
      <c r="S89" s="504"/>
      <c r="T89" s="504"/>
      <c r="U89" s="504"/>
      <c r="V89" s="504"/>
      <c r="W89" s="504"/>
      <c r="X89" s="504"/>
      <c r="Y89" s="504"/>
    </row>
    <row r="90" spans="1:25" ht="11.25" customHeight="1">
      <c r="A90" s="504"/>
      <c r="B90" s="50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504"/>
      <c r="O90" s="504"/>
      <c r="P90" s="504"/>
      <c r="Q90" s="504"/>
      <c r="R90" s="504"/>
      <c r="S90" s="504"/>
      <c r="T90" s="504"/>
      <c r="U90" s="504"/>
      <c r="V90" s="504"/>
      <c r="W90" s="504"/>
      <c r="X90" s="504"/>
      <c r="Y90" s="504"/>
    </row>
    <row r="91" spans="1:25" ht="11.25" customHeight="1">
      <c r="A91" s="504"/>
      <c r="B91" s="50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504"/>
      <c r="O91" s="504"/>
      <c r="P91" s="504"/>
      <c r="Q91" s="504"/>
      <c r="R91" s="504"/>
      <c r="S91" s="504"/>
      <c r="T91" s="504"/>
      <c r="U91" s="504"/>
      <c r="V91" s="504"/>
      <c r="W91" s="504"/>
      <c r="X91" s="504"/>
      <c r="Y91" s="504"/>
    </row>
    <row r="92" spans="1:25" ht="11.25" customHeight="1">
      <c r="A92" s="504"/>
      <c r="B92" s="50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504"/>
      <c r="O92" s="504"/>
      <c r="P92" s="504"/>
      <c r="Q92" s="504"/>
      <c r="R92" s="504"/>
      <c r="S92" s="504"/>
      <c r="T92" s="504"/>
      <c r="U92" s="504"/>
      <c r="V92" s="504"/>
      <c r="W92" s="504"/>
      <c r="X92" s="504"/>
      <c r="Y92" s="504"/>
    </row>
    <row r="93" spans="1:25" ht="11.25" customHeight="1">
      <c r="A93" s="504"/>
      <c r="B93" s="50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504"/>
      <c r="O93" s="504"/>
      <c r="P93" s="504"/>
      <c r="Q93" s="504"/>
      <c r="R93" s="504"/>
      <c r="S93" s="504"/>
      <c r="T93" s="504"/>
      <c r="U93" s="504"/>
      <c r="V93" s="504"/>
      <c r="W93" s="504"/>
      <c r="X93" s="504"/>
      <c r="Y93" s="504"/>
    </row>
    <row r="94" spans="1:25" ht="11.25" customHeight="1">
      <c r="A94" s="504"/>
      <c r="B94" s="50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504"/>
      <c r="O94" s="504"/>
      <c r="P94" s="504"/>
      <c r="Q94" s="504"/>
      <c r="R94" s="504"/>
      <c r="S94" s="504"/>
      <c r="T94" s="504"/>
      <c r="U94" s="504"/>
      <c r="V94" s="504"/>
      <c r="W94" s="504"/>
      <c r="X94" s="504"/>
      <c r="Y94" s="504"/>
    </row>
    <row r="95" spans="1:25" ht="11.25" customHeight="1">
      <c r="A95" s="504"/>
      <c r="B95" s="50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504"/>
      <c r="O95" s="504"/>
      <c r="P95" s="504"/>
      <c r="Q95" s="504"/>
      <c r="R95" s="504"/>
      <c r="S95" s="504"/>
      <c r="T95" s="504"/>
      <c r="U95" s="504"/>
      <c r="V95" s="504"/>
      <c r="W95" s="504"/>
      <c r="X95" s="504"/>
      <c r="Y95" s="504"/>
    </row>
    <row r="96" spans="1:25" ht="11.25" customHeight="1">
      <c r="A96" s="504"/>
      <c r="B96" s="50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504"/>
      <c r="O96" s="504"/>
      <c r="P96" s="504"/>
      <c r="Q96" s="504"/>
      <c r="R96" s="504"/>
      <c r="S96" s="504"/>
      <c r="T96" s="504"/>
      <c r="U96" s="504"/>
      <c r="V96" s="504"/>
      <c r="W96" s="504"/>
      <c r="X96" s="504"/>
      <c r="Y96" s="504"/>
    </row>
    <row r="97" spans="1:25" ht="11.25" customHeight="1">
      <c r="A97" s="504"/>
      <c r="B97" s="50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504"/>
      <c r="O97" s="504"/>
      <c r="P97" s="504"/>
      <c r="Q97" s="504"/>
      <c r="R97" s="504"/>
      <c r="S97" s="504"/>
      <c r="T97" s="504"/>
      <c r="U97" s="504"/>
      <c r="V97" s="504"/>
      <c r="W97" s="504"/>
      <c r="X97" s="504"/>
      <c r="Y97" s="504"/>
    </row>
    <row r="98" spans="1:25" ht="11.25" customHeight="1">
      <c r="A98" s="504"/>
      <c r="B98" s="50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504"/>
      <c r="O98" s="504"/>
      <c r="P98" s="504"/>
      <c r="Q98" s="504"/>
      <c r="R98" s="504"/>
      <c r="S98" s="504"/>
      <c r="T98" s="504"/>
      <c r="U98" s="504"/>
      <c r="V98" s="504"/>
      <c r="W98" s="504"/>
      <c r="X98" s="504"/>
      <c r="Y98" s="504"/>
    </row>
    <row r="99" spans="1:25" ht="11.25" customHeight="1">
      <c r="A99" s="504"/>
      <c r="B99" s="50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504"/>
      <c r="O99" s="504"/>
      <c r="P99" s="504"/>
      <c r="Q99" s="504"/>
      <c r="R99" s="504"/>
      <c r="S99" s="504"/>
      <c r="T99" s="504"/>
      <c r="U99" s="504"/>
      <c r="V99" s="504"/>
      <c r="W99" s="504"/>
      <c r="X99" s="504"/>
      <c r="Y99" s="504"/>
    </row>
    <row r="100" spans="1:25" ht="11.25" customHeight="1">
      <c r="A100" s="504"/>
      <c r="B100" s="50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504"/>
      <c r="O100" s="504"/>
      <c r="P100" s="504"/>
      <c r="Q100" s="504"/>
      <c r="R100" s="504"/>
      <c r="S100" s="504"/>
      <c r="T100" s="504"/>
      <c r="U100" s="504"/>
      <c r="V100" s="504"/>
      <c r="W100" s="504"/>
      <c r="X100" s="504"/>
      <c r="Y100" s="504"/>
    </row>
    <row r="101" spans="1:25" ht="11.25" customHeight="1">
      <c r="A101" s="504"/>
      <c r="B101" s="50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504"/>
      <c r="O101" s="504"/>
      <c r="P101" s="504"/>
      <c r="Q101" s="504"/>
      <c r="R101" s="504"/>
      <c r="S101" s="504"/>
      <c r="T101" s="504"/>
      <c r="U101" s="504"/>
      <c r="V101" s="504"/>
      <c r="W101" s="504"/>
      <c r="X101" s="504"/>
      <c r="Y101" s="504"/>
    </row>
    <row r="102" spans="1:25" ht="11.25" customHeight="1">
      <c r="A102" s="504"/>
      <c r="B102" s="50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504"/>
      <c r="O102" s="504"/>
      <c r="P102" s="504"/>
      <c r="Q102" s="504"/>
      <c r="R102" s="504"/>
      <c r="S102" s="504"/>
      <c r="T102" s="504"/>
      <c r="U102" s="504"/>
      <c r="V102" s="504"/>
      <c r="W102" s="504"/>
      <c r="X102" s="504"/>
      <c r="Y102" s="504"/>
    </row>
    <row r="103" spans="1:25" ht="11.25" customHeight="1">
      <c r="A103" s="504"/>
      <c r="B103" s="50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504"/>
      <c r="O103" s="504"/>
      <c r="P103" s="504"/>
      <c r="Q103" s="504"/>
      <c r="R103" s="504"/>
      <c r="S103" s="504"/>
      <c r="T103" s="504"/>
      <c r="U103" s="504"/>
      <c r="V103" s="504"/>
      <c r="W103" s="504"/>
      <c r="X103" s="504"/>
      <c r="Y103" s="504"/>
    </row>
    <row r="104" spans="1:25" ht="11.25" customHeight="1">
      <c r="A104" s="504"/>
      <c r="B104" s="50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504"/>
      <c r="O104" s="504"/>
      <c r="P104" s="504"/>
      <c r="Q104" s="504"/>
      <c r="R104" s="504"/>
      <c r="S104" s="504"/>
      <c r="T104" s="504"/>
      <c r="U104" s="504"/>
      <c r="V104" s="504"/>
      <c r="W104" s="504"/>
      <c r="X104" s="504"/>
      <c r="Y104" s="504"/>
    </row>
    <row r="105" spans="1:25" ht="11.25" customHeight="1">
      <c r="A105" s="504"/>
      <c r="B105" s="50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504"/>
      <c r="O105" s="504"/>
      <c r="P105" s="504"/>
      <c r="Q105" s="504"/>
      <c r="R105" s="504"/>
      <c r="S105" s="504"/>
      <c r="T105" s="504"/>
      <c r="U105" s="504"/>
      <c r="V105" s="504"/>
      <c r="W105" s="504"/>
      <c r="X105" s="504"/>
      <c r="Y105" s="504"/>
    </row>
    <row r="106" spans="1:25" ht="11.25" customHeight="1">
      <c r="A106" s="504"/>
      <c r="B106" s="50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504"/>
      <c r="O106" s="504"/>
      <c r="P106" s="504"/>
      <c r="Q106" s="504"/>
      <c r="R106" s="504"/>
      <c r="S106" s="504"/>
      <c r="T106" s="504"/>
      <c r="U106" s="504"/>
      <c r="V106" s="504"/>
      <c r="W106" s="504"/>
      <c r="X106" s="504"/>
      <c r="Y106" s="504"/>
    </row>
    <row r="107" spans="1:25" ht="11.25" customHeight="1">
      <c r="A107" s="504"/>
      <c r="B107" s="50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504"/>
      <c r="O107" s="504"/>
      <c r="P107" s="504"/>
      <c r="Q107" s="504"/>
      <c r="R107" s="504"/>
      <c r="S107" s="504"/>
      <c r="T107" s="504"/>
      <c r="U107" s="504"/>
      <c r="V107" s="504"/>
      <c r="W107" s="504"/>
      <c r="X107" s="504"/>
      <c r="Y107" s="504"/>
    </row>
    <row r="108" spans="1:25" ht="11.25" customHeight="1">
      <c r="A108" s="504"/>
      <c r="B108" s="50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</row>
    <row r="109" spans="1:25" ht="11.25" customHeight="1">
      <c r="A109" s="504"/>
      <c r="B109" s="50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504"/>
      <c r="O109" s="504"/>
      <c r="P109" s="504"/>
      <c r="Q109" s="504"/>
      <c r="R109" s="504"/>
      <c r="S109" s="504"/>
      <c r="T109" s="504"/>
      <c r="U109" s="504"/>
      <c r="V109" s="504"/>
      <c r="W109" s="504"/>
      <c r="X109" s="504"/>
      <c r="Y109" s="504"/>
    </row>
    <row r="110" spans="1:25" ht="11.25" customHeight="1">
      <c r="A110" s="504"/>
      <c r="B110" s="50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504"/>
      <c r="O110" s="504"/>
      <c r="P110" s="504"/>
      <c r="Q110" s="504"/>
      <c r="R110" s="504"/>
      <c r="S110" s="504"/>
      <c r="T110" s="504"/>
      <c r="U110" s="504"/>
      <c r="V110" s="504"/>
      <c r="W110" s="504"/>
      <c r="X110" s="504"/>
      <c r="Y110" s="504"/>
    </row>
    <row r="111" spans="1:25" ht="11.25" customHeight="1">
      <c r="A111" s="504"/>
      <c r="B111" s="50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504"/>
      <c r="O111" s="504"/>
      <c r="P111" s="504"/>
      <c r="Q111" s="504"/>
      <c r="R111" s="504"/>
      <c r="S111" s="504"/>
      <c r="T111" s="504"/>
      <c r="U111" s="504"/>
      <c r="V111" s="504"/>
      <c r="W111" s="504"/>
      <c r="X111" s="504"/>
      <c r="Y111" s="504"/>
    </row>
    <row r="112" spans="1:25" ht="11.25" customHeight="1">
      <c r="A112" s="504"/>
      <c r="B112" s="50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504"/>
      <c r="O112" s="504"/>
      <c r="P112" s="504"/>
      <c r="Q112" s="504"/>
      <c r="R112" s="504"/>
      <c r="S112" s="504"/>
      <c r="T112" s="504"/>
      <c r="U112" s="504"/>
      <c r="V112" s="504"/>
      <c r="W112" s="504"/>
      <c r="X112" s="504"/>
      <c r="Y112" s="504"/>
    </row>
    <row r="113" spans="1:25" ht="11.25" customHeight="1">
      <c r="A113" s="504"/>
      <c r="B113" s="50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504"/>
      <c r="O113" s="504"/>
      <c r="P113" s="504"/>
      <c r="Q113" s="504"/>
      <c r="R113" s="504"/>
      <c r="S113" s="504"/>
      <c r="T113" s="504"/>
      <c r="U113" s="504"/>
      <c r="V113" s="504"/>
      <c r="W113" s="504"/>
      <c r="X113" s="504"/>
      <c r="Y113" s="504"/>
    </row>
    <row r="114" spans="1:25" ht="11.25" customHeight="1">
      <c r="A114" s="504"/>
      <c r="B114" s="50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504"/>
      <c r="O114" s="504"/>
      <c r="P114" s="504"/>
      <c r="Q114" s="504"/>
      <c r="R114" s="504"/>
      <c r="S114" s="504"/>
      <c r="T114" s="504"/>
      <c r="U114" s="504"/>
      <c r="V114" s="504"/>
      <c r="W114" s="504"/>
      <c r="X114" s="504"/>
      <c r="Y114" s="504"/>
    </row>
    <row r="115" spans="1:25" ht="11.25" customHeight="1">
      <c r="A115" s="504"/>
      <c r="B115" s="50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504"/>
      <c r="O115" s="504"/>
      <c r="P115" s="504"/>
      <c r="Q115" s="504"/>
      <c r="R115" s="504"/>
      <c r="S115" s="504"/>
      <c r="T115" s="504"/>
      <c r="U115" s="504"/>
      <c r="V115" s="504"/>
      <c r="W115" s="504"/>
      <c r="X115" s="504"/>
      <c r="Y115" s="504"/>
    </row>
    <row r="116" spans="1:25" ht="11.25" customHeight="1">
      <c r="A116" s="504"/>
      <c r="B116" s="50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504"/>
      <c r="O116" s="504"/>
      <c r="P116" s="504"/>
      <c r="Q116" s="504"/>
      <c r="R116" s="504"/>
      <c r="S116" s="504"/>
      <c r="T116" s="504"/>
      <c r="U116" s="504"/>
      <c r="V116" s="504"/>
      <c r="W116" s="504"/>
      <c r="X116" s="504"/>
      <c r="Y116" s="504"/>
    </row>
    <row r="117" spans="1:25" ht="11.25" customHeight="1">
      <c r="A117" s="504"/>
      <c r="B117" s="50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504"/>
      <c r="O117" s="504"/>
      <c r="P117" s="504"/>
      <c r="Q117" s="504"/>
      <c r="R117" s="504"/>
      <c r="S117" s="504"/>
      <c r="T117" s="504"/>
      <c r="U117" s="504"/>
      <c r="V117" s="504"/>
      <c r="W117" s="504"/>
      <c r="X117" s="504"/>
      <c r="Y117" s="504"/>
    </row>
    <row r="118" spans="1:25" ht="11.25" customHeight="1">
      <c r="A118" s="504"/>
      <c r="B118" s="50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504"/>
      <c r="O118" s="504"/>
      <c r="P118" s="504"/>
      <c r="Q118" s="504"/>
      <c r="R118" s="504"/>
      <c r="S118" s="504"/>
      <c r="T118" s="504"/>
      <c r="U118" s="504"/>
      <c r="V118" s="504"/>
      <c r="W118" s="504"/>
      <c r="X118" s="504"/>
      <c r="Y118" s="504"/>
    </row>
    <row r="119" spans="1:25" ht="11.25" customHeight="1">
      <c r="A119" s="504"/>
      <c r="B119" s="50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504"/>
      <c r="O119" s="504"/>
      <c r="P119" s="504"/>
      <c r="Q119" s="504"/>
      <c r="R119" s="504"/>
      <c r="S119" s="504"/>
      <c r="T119" s="504"/>
      <c r="U119" s="504"/>
      <c r="V119" s="504"/>
      <c r="W119" s="504"/>
      <c r="X119" s="504"/>
      <c r="Y119" s="504"/>
    </row>
    <row r="120" spans="1:25" ht="11.25" customHeight="1">
      <c r="A120" s="504"/>
      <c r="B120" s="50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504"/>
      <c r="O120" s="504"/>
      <c r="P120" s="504"/>
      <c r="Q120" s="504"/>
      <c r="R120" s="504"/>
      <c r="S120" s="504"/>
      <c r="T120" s="504"/>
      <c r="U120" s="504"/>
      <c r="V120" s="504"/>
      <c r="W120" s="504"/>
      <c r="X120" s="504"/>
      <c r="Y120" s="504"/>
    </row>
    <row r="121" spans="1:25" ht="11.25" customHeight="1">
      <c r="A121" s="504"/>
      <c r="B121" s="50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504"/>
      <c r="O121" s="504"/>
      <c r="P121" s="504"/>
      <c r="Q121" s="504"/>
      <c r="R121" s="504"/>
      <c r="S121" s="504"/>
      <c r="T121" s="504"/>
      <c r="U121" s="504"/>
      <c r="V121" s="504"/>
      <c r="W121" s="504"/>
      <c r="X121" s="504"/>
      <c r="Y121" s="504"/>
    </row>
    <row r="122" spans="1:25" ht="11.25" customHeight="1">
      <c r="A122" s="504"/>
      <c r="B122" s="50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504"/>
      <c r="O122" s="504"/>
      <c r="P122" s="504"/>
      <c r="Q122" s="504"/>
      <c r="R122" s="504"/>
      <c r="S122" s="504"/>
      <c r="T122" s="504"/>
      <c r="U122" s="504"/>
      <c r="V122" s="504"/>
      <c r="W122" s="504"/>
      <c r="X122" s="504"/>
      <c r="Y122" s="504"/>
    </row>
    <row r="123" spans="1:25" ht="11.25" customHeight="1">
      <c r="A123" s="504"/>
      <c r="B123" s="50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504"/>
      <c r="O123" s="504"/>
      <c r="P123" s="504"/>
      <c r="Q123" s="504"/>
      <c r="R123" s="504"/>
      <c r="S123" s="504"/>
      <c r="T123" s="504"/>
      <c r="U123" s="504"/>
      <c r="V123" s="504"/>
      <c r="W123" s="504"/>
      <c r="X123" s="504"/>
      <c r="Y123" s="504"/>
    </row>
    <row r="124" spans="1:25" ht="11.25" customHeight="1">
      <c r="A124" s="504"/>
      <c r="B124" s="50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504"/>
      <c r="O124" s="504"/>
      <c r="P124" s="504"/>
      <c r="Q124" s="504"/>
      <c r="R124" s="504"/>
      <c r="S124" s="504"/>
      <c r="T124" s="504"/>
      <c r="U124" s="504"/>
      <c r="V124" s="504"/>
      <c r="W124" s="504"/>
      <c r="X124" s="504"/>
      <c r="Y124" s="504"/>
    </row>
    <row r="125" spans="1:25" ht="11.25" customHeight="1">
      <c r="A125" s="504"/>
      <c r="B125" s="50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504"/>
      <c r="O125" s="504"/>
      <c r="P125" s="504"/>
      <c r="Q125" s="504"/>
      <c r="R125" s="504"/>
      <c r="S125" s="504"/>
      <c r="T125" s="504"/>
      <c r="U125" s="504"/>
      <c r="V125" s="504"/>
      <c r="W125" s="504"/>
      <c r="X125" s="504"/>
      <c r="Y125" s="504"/>
    </row>
    <row r="126" spans="1:25" ht="11.25" customHeight="1">
      <c r="A126" s="504"/>
      <c r="B126" s="50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504"/>
      <c r="O126" s="504"/>
      <c r="P126" s="504"/>
      <c r="Q126" s="504"/>
      <c r="R126" s="504"/>
      <c r="S126" s="504"/>
      <c r="T126" s="504"/>
      <c r="U126" s="504"/>
      <c r="V126" s="504"/>
      <c r="W126" s="504"/>
      <c r="X126" s="504"/>
      <c r="Y126" s="504"/>
    </row>
    <row r="127" spans="1:25" ht="11.25" customHeight="1">
      <c r="A127" s="504"/>
      <c r="B127" s="50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504"/>
      <c r="O127" s="504"/>
      <c r="P127" s="504"/>
      <c r="Q127" s="504"/>
      <c r="R127" s="504"/>
      <c r="S127" s="504"/>
      <c r="T127" s="504"/>
      <c r="U127" s="504"/>
      <c r="V127" s="504"/>
      <c r="W127" s="504"/>
      <c r="X127" s="504"/>
      <c r="Y127" s="504"/>
    </row>
    <row r="128" spans="1:25" ht="11.25" customHeight="1">
      <c r="A128" s="504"/>
      <c r="B128" s="50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504"/>
      <c r="O128" s="504"/>
      <c r="P128" s="504"/>
      <c r="Q128" s="504"/>
      <c r="R128" s="504"/>
      <c r="S128" s="504"/>
      <c r="T128" s="504"/>
      <c r="U128" s="504"/>
      <c r="V128" s="504"/>
      <c r="W128" s="504"/>
      <c r="X128" s="504"/>
      <c r="Y128" s="504"/>
    </row>
    <row r="129" spans="1:25" ht="11.25" customHeight="1">
      <c r="A129" s="504"/>
      <c r="B129" s="50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504"/>
      <c r="O129" s="504"/>
      <c r="P129" s="504"/>
      <c r="Q129" s="504"/>
      <c r="R129" s="504"/>
      <c r="S129" s="504"/>
      <c r="T129" s="504"/>
      <c r="U129" s="504"/>
      <c r="V129" s="504"/>
      <c r="W129" s="504"/>
      <c r="X129" s="504"/>
      <c r="Y129" s="504"/>
    </row>
    <row r="130" spans="1:25" ht="11.25" customHeight="1">
      <c r="A130" s="504"/>
      <c r="B130" s="50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504"/>
      <c r="O130" s="504"/>
      <c r="P130" s="504"/>
      <c r="Q130" s="504"/>
      <c r="R130" s="504"/>
      <c r="S130" s="504"/>
      <c r="T130" s="504"/>
      <c r="U130" s="504"/>
      <c r="V130" s="504"/>
      <c r="W130" s="504"/>
      <c r="X130" s="504"/>
      <c r="Y130" s="504"/>
    </row>
    <row r="131" spans="1:25" ht="11.25" customHeight="1">
      <c r="A131" s="504"/>
      <c r="B131" s="50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504"/>
      <c r="O131" s="504"/>
      <c r="P131" s="504"/>
      <c r="Q131" s="504"/>
      <c r="R131" s="504"/>
      <c r="S131" s="504"/>
      <c r="T131" s="504"/>
      <c r="U131" s="504"/>
      <c r="V131" s="504"/>
      <c r="W131" s="504"/>
      <c r="X131" s="504"/>
      <c r="Y131" s="504"/>
    </row>
    <row r="132" spans="1:25" ht="11.25" customHeight="1">
      <c r="A132" s="504"/>
      <c r="B132" s="50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504"/>
      <c r="O132" s="504"/>
      <c r="P132" s="504"/>
      <c r="Q132" s="504"/>
      <c r="R132" s="504"/>
      <c r="S132" s="504"/>
      <c r="T132" s="504"/>
      <c r="U132" s="504"/>
      <c r="V132" s="504"/>
      <c r="W132" s="504"/>
      <c r="X132" s="504"/>
      <c r="Y132" s="504"/>
    </row>
    <row r="133" spans="1:25" ht="11.25" customHeight="1">
      <c r="A133" s="504"/>
      <c r="B133" s="50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504"/>
      <c r="O133" s="504"/>
      <c r="P133" s="504"/>
      <c r="Q133" s="504"/>
      <c r="R133" s="504"/>
      <c r="S133" s="504"/>
      <c r="T133" s="504"/>
      <c r="U133" s="504"/>
      <c r="V133" s="504"/>
      <c r="W133" s="504"/>
      <c r="X133" s="504"/>
      <c r="Y133" s="504"/>
    </row>
    <row r="134" spans="1:25" ht="11.25" customHeight="1">
      <c r="A134" s="504"/>
      <c r="B134" s="50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504"/>
      <c r="O134" s="504"/>
      <c r="P134" s="504"/>
      <c r="Q134" s="504"/>
      <c r="R134" s="504"/>
      <c r="S134" s="504"/>
      <c r="T134" s="504"/>
      <c r="U134" s="504"/>
      <c r="V134" s="504"/>
      <c r="W134" s="504"/>
      <c r="X134" s="504"/>
      <c r="Y134" s="504"/>
    </row>
    <row r="135" spans="1:25" ht="11.25" customHeight="1">
      <c r="A135" s="504"/>
      <c r="B135" s="50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504"/>
      <c r="O135" s="504"/>
      <c r="P135" s="504"/>
      <c r="Q135" s="504"/>
      <c r="R135" s="504"/>
      <c r="S135" s="504"/>
      <c r="T135" s="504"/>
      <c r="U135" s="504"/>
      <c r="V135" s="504"/>
      <c r="W135" s="504"/>
      <c r="X135" s="504"/>
      <c r="Y135" s="504"/>
    </row>
    <row r="136" spans="1:25" ht="11.25" customHeight="1">
      <c r="A136" s="504"/>
      <c r="B136" s="50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504"/>
      <c r="O136" s="504"/>
      <c r="P136" s="504"/>
      <c r="Q136" s="504"/>
      <c r="R136" s="504"/>
      <c r="S136" s="504"/>
      <c r="T136" s="504"/>
      <c r="U136" s="504"/>
      <c r="V136" s="504"/>
      <c r="W136" s="504"/>
      <c r="X136" s="504"/>
      <c r="Y136" s="504"/>
    </row>
    <row r="137" spans="1:25" ht="11.25" customHeight="1">
      <c r="A137" s="504"/>
      <c r="B137" s="50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504"/>
      <c r="O137" s="504"/>
      <c r="P137" s="504"/>
      <c r="Q137" s="504"/>
      <c r="R137" s="504"/>
      <c r="S137" s="504"/>
      <c r="T137" s="504"/>
      <c r="U137" s="504"/>
      <c r="V137" s="504"/>
      <c r="W137" s="504"/>
      <c r="X137" s="504"/>
      <c r="Y137" s="504"/>
    </row>
    <row r="138" spans="1:25" ht="11.25" customHeight="1">
      <c r="A138" s="504"/>
      <c r="B138" s="50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504"/>
      <c r="O138" s="504"/>
      <c r="P138" s="504"/>
      <c r="Q138" s="504"/>
      <c r="R138" s="504"/>
      <c r="S138" s="504"/>
      <c r="T138" s="504"/>
      <c r="U138" s="504"/>
      <c r="V138" s="504"/>
      <c r="W138" s="504"/>
      <c r="X138" s="504"/>
      <c r="Y138" s="504"/>
    </row>
    <row r="139" spans="1:25" ht="11.25" customHeight="1">
      <c r="A139" s="504"/>
      <c r="B139" s="50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504"/>
      <c r="O139" s="504"/>
      <c r="P139" s="504"/>
      <c r="Q139" s="504"/>
      <c r="R139" s="504"/>
      <c r="S139" s="504"/>
      <c r="T139" s="504"/>
      <c r="U139" s="504"/>
      <c r="V139" s="504"/>
      <c r="W139" s="504"/>
      <c r="X139" s="504"/>
      <c r="Y139" s="504"/>
    </row>
    <row r="140" spans="1:25" ht="11.25" customHeight="1">
      <c r="A140" s="504"/>
      <c r="B140" s="50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504"/>
      <c r="O140" s="504"/>
      <c r="P140" s="504"/>
      <c r="Q140" s="504"/>
      <c r="R140" s="504"/>
      <c r="S140" s="504"/>
      <c r="T140" s="504"/>
      <c r="U140" s="504"/>
      <c r="V140" s="504"/>
      <c r="W140" s="504"/>
      <c r="X140" s="504"/>
      <c r="Y140" s="504"/>
    </row>
    <row r="141" spans="1:25" ht="11.25" customHeight="1">
      <c r="A141" s="504"/>
      <c r="B141" s="50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504"/>
      <c r="O141" s="504"/>
      <c r="P141" s="504"/>
      <c r="Q141" s="504"/>
      <c r="R141" s="504"/>
      <c r="S141" s="504"/>
      <c r="T141" s="504"/>
      <c r="U141" s="504"/>
      <c r="V141" s="504"/>
      <c r="W141" s="504"/>
      <c r="X141" s="504"/>
      <c r="Y141" s="504"/>
    </row>
    <row r="142" spans="1:25" ht="11.25" customHeight="1">
      <c r="A142" s="504"/>
      <c r="B142" s="50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504"/>
      <c r="O142" s="504"/>
      <c r="P142" s="504"/>
      <c r="Q142" s="504"/>
      <c r="R142" s="504"/>
      <c r="S142" s="504"/>
      <c r="T142" s="504"/>
      <c r="U142" s="504"/>
      <c r="V142" s="504"/>
      <c r="W142" s="504"/>
      <c r="X142" s="504"/>
      <c r="Y142" s="504"/>
    </row>
    <row r="143" spans="1:25" ht="11.25" customHeight="1">
      <c r="A143" s="504"/>
      <c r="B143" s="50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504"/>
      <c r="O143" s="504"/>
      <c r="P143" s="504"/>
      <c r="Q143" s="504"/>
      <c r="R143" s="504"/>
      <c r="S143" s="504"/>
      <c r="T143" s="504"/>
      <c r="U143" s="504"/>
      <c r="V143" s="504"/>
      <c r="W143" s="504"/>
      <c r="X143" s="504"/>
      <c r="Y143" s="504"/>
    </row>
    <row r="144" spans="1:25" ht="11.25" customHeight="1">
      <c r="A144" s="504"/>
      <c r="B144" s="50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504"/>
      <c r="O144" s="504"/>
      <c r="P144" s="504"/>
      <c r="Q144" s="504"/>
      <c r="R144" s="504"/>
      <c r="S144" s="504"/>
      <c r="T144" s="504"/>
      <c r="U144" s="504"/>
      <c r="V144" s="504"/>
      <c r="W144" s="504"/>
      <c r="X144" s="504"/>
      <c r="Y144" s="504"/>
    </row>
    <row r="145" spans="1:25" ht="11.25" customHeight="1">
      <c r="A145" s="504"/>
      <c r="B145" s="50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504"/>
      <c r="O145" s="504"/>
      <c r="P145" s="504"/>
      <c r="Q145" s="504"/>
      <c r="R145" s="504"/>
      <c r="S145" s="504"/>
      <c r="T145" s="504"/>
      <c r="U145" s="504"/>
      <c r="V145" s="504"/>
      <c r="W145" s="504"/>
      <c r="X145" s="504"/>
      <c r="Y145" s="504"/>
    </row>
    <row r="146" spans="1:25" ht="11.25" customHeight="1">
      <c r="A146" s="504"/>
      <c r="B146" s="50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504"/>
      <c r="O146" s="504"/>
      <c r="P146" s="504"/>
      <c r="Q146" s="504"/>
      <c r="R146" s="504"/>
      <c r="S146" s="504"/>
      <c r="T146" s="504"/>
      <c r="U146" s="504"/>
      <c r="V146" s="504"/>
      <c r="W146" s="504"/>
      <c r="X146" s="504"/>
      <c r="Y146" s="504"/>
    </row>
    <row r="147" spans="1:25" ht="11.25" customHeight="1">
      <c r="A147" s="504"/>
      <c r="B147" s="50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504"/>
      <c r="O147" s="504"/>
      <c r="P147" s="504"/>
      <c r="Q147" s="504"/>
      <c r="R147" s="504"/>
      <c r="S147" s="504"/>
      <c r="T147" s="504"/>
      <c r="U147" s="504"/>
      <c r="V147" s="504"/>
      <c r="W147" s="504"/>
      <c r="X147" s="504"/>
      <c r="Y147" s="504"/>
    </row>
    <row r="148" spans="1:25" ht="11.25" customHeight="1">
      <c r="A148" s="504"/>
      <c r="B148" s="50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504"/>
      <c r="O148" s="504"/>
      <c r="P148" s="504"/>
      <c r="Q148" s="504"/>
      <c r="R148" s="504"/>
      <c r="S148" s="504"/>
      <c r="T148" s="504"/>
      <c r="U148" s="504"/>
      <c r="V148" s="504"/>
      <c r="W148" s="504"/>
      <c r="X148" s="504"/>
      <c r="Y148" s="504"/>
    </row>
    <row r="149" spans="1:25" ht="11.25" customHeight="1">
      <c r="A149" s="504"/>
      <c r="B149" s="50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504"/>
      <c r="O149" s="504"/>
      <c r="P149" s="504"/>
      <c r="Q149" s="504"/>
      <c r="R149" s="504"/>
      <c r="S149" s="504"/>
      <c r="T149" s="504"/>
      <c r="U149" s="504"/>
      <c r="V149" s="504"/>
      <c r="W149" s="504"/>
      <c r="X149" s="504"/>
      <c r="Y149" s="504"/>
    </row>
    <row r="150" spans="1:25" ht="11.25" customHeight="1">
      <c r="A150" s="504"/>
      <c r="B150" s="50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504"/>
      <c r="O150" s="504"/>
      <c r="P150" s="504"/>
      <c r="Q150" s="504"/>
      <c r="R150" s="504"/>
      <c r="S150" s="504"/>
      <c r="T150" s="504"/>
      <c r="U150" s="504"/>
      <c r="V150" s="504"/>
      <c r="W150" s="504"/>
      <c r="X150" s="504"/>
      <c r="Y150" s="504"/>
    </row>
    <row r="151" spans="1:25" ht="11.25" customHeight="1">
      <c r="A151" s="504"/>
      <c r="B151" s="50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504"/>
      <c r="O151" s="504"/>
      <c r="P151" s="504"/>
      <c r="Q151" s="504"/>
      <c r="R151" s="504"/>
      <c r="S151" s="504"/>
      <c r="T151" s="504"/>
      <c r="U151" s="504"/>
      <c r="V151" s="504"/>
      <c r="W151" s="504"/>
      <c r="X151" s="504"/>
      <c r="Y151" s="504"/>
    </row>
    <row r="152" spans="1:25" ht="11.25" customHeight="1">
      <c r="A152" s="504"/>
      <c r="B152" s="50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504"/>
      <c r="O152" s="504"/>
      <c r="P152" s="504"/>
      <c r="Q152" s="504"/>
      <c r="R152" s="504"/>
      <c r="S152" s="504"/>
      <c r="T152" s="504"/>
      <c r="U152" s="504"/>
      <c r="V152" s="504"/>
      <c r="W152" s="504"/>
      <c r="X152" s="504"/>
      <c r="Y152" s="504"/>
    </row>
    <row r="153" spans="1:25" ht="11.25" customHeight="1">
      <c r="A153" s="504"/>
      <c r="B153" s="50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504"/>
      <c r="O153" s="504"/>
      <c r="P153" s="504"/>
      <c r="Q153" s="504"/>
      <c r="R153" s="504"/>
      <c r="S153" s="504"/>
      <c r="T153" s="504"/>
      <c r="U153" s="504"/>
      <c r="V153" s="504"/>
      <c r="W153" s="504"/>
      <c r="X153" s="504"/>
      <c r="Y153" s="504"/>
    </row>
    <row r="154" spans="1:25" ht="11.25" customHeight="1">
      <c r="A154" s="504"/>
      <c r="B154" s="50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504"/>
      <c r="O154" s="504"/>
      <c r="P154" s="504"/>
      <c r="Q154" s="504"/>
      <c r="R154" s="504"/>
      <c r="S154" s="504"/>
      <c r="T154" s="504"/>
      <c r="U154" s="504"/>
      <c r="V154" s="504"/>
      <c r="W154" s="504"/>
      <c r="X154" s="504"/>
      <c r="Y154" s="504"/>
    </row>
    <row r="155" spans="1:25" ht="11.25" customHeight="1">
      <c r="A155" s="504"/>
      <c r="B155" s="50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504"/>
      <c r="O155" s="504"/>
      <c r="P155" s="504"/>
      <c r="Q155" s="504"/>
      <c r="R155" s="504"/>
      <c r="S155" s="504"/>
      <c r="T155" s="504"/>
      <c r="U155" s="504"/>
      <c r="V155" s="504"/>
      <c r="W155" s="504"/>
      <c r="X155" s="504"/>
      <c r="Y155" s="504"/>
    </row>
    <row r="156" spans="1:25" ht="11.25" customHeight="1">
      <c r="A156" s="504"/>
      <c r="B156" s="50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504"/>
      <c r="O156" s="504"/>
      <c r="P156" s="504"/>
      <c r="Q156" s="504"/>
      <c r="R156" s="504"/>
      <c r="S156" s="504"/>
      <c r="T156" s="504"/>
      <c r="U156" s="504"/>
      <c r="V156" s="504"/>
      <c r="W156" s="504"/>
      <c r="X156" s="504"/>
      <c r="Y156" s="504"/>
    </row>
    <row r="157" spans="1:25" ht="11.25" customHeight="1">
      <c r="A157" s="504"/>
      <c r="B157" s="50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504"/>
      <c r="O157" s="504"/>
      <c r="P157" s="504"/>
      <c r="Q157" s="504"/>
      <c r="R157" s="504"/>
      <c r="S157" s="504"/>
      <c r="T157" s="504"/>
      <c r="U157" s="504"/>
      <c r="V157" s="504"/>
      <c r="W157" s="504"/>
      <c r="X157" s="504"/>
      <c r="Y157" s="504"/>
    </row>
    <row r="158" spans="1:25" ht="11.25" customHeight="1">
      <c r="A158" s="504"/>
      <c r="B158" s="50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504"/>
      <c r="O158" s="504"/>
      <c r="P158" s="504"/>
      <c r="Q158" s="504"/>
      <c r="R158" s="504"/>
      <c r="S158" s="504"/>
      <c r="T158" s="504"/>
      <c r="U158" s="504"/>
      <c r="V158" s="504"/>
      <c r="W158" s="504"/>
      <c r="X158" s="504"/>
      <c r="Y158" s="504"/>
    </row>
    <row r="159" spans="1:25" ht="11.25" customHeight="1">
      <c r="A159" s="504"/>
      <c r="B159" s="50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504"/>
      <c r="O159" s="504"/>
      <c r="P159" s="504"/>
      <c r="Q159" s="504"/>
      <c r="R159" s="504"/>
      <c r="S159" s="504"/>
      <c r="T159" s="504"/>
      <c r="U159" s="504"/>
      <c r="V159" s="504"/>
      <c r="W159" s="504"/>
      <c r="X159" s="504"/>
      <c r="Y159" s="504"/>
    </row>
    <row r="160" spans="1:25" ht="11.25" customHeight="1">
      <c r="A160" s="504"/>
      <c r="B160" s="50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504"/>
      <c r="O160" s="504"/>
      <c r="P160" s="504"/>
      <c r="Q160" s="504"/>
      <c r="R160" s="504"/>
      <c r="S160" s="504"/>
      <c r="T160" s="504"/>
      <c r="U160" s="504"/>
      <c r="V160" s="504"/>
      <c r="W160" s="504"/>
      <c r="X160" s="504"/>
      <c r="Y160" s="504"/>
    </row>
    <row r="161" spans="1:25" ht="11.25" customHeight="1">
      <c r="A161" s="504"/>
      <c r="B161" s="50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504"/>
      <c r="O161" s="504"/>
      <c r="P161" s="504"/>
      <c r="Q161" s="504"/>
      <c r="R161" s="504"/>
      <c r="S161" s="504"/>
      <c r="T161" s="504"/>
      <c r="U161" s="504"/>
      <c r="V161" s="504"/>
      <c r="W161" s="504"/>
      <c r="X161" s="504"/>
      <c r="Y161" s="504"/>
    </row>
    <row r="162" spans="1:25" ht="11.25" customHeight="1">
      <c r="A162" s="504"/>
      <c r="B162" s="50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504"/>
      <c r="O162" s="504"/>
      <c r="P162" s="504"/>
      <c r="Q162" s="504"/>
      <c r="R162" s="504"/>
      <c r="S162" s="504"/>
      <c r="T162" s="504"/>
      <c r="U162" s="504"/>
      <c r="V162" s="504"/>
      <c r="W162" s="504"/>
      <c r="X162" s="504"/>
      <c r="Y162" s="504"/>
    </row>
    <row r="163" spans="1:25" ht="11.25" customHeight="1">
      <c r="A163" s="504"/>
      <c r="B163" s="50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504"/>
      <c r="O163" s="504"/>
      <c r="P163" s="504"/>
      <c r="Q163" s="504"/>
      <c r="R163" s="504"/>
      <c r="S163" s="504"/>
      <c r="T163" s="504"/>
      <c r="U163" s="504"/>
      <c r="V163" s="504"/>
      <c r="W163" s="504"/>
      <c r="X163" s="504"/>
      <c r="Y163" s="504"/>
    </row>
    <row r="164" spans="1:25" ht="11.25" customHeight="1">
      <c r="A164" s="504"/>
      <c r="B164" s="50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504"/>
      <c r="O164" s="504"/>
      <c r="P164" s="504"/>
      <c r="Q164" s="504"/>
      <c r="R164" s="504"/>
      <c r="S164" s="504"/>
      <c r="T164" s="504"/>
      <c r="U164" s="504"/>
      <c r="V164" s="504"/>
      <c r="W164" s="504"/>
      <c r="X164" s="504"/>
      <c r="Y164" s="504"/>
    </row>
    <row r="165" spans="1:25" ht="11.25" customHeight="1">
      <c r="A165" s="504"/>
      <c r="B165" s="50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504"/>
      <c r="O165" s="504"/>
      <c r="P165" s="504"/>
      <c r="Q165" s="504"/>
      <c r="R165" s="504"/>
      <c r="S165" s="504"/>
      <c r="T165" s="504"/>
      <c r="U165" s="504"/>
      <c r="V165" s="504"/>
      <c r="W165" s="504"/>
      <c r="X165" s="504"/>
      <c r="Y165" s="504"/>
    </row>
    <row r="166" spans="1:25" ht="11.25" customHeight="1">
      <c r="A166" s="504"/>
      <c r="B166" s="50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504"/>
      <c r="O166" s="504"/>
      <c r="P166" s="504"/>
      <c r="Q166" s="504"/>
      <c r="R166" s="504"/>
      <c r="S166" s="504"/>
      <c r="T166" s="504"/>
      <c r="U166" s="504"/>
      <c r="V166" s="504"/>
      <c r="W166" s="504"/>
      <c r="X166" s="504"/>
      <c r="Y166" s="504"/>
    </row>
    <row r="167" spans="1:25" ht="11.25" customHeight="1">
      <c r="A167" s="504"/>
      <c r="B167" s="50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504"/>
      <c r="O167" s="504"/>
      <c r="P167" s="504"/>
      <c r="Q167" s="504"/>
      <c r="R167" s="504"/>
      <c r="S167" s="504"/>
      <c r="T167" s="504"/>
      <c r="U167" s="504"/>
      <c r="V167" s="504"/>
      <c r="W167" s="504"/>
      <c r="X167" s="504"/>
      <c r="Y167" s="504"/>
    </row>
    <row r="168" spans="1:25" ht="11.25" customHeight="1">
      <c r="A168" s="504"/>
      <c r="B168" s="50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504"/>
      <c r="O168" s="504"/>
      <c r="P168" s="504"/>
      <c r="Q168" s="504"/>
      <c r="R168" s="504"/>
      <c r="S168" s="504"/>
      <c r="T168" s="504"/>
      <c r="U168" s="504"/>
      <c r="V168" s="504"/>
      <c r="W168" s="504"/>
      <c r="X168" s="504"/>
      <c r="Y168" s="504"/>
    </row>
    <row r="169" spans="1:25" ht="11.25" customHeight="1">
      <c r="A169" s="504"/>
      <c r="B169" s="50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504"/>
      <c r="O169" s="504"/>
      <c r="P169" s="504"/>
      <c r="Q169" s="504"/>
      <c r="R169" s="504"/>
      <c r="S169" s="504"/>
      <c r="T169" s="504"/>
      <c r="U169" s="504"/>
      <c r="V169" s="504"/>
      <c r="W169" s="504"/>
      <c r="X169" s="504"/>
      <c r="Y169" s="504"/>
    </row>
    <row r="170" spans="1:25" ht="11.25" customHeight="1">
      <c r="A170" s="504"/>
      <c r="B170" s="50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504"/>
      <c r="O170" s="504"/>
      <c r="P170" s="504"/>
      <c r="Q170" s="504"/>
      <c r="R170" s="504"/>
      <c r="S170" s="504"/>
      <c r="T170" s="504"/>
      <c r="U170" s="504"/>
      <c r="V170" s="504"/>
      <c r="W170" s="504"/>
      <c r="X170" s="504"/>
      <c r="Y170" s="504"/>
    </row>
    <row r="171" spans="1:25" ht="11.25" customHeight="1">
      <c r="A171" s="504"/>
      <c r="B171" s="50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504"/>
      <c r="O171" s="504"/>
      <c r="P171" s="504"/>
      <c r="Q171" s="504"/>
      <c r="R171" s="504"/>
      <c r="S171" s="504"/>
      <c r="T171" s="504"/>
      <c r="U171" s="504"/>
      <c r="V171" s="504"/>
      <c r="W171" s="504"/>
      <c r="X171" s="504"/>
      <c r="Y171" s="504"/>
    </row>
    <row r="172" spans="1:25" ht="11.25" customHeight="1">
      <c r="A172" s="504"/>
      <c r="B172" s="50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504"/>
      <c r="O172" s="504"/>
      <c r="P172" s="504"/>
      <c r="Q172" s="504"/>
      <c r="R172" s="504"/>
      <c r="S172" s="504"/>
      <c r="T172" s="504"/>
      <c r="U172" s="504"/>
      <c r="V172" s="504"/>
      <c r="W172" s="504"/>
      <c r="X172" s="504"/>
      <c r="Y172" s="504"/>
    </row>
    <row r="173" spans="1:25" ht="11.25" customHeight="1">
      <c r="A173" s="504"/>
      <c r="B173" s="50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504"/>
      <c r="O173" s="504"/>
      <c r="P173" s="504"/>
      <c r="Q173" s="504"/>
      <c r="R173" s="504"/>
      <c r="S173" s="504"/>
      <c r="T173" s="504"/>
      <c r="U173" s="504"/>
      <c r="V173" s="504"/>
      <c r="W173" s="504"/>
      <c r="X173" s="504"/>
      <c r="Y173" s="504"/>
    </row>
    <row r="174" spans="1:25" ht="11.25" customHeight="1">
      <c r="A174" s="504"/>
      <c r="B174" s="50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504"/>
      <c r="O174" s="504"/>
      <c r="P174" s="504"/>
      <c r="Q174" s="504"/>
      <c r="R174" s="504"/>
      <c r="S174" s="504"/>
      <c r="T174" s="504"/>
      <c r="U174" s="504"/>
      <c r="V174" s="504"/>
      <c r="W174" s="504"/>
      <c r="X174" s="504"/>
      <c r="Y174" s="504"/>
    </row>
    <row r="175" spans="1:25" ht="11.25" customHeight="1">
      <c r="A175" s="504"/>
      <c r="B175" s="50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504"/>
      <c r="O175" s="504"/>
      <c r="P175" s="504"/>
      <c r="Q175" s="504"/>
      <c r="R175" s="504"/>
      <c r="S175" s="504"/>
      <c r="T175" s="504"/>
      <c r="U175" s="504"/>
      <c r="V175" s="504"/>
      <c r="W175" s="504"/>
      <c r="X175" s="504"/>
      <c r="Y175" s="504"/>
    </row>
    <row r="176" spans="1:25" ht="11.25" customHeight="1">
      <c r="A176" s="504"/>
      <c r="B176" s="50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504"/>
      <c r="O176" s="504"/>
      <c r="P176" s="504"/>
      <c r="Q176" s="504"/>
      <c r="R176" s="504"/>
      <c r="S176" s="504"/>
      <c r="T176" s="504"/>
      <c r="U176" s="504"/>
      <c r="V176" s="504"/>
      <c r="W176" s="504"/>
      <c r="X176" s="504"/>
      <c r="Y176" s="504"/>
    </row>
    <row r="177" spans="1:25" ht="11.25" customHeight="1">
      <c r="A177" s="504"/>
      <c r="B177" s="50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504"/>
      <c r="O177" s="504"/>
      <c r="P177" s="504"/>
      <c r="Q177" s="504"/>
      <c r="R177" s="504"/>
      <c r="S177" s="504"/>
      <c r="T177" s="504"/>
      <c r="U177" s="504"/>
      <c r="V177" s="504"/>
      <c r="W177" s="504"/>
      <c r="X177" s="504"/>
      <c r="Y177" s="504"/>
    </row>
    <row r="178" spans="1:25" ht="11.25" customHeight="1">
      <c r="A178" s="504"/>
      <c r="B178" s="50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504"/>
      <c r="O178" s="504"/>
      <c r="P178" s="504"/>
      <c r="Q178" s="504"/>
      <c r="R178" s="504"/>
      <c r="S178" s="504"/>
      <c r="T178" s="504"/>
      <c r="U178" s="504"/>
      <c r="V178" s="504"/>
      <c r="W178" s="504"/>
      <c r="X178" s="504"/>
      <c r="Y178" s="504"/>
    </row>
    <row r="179" spans="1:25" ht="11.25" customHeight="1">
      <c r="A179" s="504"/>
      <c r="B179" s="50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504"/>
      <c r="O179" s="504"/>
      <c r="P179" s="504"/>
      <c r="Q179" s="504"/>
      <c r="R179" s="504"/>
      <c r="S179" s="504"/>
      <c r="T179" s="504"/>
      <c r="U179" s="504"/>
      <c r="V179" s="504"/>
      <c r="W179" s="504"/>
      <c r="X179" s="504"/>
      <c r="Y179" s="504"/>
    </row>
    <row r="180" spans="1:25" ht="11.25" customHeight="1">
      <c r="A180" s="504"/>
      <c r="B180" s="50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504"/>
      <c r="O180" s="504"/>
      <c r="P180" s="504"/>
      <c r="Q180" s="504"/>
      <c r="R180" s="504"/>
      <c r="S180" s="504"/>
      <c r="T180" s="504"/>
      <c r="U180" s="504"/>
      <c r="V180" s="504"/>
      <c r="W180" s="504"/>
      <c r="X180" s="504"/>
      <c r="Y180" s="504"/>
    </row>
    <row r="181" spans="1:25" ht="11.25" customHeight="1">
      <c r="A181" s="504"/>
      <c r="B181" s="50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504"/>
      <c r="O181" s="504"/>
      <c r="P181" s="504"/>
      <c r="Q181" s="504"/>
      <c r="R181" s="504"/>
      <c r="S181" s="504"/>
      <c r="T181" s="504"/>
      <c r="U181" s="504"/>
      <c r="V181" s="504"/>
      <c r="W181" s="504"/>
      <c r="X181" s="504"/>
      <c r="Y181" s="504"/>
    </row>
    <row r="182" spans="1:25" ht="11.25" customHeight="1">
      <c r="A182" s="504"/>
      <c r="B182" s="50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504"/>
      <c r="O182" s="504"/>
      <c r="P182" s="504"/>
      <c r="Q182" s="504"/>
      <c r="R182" s="504"/>
      <c r="S182" s="504"/>
      <c r="T182" s="504"/>
      <c r="U182" s="504"/>
      <c r="V182" s="504"/>
      <c r="W182" s="504"/>
      <c r="X182" s="504"/>
      <c r="Y182" s="504"/>
    </row>
    <row r="183" spans="1:25" ht="11.25" customHeight="1">
      <c r="A183" s="504"/>
      <c r="B183" s="50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504"/>
      <c r="O183" s="504"/>
      <c r="P183" s="504"/>
      <c r="Q183" s="504"/>
      <c r="R183" s="504"/>
      <c r="S183" s="504"/>
      <c r="T183" s="504"/>
      <c r="U183" s="504"/>
      <c r="V183" s="504"/>
      <c r="W183" s="504"/>
      <c r="X183" s="504"/>
      <c r="Y183" s="504"/>
    </row>
    <row r="184" spans="1:25" ht="11.25" customHeight="1">
      <c r="A184" s="504"/>
      <c r="B184" s="50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504"/>
      <c r="O184" s="504"/>
      <c r="P184" s="504"/>
      <c r="Q184" s="504"/>
      <c r="R184" s="504"/>
      <c r="S184" s="504"/>
      <c r="T184" s="504"/>
      <c r="U184" s="504"/>
      <c r="V184" s="504"/>
      <c r="W184" s="504"/>
      <c r="X184" s="504"/>
      <c r="Y184" s="504"/>
    </row>
    <row r="185" spans="1:25" ht="11.25" customHeight="1">
      <c r="A185" s="504"/>
      <c r="B185" s="50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504"/>
      <c r="O185" s="504"/>
      <c r="P185" s="504"/>
      <c r="Q185" s="504"/>
      <c r="R185" s="504"/>
      <c r="S185" s="504"/>
      <c r="T185" s="504"/>
      <c r="U185" s="504"/>
      <c r="V185" s="504"/>
      <c r="W185" s="504"/>
      <c r="X185" s="504"/>
      <c r="Y185" s="504"/>
    </row>
    <row r="186" spans="1:25" ht="11.25" customHeight="1">
      <c r="A186" s="504"/>
      <c r="B186" s="50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504"/>
      <c r="O186" s="504"/>
      <c r="P186" s="504"/>
      <c r="Q186" s="504"/>
      <c r="R186" s="504"/>
      <c r="S186" s="504"/>
      <c r="T186" s="504"/>
      <c r="U186" s="504"/>
      <c r="V186" s="504"/>
      <c r="W186" s="504"/>
      <c r="X186" s="504"/>
      <c r="Y186" s="504"/>
    </row>
    <row r="187" spans="1:25" ht="11.25" customHeight="1">
      <c r="A187" s="504"/>
      <c r="B187" s="50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504"/>
      <c r="O187" s="504"/>
      <c r="P187" s="504"/>
      <c r="Q187" s="504"/>
      <c r="R187" s="504"/>
      <c r="S187" s="504"/>
      <c r="T187" s="504"/>
      <c r="U187" s="504"/>
      <c r="V187" s="504"/>
      <c r="W187" s="504"/>
      <c r="X187" s="504"/>
      <c r="Y187" s="504"/>
    </row>
    <row r="188" spans="1:25" ht="11.25" customHeight="1">
      <c r="A188" s="504"/>
      <c r="B188" s="50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504"/>
      <c r="O188" s="504"/>
      <c r="P188" s="504"/>
      <c r="Q188" s="504"/>
      <c r="R188" s="504"/>
      <c r="S188" s="504"/>
      <c r="T188" s="504"/>
      <c r="U188" s="504"/>
      <c r="V188" s="504"/>
      <c r="W188" s="504"/>
      <c r="X188" s="504"/>
      <c r="Y188" s="504"/>
    </row>
    <row r="189" spans="1:25" ht="11.25" customHeight="1">
      <c r="A189" s="504"/>
      <c r="B189" s="50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504"/>
      <c r="O189" s="504"/>
      <c r="P189" s="504"/>
      <c r="Q189" s="504"/>
      <c r="R189" s="504"/>
      <c r="S189" s="504"/>
      <c r="T189" s="504"/>
      <c r="U189" s="504"/>
      <c r="V189" s="504"/>
      <c r="W189" s="504"/>
      <c r="X189" s="504"/>
      <c r="Y189" s="504"/>
    </row>
    <row r="190" spans="1:25" ht="11.25" customHeight="1">
      <c r="A190" s="504"/>
      <c r="B190" s="50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504"/>
      <c r="O190" s="504"/>
      <c r="P190" s="504"/>
      <c r="Q190" s="504"/>
      <c r="R190" s="504"/>
      <c r="S190" s="504"/>
      <c r="T190" s="504"/>
      <c r="U190" s="504"/>
      <c r="V190" s="504"/>
      <c r="W190" s="504"/>
      <c r="X190" s="504"/>
      <c r="Y190" s="504"/>
    </row>
    <row r="191" spans="1:25" ht="11.25" customHeight="1">
      <c r="A191" s="504"/>
      <c r="B191" s="50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504"/>
      <c r="O191" s="504"/>
      <c r="P191" s="504"/>
      <c r="Q191" s="504"/>
      <c r="R191" s="504"/>
      <c r="S191" s="504"/>
      <c r="T191" s="504"/>
      <c r="U191" s="504"/>
      <c r="V191" s="504"/>
      <c r="W191" s="504"/>
      <c r="X191" s="504"/>
      <c r="Y191" s="504"/>
    </row>
    <row r="192" spans="1:25" ht="11.25" customHeight="1">
      <c r="A192" s="504"/>
      <c r="B192" s="50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504"/>
      <c r="O192" s="504"/>
      <c r="P192" s="504"/>
      <c r="Q192" s="504"/>
      <c r="R192" s="504"/>
      <c r="S192" s="504"/>
      <c r="T192" s="504"/>
      <c r="U192" s="504"/>
      <c r="V192" s="504"/>
      <c r="W192" s="504"/>
      <c r="X192" s="504"/>
      <c r="Y192" s="504"/>
    </row>
    <row r="193" spans="1:25" ht="11.25" customHeight="1">
      <c r="A193" s="504"/>
      <c r="B193" s="50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504"/>
      <c r="O193" s="504"/>
      <c r="P193" s="504"/>
      <c r="Q193" s="504"/>
      <c r="R193" s="504"/>
      <c r="S193" s="504"/>
      <c r="T193" s="504"/>
      <c r="U193" s="504"/>
      <c r="V193" s="504"/>
      <c r="W193" s="504"/>
      <c r="X193" s="504"/>
      <c r="Y193" s="504"/>
    </row>
    <row r="194" spans="1:25" ht="11.25" customHeight="1">
      <c r="A194" s="504"/>
      <c r="B194" s="50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504"/>
      <c r="O194" s="504"/>
      <c r="P194" s="504"/>
      <c r="Q194" s="504"/>
      <c r="R194" s="504"/>
      <c r="S194" s="504"/>
      <c r="T194" s="504"/>
      <c r="U194" s="504"/>
      <c r="V194" s="504"/>
      <c r="W194" s="504"/>
      <c r="X194" s="504"/>
      <c r="Y194" s="504"/>
    </row>
    <row r="195" spans="1:25" ht="11.25" customHeight="1">
      <c r="A195" s="504"/>
      <c r="B195" s="50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504"/>
      <c r="O195" s="504"/>
      <c r="P195" s="504"/>
      <c r="Q195" s="504"/>
      <c r="R195" s="504"/>
      <c r="S195" s="504"/>
      <c r="T195" s="504"/>
      <c r="U195" s="504"/>
      <c r="V195" s="504"/>
      <c r="W195" s="504"/>
      <c r="X195" s="504"/>
      <c r="Y195" s="504"/>
    </row>
    <row r="196" spans="1:25" ht="11.25" customHeight="1">
      <c r="A196" s="504"/>
      <c r="B196" s="50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504"/>
      <c r="O196" s="504"/>
      <c r="P196" s="504"/>
      <c r="Q196" s="504"/>
      <c r="R196" s="504"/>
      <c r="S196" s="504"/>
      <c r="T196" s="504"/>
      <c r="U196" s="504"/>
      <c r="V196" s="504"/>
      <c r="W196" s="504"/>
      <c r="X196" s="504"/>
      <c r="Y196" s="504"/>
    </row>
    <row r="197" spans="1:25" ht="11.25" customHeight="1">
      <c r="A197" s="504"/>
      <c r="B197" s="50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504"/>
      <c r="O197" s="504"/>
      <c r="P197" s="504"/>
      <c r="Q197" s="504"/>
      <c r="R197" s="504"/>
      <c r="S197" s="504"/>
      <c r="T197" s="504"/>
      <c r="U197" s="504"/>
      <c r="V197" s="504"/>
      <c r="W197" s="504"/>
      <c r="X197" s="504"/>
      <c r="Y197" s="504"/>
    </row>
    <row r="198" spans="1:25" ht="11.25" customHeight="1">
      <c r="A198" s="504"/>
      <c r="B198" s="50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504"/>
      <c r="O198" s="504"/>
      <c r="P198" s="504"/>
      <c r="Q198" s="504"/>
      <c r="R198" s="504"/>
      <c r="S198" s="504"/>
      <c r="T198" s="504"/>
      <c r="U198" s="504"/>
      <c r="V198" s="504"/>
      <c r="W198" s="504"/>
      <c r="X198" s="504"/>
      <c r="Y198" s="504"/>
    </row>
    <row r="199" spans="1:25" ht="11.25" customHeight="1">
      <c r="A199" s="504"/>
      <c r="B199" s="50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504"/>
      <c r="O199" s="504"/>
      <c r="P199" s="504"/>
      <c r="Q199" s="504"/>
      <c r="R199" s="504"/>
      <c r="S199" s="504"/>
      <c r="T199" s="504"/>
      <c r="U199" s="504"/>
      <c r="V199" s="504"/>
      <c r="W199" s="504"/>
      <c r="X199" s="504"/>
      <c r="Y199" s="504"/>
    </row>
    <row r="200" spans="1:25" ht="11.25" customHeight="1">
      <c r="A200" s="504"/>
      <c r="B200" s="50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504"/>
      <c r="O200" s="504"/>
      <c r="P200" s="504"/>
      <c r="Q200" s="504"/>
      <c r="R200" s="504"/>
      <c r="S200" s="504"/>
      <c r="T200" s="504"/>
      <c r="U200" s="504"/>
      <c r="V200" s="504"/>
      <c r="W200" s="504"/>
      <c r="X200" s="504"/>
      <c r="Y200" s="504"/>
    </row>
    <row r="201" spans="1:25" ht="11.25" customHeight="1">
      <c r="A201" s="504"/>
      <c r="B201" s="50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504"/>
      <c r="O201" s="504"/>
      <c r="P201" s="504"/>
      <c r="Q201" s="504"/>
      <c r="R201" s="504"/>
      <c r="S201" s="504"/>
      <c r="T201" s="504"/>
      <c r="U201" s="504"/>
      <c r="V201" s="504"/>
      <c r="W201" s="504"/>
      <c r="X201" s="504"/>
      <c r="Y201" s="504"/>
    </row>
    <row r="202" spans="1:25" ht="11.25" customHeight="1">
      <c r="A202" s="504"/>
      <c r="B202" s="50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504"/>
      <c r="O202" s="504"/>
      <c r="P202" s="504"/>
      <c r="Q202" s="504"/>
      <c r="R202" s="504"/>
      <c r="S202" s="504"/>
      <c r="T202" s="504"/>
      <c r="U202" s="504"/>
      <c r="V202" s="504"/>
      <c r="W202" s="504"/>
      <c r="X202" s="504"/>
      <c r="Y202" s="504"/>
    </row>
    <row r="203" spans="1:25" ht="11.25" customHeight="1">
      <c r="A203" s="504"/>
      <c r="B203" s="50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504"/>
      <c r="O203" s="504"/>
      <c r="P203" s="504"/>
      <c r="Q203" s="504"/>
      <c r="R203" s="504"/>
      <c r="S203" s="504"/>
      <c r="T203" s="504"/>
      <c r="U203" s="504"/>
      <c r="V203" s="504"/>
      <c r="W203" s="504"/>
      <c r="X203" s="504"/>
      <c r="Y203" s="504"/>
    </row>
    <row r="204" spans="1:25" ht="11.25" customHeight="1">
      <c r="A204" s="504"/>
      <c r="B204" s="50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504"/>
      <c r="O204" s="504"/>
      <c r="P204" s="504"/>
      <c r="Q204" s="504"/>
      <c r="R204" s="504"/>
      <c r="S204" s="504"/>
      <c r="T204" s="504"/>
      <c r="U204" s="504"/>
      <c r="V204" s="504"/>
      <c r="W204" s="504"/>
      <c r="X204" s="504"/>
      <c r="Y204" s="504"/>
    </row>
    <row r="205" spans="1:25" ht="11.25" customHeight="1">
      <c r="A205" s="504"/>
      <c r="B205" s="50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504"/>
      <c r="O205" s="504"/>
      <c r="P205" s="504"/>
      <c r="Q205" s="504"/>
      <c r="R205" s="504"/>
      <c r="S205" s="504"/>
      <c r="T205" s="504"/>
      <c r="U205" s="504"/>
      <c r="V205" s="504"/>
      <c r="W205" s="504"/>
      <c r="X205" s="504"/>
      <c r="Y205" s="504"/>
    </row>
    <row r="206" spans="1:25" ht="11.25" customHeight="1">
      <c r="A206" s="504"/>
      <c r="B206" s="50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504"/>
      <c r="O206" s="504"/>
      <c r="P206" s="504"/>
      <c r="Q206" s="504"/>
      <c r="R206" s="504"/>
      <c r="S206" s="504"/>
      <c r="T206" s="504"/>
      <c r="U206" s="504"/>
      <c r="V206" s="504"/>
      <c r="W206" s="504"/>
      <c r="X206" s="504"/>
      <c r="Y206" s="504"/>
    </row>
    <row r="207" spans="1:25" ht="11.25" customHeight="1">
      <c r="A207" s="504"/>
      <c r="B207" s="50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504"/>
      <c r="O207" s="504"/>
      <c r="P207" s="504"/>
      <c r="Q207" s="504"/>
      <c r="R207" s="504"/>
      <c r="S207" s="504"/>
      <c r="T207" s="504"/>
      <c r="U207" s="504"/>
      <c r="V207" s="504"/>
      <c r="W207" s="504"/>
      <c r="X207" s="504"/>
      <c r="Y207" s="504"/>
    </row>
    <row r="208" spans="1:25" ht="11.25" customHeight="1">
      <c r="A208" s="504"/>
      <c r="B208" s="50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504"/>
      <c r="O208" s="504"/>
      <c r="P208" s="504"/>
      <c r="Q208" s="504"/>
      <c r="R208" s="504"/>
      <c r="S208" s="504"/>
      <c r="T208" s="504"/>
      <c r="U208" s="504"/>
      <c r="V208" s="504"/>
      <c r="W208" s="504"/>
      <c r="X208" s="504"/>
      <c r="Y208" s="504"/>
    </row>
    <row r="209" spans="1:25" ht="11.25" customHeight="1">
      <c r="A209" s="504"/>
      <c r="B209" s="50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504"/>
      <c r="O209" s="504"/>
      <c r="P209" s="504"/>
      <c r="Q209" s="504"/>
      <c r="R209" s="504"/>
      <c r="S209" s="504"/>
      <c r="T209" s="504"/>
      <c r="U209" s="504"/>
      <c r="V209" s="504"/>
      <c r="W209" s="504"/>
      <c r="X209" s="504"/>
      <c r="Y209" s="504"/>
    </row>
    <row r="210" spans="1:25" ht="11.25" customHeight="1">
      <c r="A210" s="504"/>
      <c r="B210" s="50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504"/>
      <c r="O210" s="504"/>
      <c r="P210" s="504"/>
      <c r="Q210" s="504"/>
      <c r="R210" s="504"/>
      <c r="S210" s="504"/>
      <c r="T210" s="504"/>
      <c r="U210" s="504"/>
      <c r="V210" s="504"/>
      <c r="W210" s="504"/>
      <c r="X210" s="504"/>
      <c r="Y210" s="504"/>
    </row>
    <row r="211" spans="1:25" ht="11.25" customHeight="1">
      <c r="A211" s="504"/>
      <c r="B211" s="50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504"/>
      <c r="O211" s="504"/>
      <c r="P211" s="504"/>
      <c r="Q211" s="504"/>
      <c r="R211" s="504"/>
      <c r="S211" s="504"/>
      <c r="T211" s="504"/>
      <c r="U211" s="504"/>
      <c r="V211" s="504"/>
      <c r="W211" s="504"/>
      <c r="X211" s="504"/>
      <c r="Y211" s="504"/>
    </row>
    <row r="212" spans="1:25" ht="11.25" customHeight="1">
      <c r="A212" s="504"/>
      <c r="B212" s="50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504"/>
      <c r="O212" s="504"/>
      <c r="P212" s="504"/>
      <c r="Q212" s="504"/>
      <c r="R212" s="504"/>
      <c r="S212" s="504"/>
      <c r="T212" s="504"/>
      <c r="U212" s="504"/>
      <c r="V212" s="504"/>
      <c r="W212" s="504"/>
      <c r="X212" s="504"/>
      <c r="Y212" s="504"/>
    </row>
    <row r="213" spans="1:25" ht="11.25" customHeight="1">
      <c r="A213" s="504"/>
      <c r="B213" s="50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504"/>
      <c r="O213" s="504"/>
      <c r="P213" s="504"/>
      <c r="Q213" s="504"/>
      <c r="R213" s="504"/>
      <c r="S213" s="504"/>
      <c r="T213" s="504"/>
      <c r="U213" s="504"/>
      <c r="V213" s="504"/>
      <c r="W213" s="504"/>
      <c r="X213" s="504"/>
      <c r="Y213" s="504"/>
    </row>
    <row r="214" spans="1:25" ht="11.25" customHeight="1">
      <c r="A214" s="504"/>
      <c r="B214" s="50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504"/>
      <c r="O214" s="504"/>
      <c r="P214" s="504"/>
      <c r="Q214" s="504"/>
      <c r="R214" s="504"/>
      <c r="S214" s="504"/>
      <c r="T214" s="504"/>
      <c r="U214" s="504"/>
      <c r="V214" s="504"/>
      <c r="W214" s="504"/>
      <c r="X214" s="504"/>
      <c r="Y214" s="504"/>
    </row>
    <row r="215" spans="1:25" ht="11.25" customHeight="1">
      <c r="A215" s="504"/>
      <c r="B215" s="50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504"/>
      <c r="O215" s="504"/>
      <c r="P215" s="504"/>
      <c r="Q215" s="504"/>
      <c r="R215" s="504"/>
      <c r="S215" s="504"/>
      <c r="T215" s="504"/>
      <c r="U215" s="504"/>
      <c r="V215" s="504"/>
      <c r="W215" s="504"/>
      <c r="X215" s="504"/>
      <c r="Y215" s="504"/>
    </row>
    <row r="216" spans="1:25" ht="11.25" customHeight="1">
      <c r="A216" s="504"/>
      <c r="B216" s="50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504"/>
      <c r="O216" s="504"/>
      <c r="P216" s="504"/>
      <c r="Q216" s="504"/>
      <c r="R216" s="504"/>
      <c r="S216" s="504"/>
      <c r="T216" s="504"/>
      <c r="U216" s="504"/>
      <c r="V216" s="504"/>
      <c r="W216" s="504"/>
      <c r="X216" s="504"/>
      <c r="Y216" s="504"/>
    </row>
    <row r="217" spans="1:25" ht="11.25" customHeight="1">
      <c r="A217" s="504"/>
      <c r="B217" s="50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504"/>
      <c r="O217" s="504"/>
      <c r="P217" s="504"/>
      <c r="Q217" s="504"/>
      <c r="R217" s="504"/>
      <c r="S217" s="504"/>
      <c r="T217" s="504"/>
      <c r="U217" s="504"/>
      <c r="V217" s="504"/>
      <c r="W217" s="504"/>
      <c r="X217" s="504"/>
      <c r="Y217" s="504"/>
    </row>
    <row r="218" spans="1:25" ht="11.25" customHeight="1">
      <c r="A218" s="504"/>
      <c r="B218" s="50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504"/>
      <c r="O218" s="504"/>
      <c r="P218" s="504"/>
      <c r="Q218" s="504"/>
      <c r="R218" s="504"/>
      <c r="S218" s="504"/>
      <c r="T218" s="504"/>
      <c r="U218" s="504"/>
      <c r="V218" s="504"/>
      <c r="W218" s="504"/>
      <c r="X218" s="504"/>
      <c r="Y218" s="504"/>
    </row>
    <row r="219" spans="1:25" ht="11.25" customHeight="1">
      <c r="A219" s="504"/>
      <c r="B219" s="50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504"/>
      <c r="O219" s="504"/>
      <c r="P219" s="504"/>
      <c r="Q219" s="504"/>
      <c r="R219" s="504"/>
      <c r="S219" s="504"/>
      <c r="T219" s="504"/>
      <c r="U219" s="504"/>
      <c r="V219" s="504"/>
      <c r="W219" s="504"/>
      <c r="X219" s="504"/>
      <c r="Y219" s="504"/>
    </row>
    <row r="220" spans="1:25" ht="11.25" customHeight="1">
      <c r="A220" s="504"/>
      <c r="B220" s="50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504"/>
      <c r="O220" s="504"/>
      <c r="P220" s="504"/>
      <c r="Q220" s="504"/>
      <c r="R220" s="504"/>
      <c r="S220" s="504"/>
      <c r="T220" s="504"/>
      <c r="U220" s="504"/>
      <c r="V220" s="504"/>
      <c r="W220" s="504"/>
      <c r="X220" s="504"/>
      <c r="Y220" s="504"/>
    </row>
    <row r="221" spans="1:25" ht="11.25" customHeight="1">
      <c r="A221" s="504"/>
      <c r="B221" s="50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504"/>
      <c r="O221" s="504"/>
      <c r="P221" s="504"/>
      <c r="Q221" s="504"/>
      <c r="R221" s="504"/>
      <c r="S221" s="504"/>
      <c r="T221" s="504"/>
      <c r="U221" s="504"/>
      <c r="V221" s="504"/>
      <c r="W221" s="504"/>
      <c r="X221" s="504"/>
      <c r="Y221" s="504"/>
    </row>
    <row r="222" spans="1:25" ht="11.25" customHeight="1">
      <c r="A222" s="504"/>
      <c r="B222" s="50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504"/>
      <c r="O222" s="504"/>
      <c r="P222" s="504"/>
      <c r="Q222" s="504"/>
      <c r="R222" s="504"/>
      <c r="S222" s="504"/>
      <c r="T222" s="504"/>
      <c r="U222" s="504"/>
      <c r="V222" s="504"/>
      <c r="W222" s="504"/>
      <c r="X222" s="504"/>
      <c r="Y222" s="504"/>
    </row>
    <row r="223" spans="1:25" ht="11.25" customHeight="1">
      <c r="A223" s="504"/>
      <c r="B223" s="50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504"/>
      <c r="O223" s="504"/>
      <c r="P223" s="504"/>
      <c r="Q223" s="504"/>
      <c r="R223" s="504"/>
      <c r="S223" s="504"/>
      <c r="T223" s="504"/>
      <c r="U223" s="504"/>
      <c r="V223" s="504"/>
      <c r="W223" s="504"/>
      <c r="X223" s="504"/>
      <c r="Y223" s="504"/>
    </row>
    <row r="224" spans="1:25" ht="11.25" customHeight="1">
      <c r="A224" s="504"/>
      <c r="B224" s="50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504"/>
      <c r="O224" s="504"/>
      <c r="P224" s="504"/>
      <c r="Q224" s="504"/>
      <c r="R224" s="504"/>
      <c r="S224" s="504"/>
      <c r="T224" s="504"/>
      <c r="U224" s="504"/>
      <c r="V224" s="504"/>
      <c r="W224" s="504"/>
      <c r="X224" s="504"/>
      <c r="Y224" s="504"/>
    </row>
    <row r="225" spans="1:25" ht="11.25" customHeight="1">
      <c r="A225" s="504"/>
      <c r="B225" s="50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504"/>
      <c r="O225" s="504"/>
      <c r="P225" s="504"/>
      <c r="Q225" s="504"/>
      <c r="R225" s="504"/>
      <c r="S225" s="504"/>
      <c r="T225" s="504"/>
      <c r="U225" s="504"/>
      <c r="V225" s="504"/>
      <c r="W225" s="504"/>
      <c r="X225" s="504"/>
      <c r="Y225" s="504"/>
    </row>
    <row r="226" spans="1:25" ht="11.25" customHeight="1">
      <c r="A226" s="504"/>
      <c r="B226" s="50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504"/>
      <c r="O226" s="504"/>
      <c r="P226" s="504"/>
      <c r="Q226" s="504"/>
      <c r="R226" s="504"/>
      <c r="S226" s="504"/>
      <c r="T226" s="504"/>
      <c r="U226" s="504"/>
      <c r="V226" s="504"/>
      <c r="W226" s="504"/>
      <c r="X226" s="504"/>
      <c r="Y226" s="504"/>
    </row>
    <row r="227" spans="1:25" ht="11.25" customHeight="1">
      <c r="A227" s="504"/>
      <c r="B227" s="50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504"/>
      <c r="O227" s="504"/>
      <c r="P227" s="504"/>
      <c r="Q227" s="504"/>
      <c r="R227" s="504"/>
      <c r="S227" s="504"/>
      <c r="T227" s="504"/>
      <c r="U227" s="504"/>
      <c r="V227" s="504"/>
      <c r="W227" s="504"/>
      <c r="X227" s="504"/>
      <c r="Y227" s="504"/>
    </row>
    <row r="228" spans="1:25" ht="11.25" customHeight="1">
      <c r="A228" s="504"/>
      <c r="B228" s="50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504"/>
      <c r="O228" s="504"/>
      <c r="P228" s="504"/>
      <c r="Q228" s="504"/>
      <c r="R228" s="504"/>
      <c r="S228" s="504"/>
      <c r="T228" s="504"/>
      <c r="U228" s="504"/>
      <c r="V228" s="504"/>
      <c r="W228" s="504"/>
      <c r="X228" s="504"/>
      <c r="Y228" s="504"/>
    </row>
    <row r="229" spans="1:25" ht="11.25" customHeight="1">
      <c r="A229" s="504"/>
      <c r="B229" s="50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504"/>
      <c r="O229" s="504"/>
      <c r="P229" s="504"/>
      <c r="Q229" s="504"/>
      <c r="R229" s="504"/>
      <c r="S229" s="504"/>
      <c r="T229" s="504"/>
      <c r="U229" s="504"/>
      <c r="V229" s="504"/>
      <c r="W229" s="504"/>
      <c r="X229" s="504"/>
      <c r="Y229" s="504"/>
    </row>
    <row r="230" spans="1:25" ht="11.25" customHeight="1">
      <c r="A230" s="504"/>
      <c r="B230" s="50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504"/>
      <c r="O230" s="504"/>
      <c r="P230" s="504"/>
      <c r="Q230" s="504"/>
      <c r="R230" s="504"/>
      <c r="S230" s="504"/>
      <c r="T230" s="504"/>
      <c r="U230" s="504"/>
      <c r="V230" s="504"/>
      <c r="W230" s="504"/>
      <c r="X230" s="504"/>
      <c r="Y230" s="504"/>
    </row>
    <row r="231" spans="1:25" ht="11.25" customHeight="1">
      <c r="A231" s="504"/>
      <c r="B231" s="50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504"/>
      <c r="O231" s="504"/>
      <c r="P231" s="504"/>
      <c r="Q231" s="504"/>
      <c r="R231" s="504"/>
      <c r="S231" s="504"/>
      <c r="T231" s="504"/>
      <c r="U231" s="504"/>
      <c r="V231" s="504"/>
      <c r="W231" s="504"/>
      <c r="X231" s="504"/>
      <c r="Y231" s="504"/>
    </row>
    <row r="232" spans="1:25" ht="11.25" customHeight="1">
      <c r="A232" s="504"/>
      <c r="B232" s="50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504"/>
      <c r="O232" s="504"/>
      <c r="P232" s="504"/>
      <c r="Q232" s="504"/>
      <c r="R232" s="504"/>
      <c r="S232" s="504"/>
      <c r="T232" s="504"/>
      <c r="U232" s="504"/>
      <c r="V232" s="504"/>
      <c r="W232" s="504"/>
      <c r="X232" s="504"/>
      <c r="Y232" s="504"/>
    </row>
    <row r="233" spans="1:25" ht="11.25" customHeight="1">
      <c r="A233" s="504"/>
      <c r="B233" s="50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504"/>
      <c r="O233" s="504"/>
      <c r="P233" s="504"/>
      <c r="Q233" s="504"/>
      <c r="R233" s="504"/>
      <c r="S233" s="504"/>
      <c r="T233" s="504"/>
      <c r="U233" s="504"/>
      <c r="V233" s="504"/>
      <c r="W233" s="504"/>
      <c r="X233" s="504"/>
      <c r="Y233" s="504"/>
    </row>
    <row r="234" spans="1:25" ht="15.75" customHeight="1">
      <c r="A234" s="503"/>
      <c r="B234" s="503"/>
      <c r="C234" s="503"/>
      <c r="D234" s="503"/>
      <c r="E234" s="503"/>
      <c r="F234" s="503"/>
      <c r="G234" s="503"/>
      <c r="H234" s="503"/>
      <c r="I234" s="503"/>
      <c r="J234" s="503"/>
      <c r="K234" s="503"/>
      <c r="L234" s="503"/>
      <c r="M234" s="503"/>
      <c r="N234" s="503"/>
      <c r="O234" s="503"/>
      <c r="P234" s="503"/>
      <c r="Q234" s="503"/>
      <c r="R234" s="503"/>
      <c r="S234" s="503"/>
      <c r="T234" s="503"/>
      <c r="U234" s="503"/>
      <c r="V234" s="503"/>
      <c r="W234" s="503"/>
      <c r="X234" s="503"/>
      <c r="Y234" s="503"/>
    </row>
    <row r="235" spans="1:25" ht="15.75" customHeight="1">
      <c r="A235" s="503"/>
      <c r="B235" s="503"/>
      <c r="C235" s="503"/>
      <c r="D235" s="503"/>
      <c r="E235" s="503"/>
      <c r="F235" s="503"/>
      <c r="G235" s="503"/>
      <c r="H235" s="503"/>
      <c r="I235" s="503"/>
      <c r="J235" s="503"/>
      <c r="K235" s="503"/>
      <c r="L235" s="503"/>
      <c r="M235" s="503"/>
      <c r="N235" s="503"/>
      <c r="O235" s="503"/>
      <c r="P235" s="503"/>
      <c r="Q235" s="503"/>
      <c r="R235" s="503"/>
      <c r="S235" s="503"/>
      <c r="T235" s="503"/>
      <c r="U235" s="503"/>
      <c r="V235" s="503"/>
      <c r="W235" s="503"/>
      <c r="X235" s="503"/>
      <c r="Y235" s="503"/>
    </row>
    <row r="236" spans="1:25" ht="15.75" customHeight="1">
      <c r="A236" s="503"/>
      <c r="B236" s="503"/>
      <c r="C236" s="503"/>
      <c r="D236" s="503"/>
      <c r="E236" s="503"/>
      <c r="F236" s="503"/>
      <c r="G236" s="503"/>
      <c r="H236" s="503"/>
      <c r="I236" s="503"/>
      <c r="J236" s="503"/>
      <c r="K236" s="503"/>
      <c r="L236" s="503"/>
      <c r="M236" s="503"/>
      <c r="N236" s="503"/>
      <c r="O236" s="503"/>
      <c r="P236" s="503"/>
      <c r="Q236" s="503"/>
      <c r="R236" s="503"/>
      <c r="S236" s="503"/>
      <c r="T236" s="503"/>
      <c r="U236" s="503"/>
      <c r="V236" s="503"/>
      <c r="W236" s="503"/>
      <c r="X236" s="503"/>
      <c r="Y236" s="503"/>
    </row>
    <row r="237" spans="1:25" ht="15.75" customHeight="1">
      <c r="A237" s="503"/>
      <c r="B237" s="503"/>
      <c r="C237" s="503"/>
      <c r="D237" s="503"/>
      <c r="E237" s="503"/>
      <c r="F237" s="503"/>
      <c r="G237" s="503"/>
      <c r="H237" s="503"/>
      <c r="I237" s="503"/>
      <c r="J237" s="503"/>
      <c r="K237" s="503"/>
      <c r="L237" s="503"/>
      <c r="M237" s="503"/>
      <c r="N237" s="503"/>
      <c r="O237" s="503"/>
      <c r="P237" s="503"/>
      <c r="Q237" s="503"/>
      <c r="R237" s="503"/>
      <c r="S237" s="503"/>
      <c r="T237" s="503"/>
      <c r="U237" s="503"/>
      <c r="V237" s="503"/>
      <c r="W237" s="503"/>
      <c r="X237" s="503"/>
      <c r="Y237" s="503"/>
    </row>
    <row r="238" spans="1:25" ht="15.75" customHeight="1">
      <c r="A238" s="503"/>
      <c r="B238" s="503"/>
      <c r="C238" s="503"/>
      <c r="D238" s="503"/>
      <c r="E238" s="503"/>
      <c r="F238" s="503"/>
      <c r="G238" s="503"/>
      <c r="H238" s="503"/>
      <c r="I238" s="503"/>
      <c r="J238" s="503"/>
      <c r="K238" s="503"/>
      <c r="L238" s="503"/>
      <c r="M238" s="503"/>
      <c r="N238" s="503"/>
      <c r="O238" s="503"/>
      <c r="P238" s="503"/>
      <c r="Q238" s="503"/>
      <c r="R238" s="503"/>
      <c r="S238" s="503"/>
      <c r="T238" s="503"/>
      <c r="U238" s="503"/>
      <c r="V238" s="503"/>
      <c r="W238" s="503"/>
      <c r="X238" s="503"/>
      <c r="Y238" s="503"/>
    </row>
    <row r="239" spans="1:25" ht="15.75" customHeight="1">
      <c r="A239" s="503"/>
      <c r="B239" s="503"/>
      <c r="C239" s="503"/>
      <c r="D239" s="503"/>
      <c r="E239" s="503"/>
      <c r="F239" s="503"/>
      <c r="G239" s="503"/>
      <c r="H239" s="503"/>
      <c r="I239" s="503"/>
      <c r="J239" s="503"/>
      <c r="K239" s="503"/>
      <c r="L239" s="503"/>
      <c r="M239" s="503"/>
      <c r="N239" s="503"/>
      <c r="O239" s="503"/>
      <c r="P239" s="503"/>
      <c r="Q239" s="503"/>
      <c r="R239" s="503"/>
      <c r="S239" s="503"/>
      <c r="T239" s="503"/>
      <c r="U239" s="503"/>
      <c r="V239" s="503"/>
      <c r="W239" s="503"/>
      <c r="X239" s="503"/>
      <c r="Y239" s="503"/>
    </row>
    <row r="240" spans="1:25" ht="15.75" customHeight="1">
      <c r="A240" s="503"/>
      <c r="B240" s="503"/>
      <c r="C240" s="503"/>
      <c r="D240" s="503"/>
      <c r="E240" s="503"/>
      <c r="F240" s="503"/>
      <c r="G240" s="503"/>
      <c r="H240" s="503"/>
      <c r="I240" s="503"/>
      <c r="J240" s="503"/>
      <c r="K240" s="503"/>
      <c r="L240" s="503"/>
      <c r="M240" s="503"/>
      <c r="N240" s="503"/>
      <c r="O240" s="503"/>
      <c r="P240" s="503"/>
      <c r="Q240" s="503"/>
      <c r="R240" s="503"/>
      <c r="S240" s="503"/>
      <c r="T240" s="503"/>
      <c r="U240" s="503"/>
      <c r="V240" s="503"/>
      <c r="W240" s="503"/>
      <c r="X240" s="503"/>
      <c r="Y240" s="503"/>
    </row>
    <row r="241" spans="1:25" ht="15.75" customHeight="1">
      <c r="A241" s="503"/>
      <c r="B241" s="503"/>
      <c r="C241" s="503"/>
      <c r="D241" s="503"/>
      <c r="E241" s="503"/>
      <c r="F241" s="503"/>
      <c r="G241" s="503"/>
      <c r="H241" s="503"/>
      <c r="I241" s="503"/>
      <c r="J241" s="503"/>
      <c r="K241" s="503"/>
      <c r="L241" s="503"/>
      <c r="M241" s="503"/>
      <c r="N241" s="503"/>
      <c r="O241" s="503"/>
      <c r="P241" s="503"/>
      <c r="Q241" s="503"/>
      <c r="R241" s="503"/>
      <c r="S241" s="503"/>
      <c r="T241" s="503"/>
      <c r="U241" s="503"/>
      <c r="V241" s="503"/>
      <c r="W241" s="503"/>
      <c r="X241" s="503"/>
      <c r="Y241" s="503"/>
    </row>
    <row r="242" spans="1:25" ht="15.75" customHeight="1"/>
    <row r="243" spans="1:25" ht="15.75" customHeight="1"/>
    <row r="244" spans="1:25" ht="15.75" customHeight="1"/>
    <row r="245" spans="1:25" ht="15.75" customHeight="1"/>
    <row r="246" spans="1:25" ht="15.75" customHeight="1"/>
    <row r="247" spans="1:25" ht="15.75" customHeight="1"/>
    <row r="248" spans="1:25" ht="15.75" customHeight="1"/>
    <row r="249" spans="1:25" ht="15.75" customHeight="1"/>
    <row r="250" spans="1:25" ht="15.75" customHeight="1"/>
    <row r="251" spans="1:25" ht="15.75" customHeight="1"/>
    <row r="252" spans="1:25" ht="15.75" customHeight="1"/>
    <row r="253" spans="1:25" ht="15.75" customHeight="1"/>
    <row r="254" spans="1:25" ht="15.75" customHeight="1"/>
    <row r="255" spans="1:25" ht="15.75" customHeight="1"/>
    <row r="256" spans="1:2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1:K1"/>
    <mergeCell ref="B2:K2"/>
  </mergeCells>
  <pageMargins left="0.7" right="0.7" top="0.75" bottom="0.75" header="0" footer="0"/>
  <pageSetup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9682-884C-41DA-AF9E-724F4BB9E6F5}">
  <dimension ref="B1:X992"/>
  <sheetViews>
    <sheetView showGridLines="0" zoomScale="96" zoomScaleNormal="96" zoomScaleSheetLayoutView="37" workbookViewId="0">
      <selection activeCell="A2" sqref="A2"/>
    </sheetView>
  </sheetViews>
  <sheetFormatPr defaultColWidth="14.453125" defaultRowHeight="15" customHeight="1"/>
  <cols>
    <col min="1" max="1" width="14.453125" style="284"/>
    <col min="2" max="2" width="4.453125" style="284" customWidth="1"/>
    <col min="3" max="3" width="4" style="284" customWidth="1"/>
    <col min="4" max="4" width="5.453125" style="284" customWidth="1"/>
    <col min="5" max="5" width="6.6328125" style="284" customWidth="1"/>
    <col min="6" max="7" width="5.453125" style="284" customWidth="1"/>
    <col min="8" max="8" width="7.08984375" style="284" customWidth="1"/>
    <col min="9" max="9" width="6.08984375" style="284" customWidth="1"/>
    <col min="10" max="10" width="7.36328125" style="284" customWidth="1"/>
    <col min="11" max="11" width="7.08984375" style="284" customWidth="1"/>
    <col min="12" max="12" width="10.453125" style="284" customWidth="1"/>
    <col min="13" max="13" width="5.453125" style="284" customWidth="1"/>
    <col min="14" max="14" width="6.36328125" style="284" customWidth="1"/>
    <col min="15" max="15" width="6.90625" style="284" customWidth="1"/>
    <col min="16" max="16" width="7.08984375" style="284" customWidth="1"/>
    <col min="17" max="17" width="8" style="284" customWidth="1"/>
    <col min="18" max="18" width="7" style="284" customWidth="1"/>
    <col min="19" max="19" width="6.90625" style="284" customWidth="1"/>
    <col min="20" max="20" width="11.08984375" style="284" customWidth="1"/>
    <col min="21" max="21" width="6.90625" style="284" customWidth="1"/>
    <col min="22" max="22" width="7.453125" style="284" customWidth="1"/>
    <col min="23" max="23" width="7.54296875" style="284" customWidth="1"/>
    <col min="24" max="24" width="8" style="284" customWidth="1"/>
    <col min="25" max="16384" width="14.453125" style="284"/>
  </cols>
  <sheetData>
    <row r="1" spans="2:24" ht="12.75" customHeight="1">
      <c r="B1" s="593" t="str">
        <f>'By Lot'!C1</f>
        <v>University of California, San Diego Survey of Parking Space Occupancy Levels, Spring 2021</v>
      </c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283"/>
    </row>
    <row r="2" spans="2:24" ht="12.75" customHeight="1">
      <c r="B2" s="593" t="s">
        <v>670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283"/>
    </row>
    <row r="3" spans="2:24" ht="8.25" customHeight="1"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581"/>
      <c r="U3" s="581"/>
      <c r="V3" s="581"/>
      <c r="W3" s="581"/>
      <c r="X3" s="286"/>
    </row>
    <row r="4" spans="2:24" s="288" customFormat="1" ht="10">
      <c r="B4" s="588" t="s">
        <v>671</v>
      </c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589"/>
      <c r="P4" s="589"/>
      <c r="Q4" s="589"/>
      <c r="R4" s="589"/>
      <c r="S4" s="589"/>
      <c r="T4" s="589"/>
      <c r="U4" s="589"/>
      <c r="V4" s="589"/>
      <c r="W4" s="590"/>
      <c r="X4" s="287"/>
    </row>
    <row r="5" spans="2:24" s="288" customFormat="1" ht="10.5">
      <c r="B5" s="577" t="s">
        <v>40</v>
      </c>
      <c r="C5" s="578"/>
      <c r="D5" s="578"/>
      <c r="E5" s="578"/>
      <c r="F5" s="578"/>
      <c r="G5" s="578"/>
      <c r="H5" s="578"/>
      <c r="I5" s="578"/>
      <c r="J5" s="578"/>
      <c r="K5" s="578"/>
      <c r="L5" s="578"/>
      <c r="M5" s="578"/>
      <c r="N5" s="578"/>
      <c r="O5" s="578"/>
      <c r="P5" s="578"/>
      <c r="Q5" s="578"/>
      <c r="R5" s="578"/>
      <c r="S5" s="578"/>
      <c r="T5" s="578"/>
      <c r="U5" s="578"/>
      <c r="V5" s="578"/>
      <c r="W5" s="579"/>
      <c r="X5" s="287"/>
    </row>
    <row r="6" spans="2:24" s="288" customFormat="1" ht="10">
      <c r="B6" s="588" t="s">
        <v>41</v>
      </c>
      <c r="C6" s="591"/>
      <c r="D6" s="591"/>
      <c r="E6" s="591"/>
      <c r="F6" s="591"/>
      <c r="G6" s="591"/>
      <c r="H6" s="591"/>
      <c r="I6" s="591"/>
      <c r="J6" s="591"/>
      <c r="K6" s="591"/>
      <c r="L6" s="591"/>
      <c r="M6" s="591"/>
      <c r="N6" s="591"/>
      <c r="O6" s="591"/>
      <c r="P6" s="591"/>
      <c r="Q6" s="591"/>
      <c r="R6" s="591"/>
      <c r="S6" s="591"/>
      <c r="T6" s="591"/>
      <c r="U6" s="592"/>
      <c r="V6" s="588" t="s">
        <v>672</v>
      </c>
      <c r="W6" s="590"/>
      <c r="X6" s="287"/>
    </row>
    <row r="7" spans="2:24" s="288" customFormat="1" ht="10">
      <c r="B7" s="583" t="s">
        <v>42</v>
      </c>
      <c r="C7" s="586"/>
      <c r="D7" s="586"/>
      <c r="E7" s="586"/>
      <c r="F7" s="586"/>
      <c r="G7" s="586"/>
      <c r="H7" s="586"/>
      <c r="I7" s="586"/>
      <c r="J7" s="586"/>
      <c r="K7" s="586"/>
      <c r="L7" s="586"/>
      <c r="M7" s="586"/>
      <c r="N7" s="586"/>
      <c r="O7" s="586"/>
      <c r="P7" s="586"/>
      <c r="Q7" s="586"/>
      <c r="R7" s="586"/>
      <c r="S7" s="586"/>
      <c r="T7" s="586"/>
      <c r="U7" s="587"/>
      <c r="V7" s="583" t="s">
        <v>46</v>
      </c>
      <c r="W7" s="585"/>
      <c r="X7" s="287"/>
    </row>
    <row r="8" spans="2:24" s="288" customFormat="1" ht="10.5">
      <c r="B8" s="577" t="s">
        <v>48</v>
      </c>
      <c r="C8" s="578"/>
      <c r="D8" s="578"/>
      <c r="E8" s="578"/>
      <c r="F8" s="578"/>
      <c r="G8" s="578"/>
      <c r="H8" s="578"/>
      <c r="I8" s="578"/>
      <c r="J8" s="578"/>
      <c r="K8" s="578"/>
      <c r="L8" s="578"/>
      <c r="M8" s="578"/>
      <c r="N8" s="578"/>
      <c r="O8" s="578"/>
      <c r="P8" s="578"/>
      <c r="Q8" s="578"/>
      <c r="R8" s="578"/>
      <c r="S8" s="578"/>
      <c r="T8" s="578"/>
      <c r="U8" s="578"/>
      <c r="V8" s="578"/>
      <c r="W8" s="579"/>
      <c r="X8" s="287"/>
    </row>
    <row r="9" spans="2:24" s="288" customFormat="1" ht="10">
      <c r="B9" s="588" t="s">
        <v>673</v>
      </c>
      <c r="C9" s="589"/>
      <c r="D9" s="589"/>
      <c r="E9" s="590"/>
      <c r="F9" s="588" t="s">
        <v>52</v>
      </c>
      <c r="G9" s="589"/>
      <c r="H9" s="589"/>
      <c r="I9" s="589"/>
      <c r="J9" s="589"/>
      <c r="K9" s="589"/>
      <c r="L9" s="589"/>
      <c r="M9" s="589"/>
      <c r="N9" s="589"/>
      <c r="O9" s="589"/>
      <c r="P9" s="589"/>
      <c r="Q9" s="590"/>
      <c r="R9" s="588" t="s">
        <v>57</v>
      </c>
      <c r="S9" s="591"/>
      <c r="T9" s="591"/>
      <c r="U9" s="592"/>
      <c r="V9" s="588" t="s">
        <v>44</v>
      </c>
      <c r="W9" s="590"/>
      <c r="X9" s="287"/>
    </row>
    <row r="10" spans="2:24" s="288" customFormat="1" ht="10">
      <c r="B10" s="583" t="s">
        <v>24</v>
      </c>
      <c r="C10" s="584"/>
      <c r="D10" s="584"/>
      <c r="E10" s="585"/>
      <c r="F10" s="583" t="s">
        <v>42</v>
      </c>
      <c r="G10" s="584"/>
      <c r="H10" s="584"/>
      <c r="I10" s="584"/>
      <c r="J10" s="584"/>
      <c r="K10" s="584"/>
      <c r="L10" s="584"/>
      <c r="M10" s="584"/>
      <c r="N10" s="584"/>
      <c r="O10" s="584"/>
      <c r="P10" s="584"/>
      <c r="Q10" s="585"/>
      <c r="R10" s="583" t="s">
        <v>42</v>
      </c>
      <c r="S10" s="586"/>
      <c r="T10" s="586"/>
      <c r="U10" s="587"/>
      <c r="V10" s="583" t="s">
        <v>45</v>
      </c>
      <c r="W10" s="585"/>
      <c r="X10" s="287"/>
    </row>
    <row r="11" spans="2:24" s="288" customFormat="1" ht="10">
      <c r="B11" s="583" t="s">
        <v>51</v>
      </c>
      <c r="C11" s="584"/>
      <c r="D11" s="584"/>
      <c r="E11" s="585"/>
      <c r="F11" s="508"/>
      <c r="G11" s="509"/>
      <c r="H11" s="509"/>
      <c r="I11" s="509"/>
      <c r="J11" s="509"/>
      <c r="K11" s="509"/>
      <c r="L11" s="509"/>
      <c r="M11" s="509"/>
      <c r="N11" s="509"/>
      <c r="O11" s="509"/>
      <c r="P11" s="509"/>
      <c r="Q11" s="510"/>
      <c r="R11" s="583"/>
      <c r="S11" s="586"/>
      <c r="T11" s="586"/>
      <c r="U11" s="587"/>
      <c r="V11" s="586" t="s">
        <v>46</v>
      </c>
      <c r="W11" s="585"/>
      <c r="X11" s="287"/>
    </row>
    <row r="12" spans="2:24" s="288" customFormat="1" ht="10.5">
      <c r="B12" s="577" t="s">
        <v>60</v>
      </c>
      <c r="C12" s="578"/>
      <c r="D12" s="578"/>
      <c r="E12" s="578"/>
      <c r="F12" s="578"/>
      <c r="G12" s="578"/>
      <c r="H12" s="578"/>
      <c r="I12" s="578"/>
      <c r="J12" s="578"/>
      <c r="K12" s="578"/>
      <c r="L12" s="578"/>
      <c r="M12" s="578"/>
      <c r="N12" s="578"/>
      <c r="O12" s="578"/>
      <c r="P12" s="578"/>
      <c r="Q12" s="578"/>
      <c r="R12" s="578"/>
      <c r="S12" s="578"/>
      <c r="T12" s="578"/>
      <c r="U12" s="578"/>
      <c r="V12" s="578"/>
      <c r="W12" s="579"/>
      <c r="X12" s="287"/>
    </row>
    <row r="13" spans="2:24" s="288" customFormat="1" ht="10">
      <c r="B13" s="289" t="s">
        <v>61</v>
      </c>
      <c r="C13" s="289" t="s">
        <v>61</v>
      </c>
      <c r="D13" s="289" t="s">
        <v>61</v>
      </c>
      <c r="E13" s="289" t="s">
        <v>64</v>
      </c>
      <c r="F13" s="289" t="s">
        <v>70</v>
      </c>
      <c r="G13" s="289" t="s">
        <v>75</v>
      </c>
      <c r="H13" s="289" t="s">
        <v>80</v>
      </c>
      <c r="I13" s="289" t="s">
        <v>82</v>
      </c>
      <c r="J13" s="289" t="s">
        <v>89</v>
      </c>
      <c r="K13" s="289" t="s">
        <v>83</v>
      </c>
      <c r="L13" s="289" t="s">
        <v>674</v>
      </c>
      <c r="M13" s="289" t="s">
        <v>96</v>
      </c>
      <c r="N13" s="289" t="s">
        <v>42</v>
      </c>
      <c r="O13" s="289" t="s">
        <v>99</v>
      </c>
      <c r="P13" s="289" t="s">
        <v>22</v>
      </c>
      <c r="Q13" s="289" t="s">
        <v>100</v>
      </c>
      <c r="R13" s="289" t="s">
        <v>57</v>
      </c>
      <c r="S13" s="289" t="s">
        <v>105</v>
      </c>
      <c r="T13" s="289" t="s">
        <v>103</v>
      </c>
      <c r="U13" s="289" t="s">
        <v>103</v>
      </c>
      <c r="V13" s="511" t="s">
        <v>46</v>
      </c>
      <c r="W13" s="289" t="s">
        <v>46</v>
      </c>
      <c r="X13" s="287"/>
    </row>
    <row r="14" spans="2:24" s="288" customFormat="1" ht="10">
      <c r="B14" s="290" t="s">
        <v>62</v>
      </c>
      <c r="C14" s="290" t="s">
        <v>52</v>
      </c>
      <c r="D14" s="290" t="s">
        <v>63</v>
      </c>
      <c r="E14" s="290"/>
      <c r="F14" s="290" t="s">
        <v>71</v>
      </c>
      <c r="G14" s="290" t="s">
        <v>76</v>
      </c>
      <c r="H14" s="290" t="s">
        <v>76</v>
      </c>
      <c r="I14" s="290" t="s">
        <v>76</v>
      </c>
      <c r="J14" s="290" t="s">
        <v>42</v>
      </c>
      <c r="K14" s="290" t="s">
        <v>76</v>
      </c>
      <c r="L14" s="290" t="s">
        <v>92</v>
      </c>
      <c r="M14" s="290" t="s">
        <v>76</v>
      </c>
      <c r="N14" s="290" t="s">
        <v>97</v>
      </c>
      <c r="O14" s="290" t="s">
        <v>76</v>
      </c>
      <c r="P14" s="290" t="s">
        <v>45</v>
      </c>
      <c r="Q14" s="290" t="s">
        <v>24</v>
      </c>
      <c r="R14" s="290" t="s">
        <v>42</v>
      </c>
      <c r="S14" s="290" t="s">
        <v>106</v>
      </c>
      <c r="T14" s="290" t="s">
        <v>104</v>
      </c>
      <c r="U14" s="290" t="s">
        <v>104</v>
      </c>
      <c r="V14" s="508" t="s">
        <v>675</v>
      </c>
      <c r="W14" s="290" t="s">
        <v>676</v>
      </c>
      <c r="X14" s="287"/>
    </row>
    <row r="15" spans="2:24" s="288" customFormat="1" ht="10"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 t="s">
        <v>677</v>
      </c>
      <c r="M15" s="291"/>
      <c r="N15" s="291" t="s">
        <v>98</v>
      </c>
      <c r="O15" s="291"/>
      <c r="P15" s="291"/>
      <c r="Q15" s="291" t="s">
        <v>101</v>
      </c>
      <c r="R15" s="291" t="s">
        <v>102</v>
      </c>
      <c r="S15" s="291" t="s">
        <v>107</v>
      </c>
      <c r="T15" s="291" t="s">
        <v>675</v>
      </c>
      <c r="U15" s="291" t="s">
        <v>676</v>
      </c>
      <c r="V15" s="292"/>
      <c r="W15" s="291"/>
      <c r="X15" s="287"/>
    </row>
    <row r="16" spans="2:24" s="288" customFormat="1" ht="10.5">
      <c r="B16" s="577" t="s">
        <v>112</v>
      </c>
      <c r="C16" s="578"/>
      <c r="D16" s="578"/>
      <c r="E16" s="578"/>
      <c r="F16" s="578"/>
      <c r="G16" s="578"/>
      <c r="H16" s="578"/>
      <c r="I16" s="578"/>
      <c r="J16" s="578"/>
      <c r="K16" s="578"/>
      <c r="L16" s="578"/>
      <c r="M16" s="578"/>
      <c r="N16" s="578"/>
      <c r="O16" s="578"/>
      <c r="P16" s="578"/>
      <c r="Q16" s="578"/>
      <c r="R16" s="578"/>
      <c r="S16" s="578"/>
      <c r="T16" s="578"/>
      <c r="U16" s="578"/>
      <c r="V16" s="578"/>
      <c r="W16" s="579"/>
      <c r="X16" s="287"/>
    </row>
    <row r="17" spans="2:24" s="288" customFormat="1" ht="10">
      <c r="B17" s="293" t="s">
        <v>114</v>
      </c>
      <c r="C17" s="293" t="s">
        <v>135</v>
      </c>
      <c r="D17" s="293" t="s">
        <v>143</v>
      </c>
      <c r="E17" s="293" t="s">
        <v>148</v>
      </c>
      <c r="F17" s="294" t="s">
        <v>162</v>
      </c>
      <c r="G17" s="293" t="s">
        <v>151</v>
      </c>
      <c r="H17" s="293" t="s">
        <v>172</v>
      </c>
      <c r="I17" s="295" t="s">
        <v>196</v>
      </c>
      <c r="J17" s="293" t="s">
        <v>217</v>
      </c>
      <c r="K17" s="293" t="s">
        <v>201</v>
      </c>
      <c r="L17" s="293" t="s">
        <v>244</v>
      </c>
      <c r="M17" s="293" t="s">
        <v>294</v>
      </c>
      <c r="N17" s="293" t="s">
        <v>315</v>
      </c>
      <c r="O17" s="293" t="s">
        <v>265</v>
      </c>
      <c r="P17" s="296" t="s">
        <v>271</v>
      </c>
      <c r="Q17" s="293" t="s">
        <v>326</v>
      </c>
      <c r="R17" s="293" t="s">
        <v>345</v>
      </c>
      <c r="S17" s="297" t="s">
        <v>394</v>
      </c>
      <c r="T17" s="293" t="s">
        <v>358</v>
      </c>
      <c r="U17" s="295" t="s">
        <v>377</v>
      </c>
      <c r="V17" s="293" t="s">
        <v>409</v>
      </c>
      <c r="W17" s="295" t="s">
        <v>436</v>
      </c>
      <c r="X17" s="287"/>
    </row>
    <row r="18" spans="2:24" s="288" customFormat="1" ht="10">
      <c r="B18" s="295" t="s">
        <v>121</v>
      </c>
      <c r="C18" s="295" t="s">
        <v>136</v>
      </c>
      <c r="D18" s="295" t="s">
        <v>145</v>
      </c>
      <c r="E18" s="295" t="s">
        <v>150</v>
      </c>
      <c r="F18" s="295"/>
      <c r="G18" s="298" t="s">
        <v>152</v>
      </c>
      <c r="H18" s="295" t="s">
        <v>174</v>
      </c>
      <c r="I18" s="295" t="s">
        <v>197</v>
      </c>
      <c r="J18" s="295" t="s">
        <v>219</v>
      </c>
      <c r="K18" s="301" t="s">
        <v>206</v>
      </c>
      <c r="L18" s="295" t="s">
        <v>250</v>
      </c>
      <c r="M18" s="299" t="s">
        <v>309</v>
      </c>
      <c r="N18" s="295" t="s">
        <v>324</v>
      </c>
      <c r="O18" s="295" t="s">
        <v>266</v>
      </c>
      <c r="P18" s="295" t="s">
        <v>276</v>
      </c>
      <c r="Q18" s="300" t="s">
        <v>327</v>
      </c>
      <c r="R18" s="295" t="s">
        <v>348</v>
      </c>
      <c r="S18" s="295" t="s">
        <v>399</v>
      </c>
      <c r="T18" s="295" t="s">
        <v>359</v>
      </c>
      <c r="U18" s="295" t="s">
        <v>381</v>
      </c>
      <c r="V18" s="295" t="s">
        <v>410</v>
      </c>
      <c r="W18" s="295" t="s">
        <v>438</v>
      </c>
      <c r="X18" s="287"/>
    </row>
    <row r="19" spans="2:24" s="288" customFormat="1" ht="10">
      <c r="B19" s="295" t="s">
        <v>122</v>
      </c>
      <c r="C19" s="295" t="s">
        <v>137</v>
      </c>
      <c r="D19" s="295" t="s">
        <v>146</v>
      </c>
      <c r="E19" s="295"/>
      <c r="F19" s="295"/>
      <c r="G19" s="298" t="s">
        <v>157</v>
      </c>
      <c r="H19" s="300" t="s">
        <v>180</v>
      </c>
      <c r="I19" s="295" t="s">
        <v>200</v>
      </c>
      <c r="J19" s="301" t="s">
        <v>225</v>
      </c>
      <c r="K19" s="301" t="s">
        <v>207</v>
      </c>
      <c r="L19" s="295" t="s">
        <v>252</v>
      </c>
      <c r="M19" s="299" t="s">
        <v>312</v>
      </c>
      <c r="N19" s="295"/>
      <c r="O19" s="295" t="s">
        <v>678</v>
      </c>
      <c r="P19" s="295" t="s">
        <v>277</v>
      </c>
      <c r="Q19" s="295" t="s">
        <v>330</v>
      </c>
      <c r="R19" s="295" t="s">
        <v>351</v>
      </c>
      <c r="S19" s="295" t="s">
        <v>400</v>
      </c>
      <c r="T19" s="295" t="s">
        <v>361</v>
      </c>
      <c r="U19" s="295" t="s">
        <v>383</v>
      </c>
      <c r="V19" s="295" t="s">
        <v>411</v>
      </c>
      <c r="W19" s="295" t="s">
        <v>440</v>
      </c>
      <c r="X19" s="287"/>
    </row>
    <row r="20" spans="2:24" s="288" customFormat="1" ht="10">
      <c r="B20" s="295" t="s">
        <v>124</v>
      </c>
      <c r="C20" s="295" t="s">
        <v>141</v>
      </c>
      <c r="D20" s="295"/>
      <c r="E20" s="295"/>
      <c r="F20" s="295"/>
      <c r="G20" s="295" t="s">
        <v>165</v>
      </c>
      <c r="H20" s="295" t="s">
        <v>181</v>
      </c>
      <c r="I20" s="295" t="s">
        <v>202</v>
      </c>
      <c r="J20" s="295" t="s">
        <v>235</v>
      </c>
      <c r="K20" s="301" t="s">
        <v>211</v>
      </c>
      <c r="L20" s="295" t="s">
        <v>253</v>
      </c>
      <c r="M20" s="299" t="s">
        <v>313</v>
      </c>
      <c r="N20" s="295"/>
      <c r="O20" s="295" t="s">
        <v>295</v>
      </c>
      <c r="P20" s="295" t="s">
        <v>279</v>
      </c>
      <c r="Q20" s="295" t="s">
        <v>332</v>
      </c>
      <c r="R20" s="295" t="s">
        <v>355</v>
      </c>
      <c r="S20" s="295"/>
      <c r="T20" s="295" t="s">
        <v>362</v>
      </c>
      <c r="U20" s="295" t="s">
        <v>384</v>
      </c>
      <c r="V20" s="295" t="s">
        <v>412</v>
      </c>
      <c r="W20" s="295" t="s">
        <v>442</v>
      </c>
      <c r="X20" s="287"/>
    </row>
    <row r="21" spans="2:24" s="288" customFormat="1" ht="10">
      <c r="B21" s="295" t="s">
        <v>128</v>
      </c>
      <c r="C21" s="295" t="s">
        <v>142</v>
      </c>
      <c r="D21" s="295"/>
      <c r="E21" s="295"/>
      <c r="F21" s="295"/>
      <c r="G21" s="295" t="s">
        <v>166</v>
      </c>
      <c r="H21" s="295" t="s">
        <v>182</v>
      </c>
      <c r="I21" s="295" t="s">
        <v>204</v>
      </c>
      <c r="J21" s="295" t="s">
        <v>236</v>
      </c>
      <c r="K21" s="301" t="s">
        <v>213</v>
      </c>
      <c r="L21" s="295" t="s">
        <v>255</v>
      </c>
      <c r="M21" s="299" t="s">
        <v>321</v>
      </c>
      <c r="N21" s="295"/>
      <c r="O21" s="295" t="s">
        <v>298</v>
      </c>
      <c r="P21" s="295" t="s">
        <v>281</v>
      </c>
      <c r="Q21" s="295" t="s">
        <v>333</v>
      </c>
      <c r="R21" s="295" t="s">
        <v>356</v>
      </c>
      <c r="S21" s="295" t="s">
        <v>401</v>
      </c>
      <c r="T21" s="295" t="s">
        <v>363</v>
      </c>
      <c r="U21" s="295" t="s">
        <v>385</v>
      </c>
      <c r="V21" s="295" t="s">
        <v>413</v>
      </c>
      <c r="W21" s="295" t="s">
        <v>443</v>
      </c>
      <c r="X21" s="287"/>
    </row>
    <row r="22" spans="2:24" s="288" customFormat="1" ht="10">
      <c r="B22" s="295" t="s">
        <v>130</v>
      </c>
      <c r="C22" s="295"/>
      <c r="D22" s="295"/>
      <c r="E22" s="295"/>
      <c r="F22" s="295"/>
      <c r="G22" s="295" t="s">
        <v>167</v>
      </c>
      <c r="H22" s="295" t="s">
        <v>183</v>
      </c>
      <c r="I22" s="295" t="s">
        <v>205</v>
      </c>
      <c r="J22" s="295"/>
      <c r="K22" s="301" t="s">
        <v>214</v>
      </c>
      <c r="L22" s="295" t="s">
        <v>256</v>
      </c>
      <c r="M22" s="299" t="s">
        <v>322</v>
      </c>
      <c r="N22" s="295"/>
      <c r="O22" s="295" t="s">
        <v>302</v>
      </c>
      <c r="P22" s="295" t="s">
        <v>282</v>
      </c>
      <c r="Q22" s="295" t="s">
        <v>334</v>
      </c>
      <c r="R22" s="295"/>
      <c r="S22" s="295" t="s">
        <v>407</v>
      </c>
      <c r="T22" s="295" t="s">
        <v>364</v>
      </c>
      <c r="U22" s="295" t="s">
        <v>386</v>
      </c>
      <c r="V22" s="295" t="s">
        <v>414</v>
      </c>
      <c r="W22" s="295" t="s">
        <v>445</v>
      </c>
      <c r="X22" s="287"/>
    </row>
    <row r="23" spans="2:24" s="288" customFormat="1" ht="10">
      <c r="B23" s="295" t="s">
        <v>131</v>
      </c>
      <c r="C23" s="295"/>
      <c r="D23" s="295"/>
      <c r="E23" s="295"/>
      <c r="F23" s="295"/>
      <c r="G23" s="295" t="s">
        <v>168</v>
      </c>
      <c r="H23" s="295" t="s">
        <v>185</v>
      </c>
      <c r="I23" s="295"/>
      <c r="J23" s="295"/>
      <c r="K23" s="301" t="s">
        <v>215</v>
      </c>
      <c r="L23" s="295" t="s">
        <v>257</v>
      </c>
      <c r="M23" s="295"/>
      <c r="N23" s="295"/>
      <c r="O23" s="295" t="s">
        <v>304</v>
      </c>
      <c r="P23" s="295" t="s">
        <v>283</v>
      </c>
      <c r="Q23" s="295" t="s">
        <v>335</v>
      </c>
      <c r="R23" s="295"/>
      <c r="S23" s="295" t="s">
        <v>408</v>
      </c>
      <c r="T23" s="295" t="s">
        <v>367</v>
      </c>
      <c r="U23" s="295" t="s">
        <v>391</v>
      </c>
      <c r="V23" s="295" t="s">
        <v>415</v>
      </c>
      <c r="W23" s="295" t="s">
        <v>447</v>
      </c>
      <c r="X23" s="287"/>
    </row>
    <row r="24" spans="2:24" s="288" customFormat="1" ht="10">
      <c r="B24" s="295" t="s">
        <v>134</v>
      </c>
      <c r="C24" s="295"/>
      <c r="D24" s="295"/>
      <c r="E24" s="295"/>
      <c r="F24" s="295"/>
      <c r="G24" s="295" t="s">
        <v>169</v>
      </c>
      <c r="H24" s="295" t="s">
        <v>186</v>
      </c>
      <c r="I24" s="295"/>
      <c r="J24" s="295"/>
      <c r="K24" s="301" t="s">
        <v>216</v>
      </c>
      <c r="L24" s="295" t="s">
        <v>259</v>
      </c>
      <c r="M24" s="295"/>
      <c r="N24" s="295"/>
      <c r="O24" s="295" t="s">
        <v>305</v>
      </c>
      <c r="P24" s="295" t="s">
        <v>285</v>
      </c>
      <c r="Q24" s="295" t="s">
        <v>337</v>
      </c>
      <c r="R24" s="295"/>
      <c r="S24" s="295"/>
      <c r="T24" s="295" t="s">
        <v>368</v>
      </c>
      <c r="U24" s="295" t="s">
        <v>392</v>
      </c>
      <c r="V24" s="295" t="s">
        <v>417</v>
      </c>
      <c r="W24" s="295" t="s">
        <v>448</v>
      </c>
      <c r="X24" s="287"/>
    </row>
    <row r="25" spans="2:24" s="288" customFormat="1" ht="10">
      <c r="B25" s="295"/>
      <c r="C25" s="295"/>
      <c r="D25" s="295"/>
      <c r="E25" s="295"/>
      <c r="F25" s="295"/>
      <c r="G25" s="295" t="s">
        <v>171</v>
      </c>
      <c r="H25" s="295"/>
      <c r="I25" s="295"/>
      <c r="J25" s="295"/>
      <c r="K25" s="295" t="s">
        <v>222</v>
      </c>
      <c r="L25" s="295" t="s">
        <v>261</v>
      </c>
      <c r="M25" s="295"/>
      <c r="N25" s="295"/>
      <c r="O25" s="295" t="s">
        <v>306</v>
      </c>
      <c r="P25" s="302" t="s">
        <v>288</v>
      </c>
      <c r="Q25" s="295" t="s">
        <v>338</v>
      </c>
      <c r="R25" s="303"/>
      <c r="S25" s="295"/>
      <c r="T25" s="295" t="s">
        <v>369</v>
      </c>
      <c r="U25" s="295" t="s">
        <v>393</v>
      </c>
      <c r="V25" s="295" t="s">
        <v>418</v>
      </c>
      <c r="W25" s="295" t="s">
        <v>453</v>
      </c>
      <c r="X25" s="287"/>
    </row>
    <row r="26" spans="2:24" s="288" customFormat="1" ht="10">
      <c r="B26" s="295"/>
      <c r="C26" s="295"/>
      <c r="D26" s="295"/>
      <c r="E26" s="295"/>
      <c r="F26" s="295"/>
      <c r="G26" s="295" t="s">
        <v>176</v>
      </c>
      <c r="H26" s="295"/>
      <c r="I26" s="295"/>
      <c r="J26" s="287"/>
      <c r="K26" s="302" t="s">
        <v>224</v>
      </c>
      <c r="L26" s="295" t="s">
        <v>262</v>
      </c>
      <c r="M26" s="295"/>
      <c r="N26" s="295"/>
      <c r="O26" s="295" t="s">
        <v>314</v>
      </c>
      <c r="P26" s="302" t="s">
        <v>307</v>
      </c>
      <c r="Q26" s="295" t="s">
        <v>339</v>
      </c>
      <c r="R26" s="303"/>
      <c r="S26" s="295"/>
      <c r="T26" s="295" t="s">
        <v>370</v>
      </c>
      <c r="U26" s="295"/>
      <c r="V26" s="295" t="s">
        <v>419</v>
      </c>
      <c r="W26" s="304" t="s">
        <v>457</v>
      </c>
      <c r="X26" s="287"/>
    </row>
    <row r="27" spans="2:24" s="288" customFormat="1" ht="10">
      <c r="B27" s="295"/>
      <c r="C27" s="295"/>
      <c r="D27" s="295"/>
      <c r="E27" s="295"/>
      <c r="F27" s="295"/>
      <c r="G27" s="295"/>
      <c r="H27" s="295" t="s">
        <v>192</v>
      </c>
      <c r="I27" s="295"/>
      <c r="J27" s="295"/>
      <c r="K27" s="295" t="s">
        <v>237</v>
      </c>
      <c r="L27" s="295" t="s">
        <v>263</v>
      </c>
      <c r="M27" s="295"/>
      <c r="N27" s="295"/>
      <c r="O27" s="295"/>
      <c r="P27" s="302"/>
      <c r="Q27" s="295" t="s">
        <v>340</v>
      </c>
      <c r="R27" s="303"/>
      <c r="S27" s="295"/>
      <c r="T27" s="295" t="s">
        <v>371</v>
      </c>
      <c r="U27" s="295"/>
      <c r="V27" s="295" t="s">
        <v>420</v>
      </c>
      <c r="W27" s="295"/>
      <c r="X27" s="287"/>
    </row>
    <row r="28" spans="2:24" s="288" customFormat="1" ht="10">
      <c r="B28" s="295"/>
      <c r="C28" s="295"/>
      <c r="D28" s="295"/>
      <c r="E28" s="295"/>
      <c r="F28" s="295"/>
      <c r="G28" s="295"/>
      <c r="H28" s="295" t="s">
        <v>194</v>
      </c>
      <c r="I28" s="295"/>
      <c r="J28" s="295"/>
      <c r="K28" s="295" t="s">
        <v>238</v>
      </c>
      <c r="L28" s="295"/>
      <c r="M28" s="295"/>
      <c r="N28" s="295"/>
      <c r="O28" s="295"/>
      <c r="P28" s="302"/>
      <c r="Q28" s="295" t="s">
        <v>341</v>
      </c>
      <c r="R28" s="303"/>
      <c r="S28" s="295"/>
      <c r="T28" s="295" t="s">
        <v>372</v>
      </c>
      <c r="U28" s="295"/>
      <c r="V28" s="302" t="s">
        <v>421</v>
      </c>
      <c r="W28" s="295"/>
      <c r="X28" s="287"/>
    </row>
    <row r="29" spans="2:24" s="288" customFormat="1" ht="10">
      <c r="B29" s="295"/>
      <c r="C29" s="295"/>
      <c r="D29" s="295"/>
      <c r="E29" s="295"/>
      <c r="F29" s="295"/>
      <c r="G29" s="295"/>
      <c r="H29" s="295" t="s">
        <v>195</v>
      </c>
      <c r="I29" s="295"/>
      <c r="J29" s="295"/>
      <c r="K29" s="295" t="s">
        <v>239</v>
      </c>
      <c r="L29" s="295"/>
      <c r="M29" s="295"/>
      <c r="N29" s="295"/>
      <c r="O29" s="295"/>
      <c r="P29" s="302"/>
      <c r="Q29" s="295" t="s">
        <v>343</v>
      </c>
      <c r="R29" s="303"/>
      <c r="S29" s="295"/>
      <c r="T29" s="295" t="s">
        <v>375</v>
      </c>
      <c r="U29" s="295"/>
      <c r="V29" s="295" t="s">
        <v>422</v>
      </c>
      <c r="W29" s="303"/>
      <c r="X29" s="287"/>
    </row>
    <row r="30" spans="2:24" s="288" customFormat="1" ht="10">
      <c r="B30" s="295"/>
      <c r="C30" s="295"/>
      <c r="D30" s="295"/>
      <c r="E30" s="295"/>
      <c r="F30" s="295"/>
      <c r="G30" s="295"/>
      <c r="H30" s="295" t="s">
        <v>284</v>
      </c>
      <c r="I30" s="295"/>
      <c r="J30" s="295"/>
      <c r="K30" s="295" t="s">
        <v>240</v>
      </c>
      <c r="L30" s="295"/>
      <c r="M30" s="295"/>
      <c r="N30" s="295"/>
      <c r="O30" s="295"/>
      <c r="P30" s="302"/>
      <c r="Q30" s="295" t="s">
        <v>344</v>
      </c>
      <c r="R30" s="303"/>
      <c r="S30" s="295"/>
      <c r="T30" s="295" t="s">
        <v>376</v>
      </c>
      <c r="U30" s="295"/>
      <c r="V30" s="295" t="s">
        <v>423</v>
      </c>
      <c r="W30" s="303"/>
      <c r="X30" s="287"/>
    </row>
    <row r="31" spans="2:24" s="288" customFormat="1" ht="10">
      <c r="B31" s="295"/>
      <c r="C31" s="295"/>
      <c r="D31" s="295"/>
      <c r="E31" s="295"/>
      <c r="F31" s="295"/>
      <c r="G31" s="295"/>
      <c r="H31" s="295"/>
      <c r="I31" s="295"/>
      <c r="J31" s="295"/>
      <c r="K31" s="295" t="s">
        <v>241</v>
      </c>
      <c r="L31" s="295"/>
      <c r="M31" s="295"/>
      <c r="N31" s="295"/>
      <c r="O31" s="295"/>
      <c r="P31" s="302"/>
      <c r="Q31" s="295"/>
      <c r="R31" s="303"/>
      <c r="S31" s="295"/>
      <c r="T31" s="295"/>
      <c r="U31" s="295"/>
      <c r="V31" s="295" t="s">
        <v>424</v>
      </c>
      <c r="W31" s="303"/>
      <c r="X31" s="287"/>
    </row>
    <row r="32" spans="2:24" s="288" customFormat="1" ht="10">
      <c r="B32" s="295"/>
      <c r="C32" s="295"/>
      <c r="D32" s="295"/>
      <c r="E32" s="295"/>
      <c r="F32" s="295"/>
      <c r="G32" s="295"/>
      <c r="H32" s="295"/>
      <c r="I32" s="295"/>
      <c r="J32" s="295"/>
      <c r="K32" s="295" t="s">
        <v>242</v>
      </c>
      <c r="L32" s="295"/>
      <c r="M32" s="295"/>
      <c r="N32" s="295"/>
      <c r="O32" s="295"/>
      <c r="P32" s="302"/>
      <c r="Q32" s="295"/>
      <c r="R32" s="303"/>
      <c r="S32" s="295"/>
      <c r="T32" s="295"/>
      <c r="U32" s="295"/>
      <c r="V32" s="295" t="s">
        <v>425</v>
      </c>
      <c r="W32" s="303"/>
      <c r="X32" s="287"/>
    </row>
    <row r="33" spans="2:24" s="288" customFormat="1" ht="10">
      <c r="B33" s="295"/>
      <c r="C33" s="295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302"/>
      <c r="Q33" s="295"/>
      <c r="R33" s="303"/>
      <c r="S33" s="295"/>
      <c r="T33" s="295"/>
      <c r="U33" s="295"/>
      <c r="V33" s="295" t="s">
        <v>427</v>
      </c>
      <c r="W33" s="303"/>
      <c r="X33" s="287"/>
    </row>
    <row r="34" spans="2:24" s="288" customFormat="1" ht="10">
      <c r="B34" s="295"/>
      <c r="C34" s="295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302"/>
      <c r="Q34" s="295"/>
      <c r="R34" s="303"/>
      <c r="S34" s="295"/>
      <c r="T34" s="295"/>
      <c r="U34" s="295"/>
      <c r="V34" s="295" t="s">
        <v>428</v>
      </c>
      <c r="W34" s="303"/>
      <c r="X34" s="287"/>
    </row>
    <row r="35" spans="2:24" s="288" customFormat="1" ht="10">
      <c r="B35" s="295"/>
      <c r="C35" s="295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5"/>
      <c r="O35" s="295"/>
      <c r="P35" s="302"/>
      <c r="Q35" s="295"/>
      <c r="R35" s="303"/>
      <c r="S35" s="295"/>
      <c r="T35" s="295"/>
      <c r="U35" s="295"/>
      <c r="V35" s="295" t="s">
        <v>429</v>
      </c>
      <c r="W35" s="303"/>
      <c r="X35" s="287"/>
    </row>
    <row r="36" spans="2:24" s="288" customFormat="1" ht="10">
      <c r="B36" s="295"/>
      <c r="C36" s="295"/>
      <c r="D36" s="295"/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302"/>
      <c r="Q36" s="295"/>
      <c r="R36" s="303"/>
      <c r="S36" s="295"/>
      <c r="T36" s="295"/>
      <c r="U36" s="295"/>
      <c r="V36" s="295" t="s">
        <v>430</v>
      </c>
      <c r="W36" s="303"/>
      <c r="X36" s="287"/>
    </row>
    <row r="37" spans="2:24" s="288" customFormat="1" ht="10">
      <c r="B37" s="295"/>
      <c r="C37" s="295"/>
      <c r="D37" s="295"/>
      <c r="E37" s="295"/>
      <c r="F37" s="295"/>
      <c r="G37" s="295"/>
      <c r="H37" s="295"/>
      <c r="I37" s="295"/>
      <c r="J37" s="295"/>
      <c r="K37" s="287"/>
      <c r="L37" s="295"/>
      <c r="M37" s="295"/>
      <c r="N37" s="295"/>
      <c r="O37" s="295"/>
      <c r="P37" s="295"/>
      <c r="Q37" s="295"/>
      <c r="R37" s="295"/>
      <c r="S37" s="295"/>
      <c r="T37" s="295"/>
      <c r="U37" s="295"/>
      <c r="V37" s="295" t="s">
        <v>431</v>
      </c>
      <c r="W37" s="303"/>
      <c r="X37" s="287"/>
    </row>
    <row r="38" spans="2:24" s="288" customFormat="1" ht="10">
      <c r="B38" s="295"/>
      <c r="C38" s="295"/>
      <c r="D38" s="295"/>
      <c r="E38" s="295"/>
      <c r="F38" s="295"/>
      <c r="G38" s="295"/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 t="s">
        <v>432</v>
      </c>
      <c r="W38" s="303"/>
      <c r="X38" s="287"/>
    </row>
    <row r="39" spans="2:24" s="288" customFormat="1" ht="10">
      <c r="B39" s="295"/>
      <c r="C39" s="295"/>
      <c r="D39" s="295"/>
      <c r="E39" s="295"/>
      <c r="F39" s="295"/>
      <c r="G39" s="295"/>
      <c r="H39" s="295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5"/>
      <c r="T39" s="295"/>
      <c r="U39" s="295"/>
      <c r="V39" s="295" t="s">
        <v>433</v>
      </c>
      <c r="W39" s="303"/>
      <c r="X39" s="287"/>
    </row>
    <row r="40" spans="2:24" s="288" customFormat="1" ht="10">
      <c r="B40" s="295"/>
      <c r="C40" s="295"/>
      <c r="D40" s="295"/>
      <c r="E40" s="295"/>
      <c r="F40" s="295"/>
      <c r="G40" s="295"/>
      <c r="H40" s="295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5"/>
      <c r="T40" s="295"/>
      <c r="U40" s="295"/>
      <c r="V40" s="295" t="s">
        <v>434</v>
      </c>
      <c r="W40" s="303"/>
      <c r="X40" s="287"/>
    </row>
    <row r="41" spans="2:24" s="288" customFormat="1" ht="10">
      <c r="B41" s="295"/>
      <c r="C41" s="295"/>
      <c r="D41" s="295"/>
      <c r="E41" s="295"/>
      <c r="F41" s="295"/>
      <c r="G41" s="295"/>
      <c r="H41" s="295"/>
      <c r="I41" s="295"/>
      <c r="J41" s="295"/>
      <c r="K41" s="295"/>
      <c r="L41" s="295"/>
      <c r="M41" s="295"/>
      <c r="N41" s="295"/>
      <c r="O41" s="295"/>
      <c r="P41" s="295"/>
      <c r="Q41" s="295"/>
      <c r="R41" s="295"/>
      <c r="S41" s="295"/>
      <c r="T41" s="295"/>
      <c r="U41" s="295"/>
      <c r="V41" s="295" t="s">
        <v>435</v>
      </c>
      <c r="W41" s="303"/>
      <c r="X41" s="287"/>
    </row>
    <row r="42" spans="2:24" s="288" customFormat="1" ht="10">
      <c r="B42" s="295"/>
      <c r="C42" s="295"/>
      <c r="D42" s="295"/>
      <c r="E42" s="295"/>
      <c r="F42" s="295"/>
      <c r="G42" s="295"/>
      <c r="H42" s="295"/>
      <c r="I42" s="295"/>
      <c r="J42" s="295"/>
      <c r="K42" s="295"/>
      <c r="L42" s="295"/>
      <c r="M42" s="295"/>
      <c r="N42" s="295"/>
      <c r="O42" s="295"/>
      <c r="P42" s="295"/>
      <c r="Q42" s="295"/>
      <c r="R42" s="295"/>
      <c r="S42" s="295"/>
      <c r="T42" s="295"/>
      <c r="U42" s="295"/>
      <c r="V42" s="295" t="s">
        <v>455</v>
      </c>
      <c r="W42" s="303"/>
      <c r="X42" s="287"/>
    </row>
    <row r="43" spans="2:24" s="288" customFormat="1" ht="10"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5"/>
      <c r="U43" s="295"/>
      <c r="V43" s="295" t="s">
        <v>456</v>
      </c>
      <c r="W43" s="303"/>
      <c r="X43" s="287"/>
    </row>
    <row r="44" spans="2:24" s="288" customFormat="1" ht="10">
      <c r="B44" s="305"/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5"/>
      <c r="V44" s="305"/>
      <c r="W44" s="303"/>
      <c r="X44" s="287"/>
    </row>
    <row r="45" spans="2:24" s="288" customFormat="1" ht="10.5">
      <c r="B45" s="577" t="s">
        <v>459</v>
      </c>
      <c r="C45" s="578"/>
      <c r="D45" s="578"/>
      <c r="E45" s="578"/>
      <c r="F45" s="578"/>
      <c r="G45" s="578"/>
      <c r="H45" s="578"/>
      <c r="I45" s="578"/>
      <c r="J45" s="578"/>
      <c r="K45" s="578"/>
      <c r="L45" s="578"/>
      <c r="M45" s="578"/>
      <c r="N45" s="578"/>
      <c r="O45" s="578"/>
      <c r="P45" s="578"/>
      <c r="Q45" s="578"/>
      <c r="R45" s="578"/>
      <c r="S45" s="578"/>
      <c r="T45" s="578"/>
      <c r="U45" s="578"/>
      <c r="V45" s="578"/>
      <c r="W45" s="579"/>
      <c r="X45" s="287"/>
    </row>
    <row r="46" spans="2:24" s="288" customFormat="1" ht="10">
      <c r="B46" s="293"/>
      <c r="C46" s="293"/>
      <c r="D46" s="293"/>
      <c r="E46" s="293"/>
      <c r="F46" s="293"/>
      <c r="G46" s="293"/>
      <c r="H46" s="293" t="s">
        <v>460</v>
      </c>
      <c r="I46" s="293"/>
      <c r="J46" s="293" t="s">
        <v>462</v>
      </c>
      <c r="K46" s="293"/>
      <c r="L46" s="293" t="s">
        <v>679</v>
      </c>
      <c r="M46" s="293"/>
      <c r="N46" s="293"/>
      <c r="O46" s="293" t="s">
        <v>468</v>
      </c>
      <c r="P46" s="293"/>
      <c r="Q46" s="293" t="s">
        <v>470</v>
      </c>
      <c r="R46" s="293"/>
      <c r="S46" s="293" t="s">
        <v>694</v>
      </c>
      <c r="T46" s="293" t="s">
        <v>680</v>
      </c>
      <c r="U46" s="293"/>
      <c r="V46" s="293" t="s">
        <v>479</v>
      </c>
      <c r="W46" s="303" t="s">
        <v>483</v>
      </c>
      <c r="X46" s="287"/>
    </row>
    <row r="47" spans="2:24" s="288" customFormat="1" ht="10">
      <c r="B47" s="295"/>
      <c r="C47" s="295"/>
      <c r="D47" s="295"/>
      <c r="E47" s="295"/>
      <c r="F47" s="295"/>
      <c r="G47" s="295"/>
      <c r="H47" s="295" t="s">
        <v>461</v>
      </c>
      <c r="I47" s="295"/>
      <c r="J47" s="295" t="s">
        <v>463</v>
      </c>
      <c r="K47" s="295"/>
      <c r="L47" s="295" t="s">
        <v>466</v>
      </c>
      <c r="M47" s="295"/>
      <c r="N47" s="295"/>
      <c r="O47" s="295" t="s">
        <v>469</v>
      </c>
      <c r="P47" s="295"/>
      <c r="Q47" s="295" t="s">
        <v>681</v>
      </c>
      <c r="R47" s="295"/>
      <c r="S47" s="295" t="s">
        <v>695</v>
      </c>
      <c r="T47" s="295" t="s">
        <v>473</v>
      </c>
      <c r="U47" s="295"/>
      <c r="V47" s="295" t="s">
        <v>480</v>
      </c>
      <c r="W47" s="303" t="s">
        <v>484</v>
      </c>
      <c r="X47" s="287"/>
    </row>
    <row r="48" spans="2:24" s="288" customFormat="1" ht="10">
      <c r="B48" s="295"/>
      <c r="C48" s="295"/>
      <c r="D48" s="295"/>
      <c r="E48" s="295"/>
      <c r="F48" s="295"/>
      <c r="G48" s="295"/>
      <c r="H48" s="295"/>
      <c r="I48" s="295"/>
      <c r="J48" s="295" t="s">
        <v>464</v>
      </c>
      <c r="K48" s="295"/>
      <c r="L48" s="295" t="s">
        <v>682</v>
      </c>
      <c r="M48" s="295"/>
      <c r="N48" s="295"/>
      <c r="O48" s="295"/>
      <c r="P48" s="295"/>
      <c r="Q48" s="295"/>
      <c r="R48" s="295"/>
      <c r="S48" s="295" t="s">
        <v>684</v>
      </c>
      <c r="T48" s="295" t="s">
        <v>683</v>
      </c>
      <c r="U48" s="295"/>
      <c r="V48" s="295" t="s">
        <v>481</v>
      </c>
      <c r="W48" s="303"/>
      <c r="X48" s="287"/>
    </row>
    <row r="49" spans="2:24" s="288" customFormat="1" ht="10">
      <c r="B49" s="295"/>
      <c r="C49" s="295"/>
      <c r="D49" s="295"/>
      <c r="E49" s="295"/>
      <c r="F49" s="295"/>
      <c r="G49" s="295"/>
      <c r="H49" s="295"/>
      <c r="I49" s="295"/>
      <c r="J49" s="295" t="s">
        <v>465</v>
      </c>
      <c r="K49" s="295"/>
      <c r="L49" s="295" t="s">
        <v>467</v>
      </c>
      <c r="M49" s="295"/>
      <c r="N49" s="295"/>
      <c r="O49" s="295"/>
      <c r="P49" s="295"/>
      <c r="Q49" s="295"/>
      <c r="R49" s="295"/>
      <c r="S49" s="287"/>
      <c r="T49" s="295" t="s">
        <v>474</v>
      </c>
      <c r="U49" s="295"/>
      <c r="V49" s="295" t="s">
        <v>482</v>
      </c>
      <c r="W49" s="303"/>
      <c r="X49" s="287"/>
    </row>
    <row r="50" spans="2:24" s="288" customFormat="1" ht="10">
      <c r="B50" s="295"/>
      <c r="C50" s="295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295"/>
      <c r="T50" s="295" t="s">
        <v>475</v>
      </c>
      <c r="U50" s="295"/>
      <c r="V50" s="295"/>
      <c r="W50" s="303"/>
      <c r="X50" s="287"/>
    </row>
    <row r="51" spans="2:24" s="288" customFormat="1" ht="10">
      <c r="B51" s="295"/>
      <c r="C51" s="295"/>
      <c r="D51" s="295"/>
      <c r="E51" s="295"/>
      <c r="F51" s="295"/>
      <c r="G51" s="295"/>
      <c r="H51" s="295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295"/>
      <c r="T51" s="295" t="s">
        <v>476</v>
      </c>
      <c r="U51" s="295"/>
      <c r="V51" s="295"/>
      <c r="W51" s="303"/>
      <c r="X51" s="287"/>
    </row>
    <row r="52" spans="2:24" s="288" customFormat="1" ht="10">
      <c r="B52" s="305"/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6"/>
      <c r="X52" s="287"/>
    </row>
    <row r="53" spans="2:24" ht="12" customHeight="1">
      <c r="B53" s="307"/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</row>
    <row r="54" spans="2:24" ht="12" customHeight="1">
      <c r="B54" s="308" t="s">
        <v>685</v>
      </c>
      <c r="C54" s="308"/>
      <c r="D54" s="308"/>
      <c r="E54" s="308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7"/>
      <c r="S54" s="307"/>
      <c r="T54" s="307"/>
      <c r="U54" s="307"/>
      <c r="V54" s="307"/>
      <c r="W54" s="307"/>
      <c r="X54" s="307"/>
    </row>
    <row r="55" spans="2:24" ht="15.75" customHeight="1">
      <c r="B55" s="310" t="s">
        <v>686</v>
      </c>
      <c r="C55" s="310"/>
      <c r="D55" s="310"/>
      <c r="E55" s="310"/>
      <c r="F55" s="310"/>
      <c r="G55" s="310"/>
      <c r="H55" s="310"/>
      <c r="I55" s="309"/>
      <c r="J55" s="309"/>
      <c r="K55" s="309"/>
      <c r="L55" s="309"/>
      <c r="M55" s="309"/>
      <c r="N55" s="309"/>
      <c r="O55" s="309"/>
      <c r="P55" s="309"/>
      <c r="Q55" s="309"/>
      <c r="R55" s="507"/>
      <c r="S55" s="507"/>
      <c r="T55" s="507"/>
      <c r="U55" s="507"/>
      <c r="V55" s="507"/>
      <c r="W55" s="507"/>
      <c r="X55" s="507"/>
    </row>
    <row r="56" spans="2:24" ht="15.75" customHeight="1">
      <c r="B56" s="580" t="s">
        <v>687</v>
      </c>
      <c r="C56" s="581"/>
      <c r="D56" s="581"/>
      <c r="E56" s="581"/>
      <c r="F56" s="581"/>
      <c r="G56" s="507"/>
      <c r="H56" s="507"/>
      <c r="I56" s="507"/>
      <c r="J56" s="507"/>
      <c r="K56" s="507"/>
      <c r="L56" s="507"/>
      <c r="M56" s="507"/>
      <c r="N56" s="507"/>
      <c r="O56" s="507"/>
      <c r="P56" s="507"/>
      <c r="Q56" s="507"/>
      <c r="R56" s="507"/>
      <c r="S56" s="507"/>
      <c r="T56" s="507"/>
      <c r="U56" s="507"/>
      <c r="V56" s="507"/>
      <c r="W56" s="507"/>
      <c r="X56" s="507"/>
    </row>
    <row r="57" spans="2:24" ht="15.75" customHeight="1">
      <c r="B57" s="582" t="s">
        <v>688</v>
      </c>
      <c r="C57" s="581"/>
      <c r="D57" s="581"/>
      <c r="E57" s="581"/>
      <c r="F57" s="581"/>
      <c r="G57" s="581"/>
      <c r="H57" s="581"/>
      <c r="I57" s="581"/>
      <c r="J57" s="581"/>
      <c r="K57" s="581"/>
      <c r="L57" s="581"/>
      <c r="M57" s="581"/>
      <c r="N57" s="581"/>
      <c r="O57" s="581"/>
      <c r="P57" s="581"/>
      <c r="Q57" s="581"/>
      <c r="R57" s="507"/>
      <c r="S57" s="507"/>
      <c r="T57" s="507"/>
      <c r="U57" s="507"/>
      <c r="V57" s="507"/>
      <c r="W57" s="507"/>
      <c r="X57" s="507"/>
    </row>
    <row r="58" spans="2:24" ht="15.75" customHeight="1">
      <c r="B58" s="507"/>
      <c r="C58" s="507"/>
      <c r="D58" s="507"/>
      <c r="E58" s="507"/>
      <c r="F58" s="507"/>
      <c r="G58" s="507"/>
      <c r="H58" s="507"/>
      <c r="I58" s="507"/>
      <c r="J58" s="507"/>
      <c r="K58" s="507"/>
      <c r="L58" s="507"/>
      <c r="M58" s="507"/>
      <c r="N58" s="507"/>
      <c r="O58" s="507"/>
      <c r="P58" s="507"/>
      <c r="Q58" s="507"/>
      <c r="R58" s="507"/>
      <c r="S58" s="507"/>
      <c r="T58" s="507"/>
      <c r="U58" s="507"/>
      <c r="V58" s="507"/>
      <c r="W58" s="507"/>
      <c r="X58" s="507"/>
    </row>
    <row r="59" spans="2:24" ht="15.75" customHeight="1">
      <c r="B59" s="507"/>
      <c r="C59" s="507"/>
      <c r="D59" s="507"/>
      <c r="E59" s="507"/>
      <c r="F59" s="507"/>
      <c r="G59" s="507"/>
      <c r="H59" s="507"/>
      <c r="I59" s="507"/>
      <c r="J59" s="507"/>
      <c r="K59" s="507"/>
      <c r="L59" s="507"/>
      <c r="M59" s="507"/>
      <c r="N59" s="507"/>
      <c r="O59" s="507"/>
      <c r="P59" s="507"/>
      <c r="Q59" s="507"/>
      <c r="R59" s="507"/>
      <c r="S59" s="507"/>
      <c r="T59" s="507"/>
      <c r="U59" s="507"/>
      <c r="V59" s="507"/>
      <c r="W59" s="507"/>
      <c r="X59" s="507"/>
    </row>
    <row r="60" spans="2:24" ht="15.75" customHeight="1">
      <c r="B60" s="507"/>
      <c r="C60" s="507"/>
      <c r="D60" s="507"/>
      <c r="E60" s="507"/>
      <c r="F60" s="507"/>
      <c r="G60" s="507"/>
      <c r="H60" s="507"/>
      <c r="I60" s="507"/>
      <c r="J60" s="507"/>
      <c r="K60" s="507"/>
      <c r="L60" s="507"/>
      <c r="M60" s="507"/>
      <c r="N60" s="507"/>
      <c r="O60" s="507"/>
      <c r="P60" s="507"/>
      <c r="Q60" s="507"/>
      <c r="R60" s="507"/>
      <c r="S60" s="507"/>
      <c r="T60" s="507"/>
      <c r="U60" s="507"/>
      <c r="V60" s="507"/>
      <c r="W60" s="507"/>
      <c r="X60" s="507"/>
    </row>
    <row r="61" spans="2:24" ht="15.75" customHeight="1">
      <c r="B61" s="507"/>
      <c r="C61" s="507"/>
      <c r="D61" s="507"/>
      <c r="E61" s="507"/>
      <c r="F61" s="507"/>
      <c r="G61" s="507"/>
      <c r="H61" s="507"/>
      <c r="I61" s="507"/>
      <c r="J61" s="507"/>
      <c r="K61" s="507"/>
      <c r="L61" s="507"/>
      <c r="M61" s="507"/>
      <c r="N61" s="507"/>
      <c r="O61" s="507"/>
      <c r="P61" s="507"/>
      <c r="Q61" s="507"/>
      <c r="R61" s="507"/>
      <c r="S61" s="507"/>
      <c r="T61" s="507"/>
      <c r="U61" s="507"/>
      <c r="V61" s="507"/>
      <c r="W61" s="507"/>
      <c r="X61" s="507"/>
    </row>
    <row r="62" spans="2:24" ht="15.75" customHeight="1">
      <c r="B62" s="507"/>
      <c r="C62" s="507"/>
      <c r="D62" s="507"/>
      <c r="E62" s="507"/>
      <c r="F62" s="507"/>
      <c r="G62" s="507"/>
      <c r="H62" s="507"/>
      <c r="I62" s="507"/>
      <c r="J62" s="507"/>
      <c r="K62" s="507"/>
      <c r="L62" s="507"/>
      <c r="M62" s="507"/>
      <c r="N62" s="507"/>
      <c r="O62" s="507"/>
      <c r="P62" s="507"/>
      <c r="Q62" s="507"/>
      <c r="R62" s="507"/>
      <c r="S62" s="507"/>
      <c r="T62" s="507"/>
      <c r="U62" s="507"/>
      <c r="V62" s="507"/>
      <c r="W62" s="507"/>
      <c r="X62" s="507"/>
    </row>
    <row r="63" spans="2:24" ht="15.75" customHeight="1">
      <c r="B63" s="507"/>
      <c r="C63" s="507"/>
      <c r="D63" s="507"/>
      <c r="E63" s="507"/>
      <c r="F63" s="507"/>
      <c r="G63" s="507"/>
      <c r="H63" s="507"/>
      <c r="I63" s="507"/>
      <c r="J63" s="507"/>
      <c r="K63" s="507"/>
      <c r="L63" s="507"/>
      <c r="M63" s="507"/>
      <c r="N63" s="507"/>
      <c r="O63" s="507"/>
      <c r="P63" s="507"/>
      <c r="Q63" s="507"/>
      <c r="R63" s="507"/>
      <c r="S63" s="507"/>
      <c r="T63" s="507"/>
      <c r="U63" s="507"/>
      <c r="V63" s="507"/>
      <c r="W63" s="507"/>
      <c r="X63" s="507"/>
    </row>
    <row r="64" spans="2:2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6">
    <mergeCell ref="B6:U6"/>
    <mergeCell ref="V6:W6"/>
    <mergeCell ref="B1:W1"/>
    <mergeCell ref="B2:W2"/>
    <mergeCell ref="T3:W3"/>
    <mergeCell ref="B4:W4"/>
    <mergeCell ref="B5:W5"/>
    <mergeCell ref="B7:U7"/>
    <mergeCell ref="V7:W7"/>
    <mergeCell ref="B8:W8"/>
    <mergeCell ref="B9:E9"/>
    <mergeCell ref="F9:Q9"/>
    <mergeCell ref="R9:U9"/>
    <mergeCell ref="V9:W9"/>
    <mergeCell ref="B10:E10"/>
    <mergeCell ref="F10:Q10"/>
    <mergeCell ref="R10:U10"/>
    <mergeCell ref="V10:W10"/>
    <mergeCell ref="B11:E11"/>
    <mergeCell ref="R11:U11"/>
    <mergeCell ref="V11:W11"/>
    <mergeCell ref="B12:W12"/>
    <mergeCell ref="B16:W16"/>
    <mergeCell ref="B45:W45"/>
    <mergeCell ref="B56:F56"/>
    <mergeCell ref="B57:Q57"/>
  </mergeCells>
  <pageMargins left="0.7" right="0.7" top="0.75" bottom="0.75" header="0" footer="0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202</vt:i4>
      </vt:variant>
    </vt:vector>
  </HeadingPairs>
  <TitlesOfParts>
    <vt:vector size="214" baseType="lpstr">
      <vt:lpstr>University-wide</vt:lpstr>
      <vt:lpstr>By Location</vt:lpstr>
      <vt:lpstr>By Area</vt:lpstr>
      <vt:lpstr>By Neighborhood</vt:lpstr>
      <vt:lpstr>By Lot</vt:lpstr>
      <vt:lpstr>By Structure</vt:lpstr>
      <vt:lpstr>Osler</vt:lpstr>
      <vt:lpstr>Closed</vt:lpstr>
      <vt:lpstr>Visitor</vt:lpstr>
      <vt:lpstr>Allocated</vt:lpstr>
      <vt:lpstr>Schedule</vt:lpstr>
      <vt:lpstr>Key1 Locations, Areas, Lots...</vt:lpstr>
      <vt:lpstr>AthenaV1</vt:lpstr>
      <vt:lpstr>CPWallocated</vt:lpstr>
      <vt:lpstr>CPWV1</vt:lpstr>
      <vt:lpstr>CPWV2</vt:lpstr>
      <vt:lpstr>CPWV3</vt:lpstr>
      <vt:lpstr>CPWV4</vt:lpstr>
      <vt:lpstr>CPWV5</vt:lpstr>
      <vt:lpstr>MarshallOccupancyA8amCELL</vt:lpstr>
      <vt:lpstr>p113a</vt:lpstr>
      <vt:lpstr>p113ada</vt:lpstr>
      <vt:lpstr>p113allocated</vt:lpstr>
      <vt:lpstr>p113b</vt:lpstr>
      <vt:lpstr>p113Load</vt:lpstr>
      <vt:lpstr>p113r</vt:lpstr>
      <vt:lpstr>p113S</vt:lpstr>
      <vt:lpstr>p113sy</vt:lpstr>
      <vt:lpstr>p113total</vt:lpstr>
      <vt:lpstr>p113uc</vt:lpstr>
      <vt:lpstr>p113v</vt:lpstr>
      <vt:lpstr>p114a</vt:lpstr>
      <vt:lpstr>p114ada</vt:lpstr>
      <vt:lpstr>p114allocated</vt:lpstr>
      <vt:lpstr>p114b</vt:lpstr>
      <vt:lpstr>p114Load</vt:lpstr>
      <vt:lpstr>p114r</vt:lpstr>
      <vt:lpstr>p114s</vt:lpstr>
      <vt:lpstr>p114sy</vt:lpstr>
      <vt:lpstr>p114total</vt:lpstr>
      <vt:lpstr>p114uc</vt:lpstr>
      <vt:lpstr>p114v</vt:lpstr>
      <vt:lpstr>p201a</vt:lpstr>
      <vt:lpstr>p201ada</vt:lpstr>
      <vt:lpstr>p201allocated</vt:lpstr>
      <vt:lpstr>p201b</vt:lpstr>
      <vt:lpstr>p201Loading</vt:lpstr>
      <vt:lpstr>p201r</vt:lpstr>
      <vt:lpstr>p201s</vt:lpstr>
      <vt:lpstr>p201sy</vt:lpstr>
      <vt:lpstr>p201uc</vt:lpstr>
      <vt:lpstr>p201v</vt:lpstr>
      <vt:lpstr>P202A</vt:lpstr>
      <vt:lpstr>P202ada</vt:lpstr>
      <vt:lpstr>P202Allocated</vt:lpstr>
      <vt:lpstr>P202B</vt:lpstr>
      <vt:lpstr>P202Loading</vt:lpstr>
      <vt:lpstr>P202Reserved</vt:lpstr>
      <vt:lpstr>P202S</vt:lpstr>
      <vt:lpstr>P202Service_Yard</vt:lpstr>
      <vt:lpstr>P202Total</vt:lpstr>
      <vt:lpstr>P202UC_Vehicle</vt:lpstr>
      <vt:lpstr>P202Visitor</vt:lpstr>
      <vt:lpstr>P203A</vt:lpstr>
      <vt:lpstr>P203Accessible</vt:lpstr>
      <vt:lpstr>P203Allocated</vt:lpstr>
      <vt:lpstr>P203B</vt:lpstr>
      <vt:lpstr>P203Loading</vt:lpstr>
      <vt:lpstr>P203Reserved</vt:lpstr>
      <vt:lpstr>P203S</vt:lpstr>
      <vt:lpstr>P203Service_Yard</vt:lpstr>
      <vt:lpstr>P203Total</vt:lpstr>
      <vt:lpstr>P203UC_Vehicle</vt:lpstr>
      <vt:lpstr>P203V</vt:lpstr>
      <vt:lpstr>P204A</vt:lpstr>
      <vt:lpstr>P204Accessible</vt:lpstr>
      <vt:lpstr>P204Allocated</vt:lpstr>
      <vt:lpstr>P204B</vt:lpstr>
      <vt:lpstr>P204Loading</vt:lpstr>
      <vt:lpstr>P204Reserved</vt:lpstr>
      <vt:lpstr>P204S</vt:lpstr>
      <vt:lpstr>P204Service_Yard</vt:lpstr>
      <vt:lpstr>P204Total</vt:lpstr>
      <vt:lpstr>P204UC_Vehicle</vt:lpstr>
      <vt:lpstr>P204Visitor</vt:lpstr>
      <vt:lpstr>P205A</vt:lpstr>
      <vt:lpstr>P205Accessible</vt:lpstr>
      <vt:lpstr>P205Allocated</vt:lpstr>
      <vt:lpstr>P205B</vt:lpstr>
      <vt:lpstr>P205Loading</vt:lpstr>
      <vt:lpstr>P205Reserved</vt:lpstr>
      <vt:lpstr>P205S</vt:lpstr>
      <vt:lpstr>P205Service_Yard</vt:lpstr>
      <vt:lpstr>P205Total</vt:lpstr>
      <vt:lpstr>P205UC_Vehicle</vt:lpstr>
      <vt:lpstr>P205Visitor</vt:lpstr>
      <vt:lpstr>P206a_regular</vt:lpstr>
      <vt:lpstr>P206Accessible</vt:lpstr>
      <vt:lpstr>p206allocated</vt:lpstr>
      <vt:lpstr>P206B</vt:lpstr>
      <vt:lpstr>P206Loading</vt:lpstr>
      <vt:lpstr>P206Reserved</vt:lpstr>
      <vt:lpstr>P206S</vt:lpstr>
      <vt:lpstr>P206Service_Yard</vt:lpstr>
      <vt:lpstr>P206Total</vt:lpstr>
      <vt:lpstr>P206UC_Vehicle</vt:lpstr>
      <vt:lpstr>p206visitor</vt:lpstr>
      <vt:lpstr>P302A</vt:lpstr>
      <vt:lpstr>P302Accessible</vt:lpstr>
      <vt:lpstr>P302Allocated</vt:lpstr>
      <vt:lpstr>P302B</vt:lpstr>
      <vt:lpstr>P302Loading</vt:lpstr>
      <vt:lpstr>P302Reserved</vt:lpstr>
      <vt:lpstr>P302S</vt:lpstr>
      <vt:lpstr>P302Service_Yard</vt:lpstr>
      <vt:lpstr>P302Total</vt:lpstr>
      <vt:lpstr>P302UC_Vehicle</vt:lpstr>
      <vt:lpstr>P302Visitor</vt:lpstr>
      <vt:lpstr>P303A</vt:lpstr>
      <vt:lpstr>P303Accessible</vt:lpstr>
      <vt:lpstr>P303Allocated</vt:lpstr>
      <vt:lpstr>P303B</vt:lpstr>
      <vt:lpstr>P303Loading</vt:lpstr>
      <vt:lpstr>P303Reserved</vt:lpstr>
      <vt:lpstr>P303S</vt:lpstr>
      <vt:lpstr>P303Service_Yard</vt:lpstr>
      <vt:lpstr>P303Total</vt:lpstr>
      <vt:lpstr>P303UC_Vehicle</vt:lpstr>
      <vt:lpstr>P303Visitor</vt:lpstr>
      <vt:lpstr>P304A</vt:lpstr>
      <vt:lpstr>P304Accessible</vt:lpstr>
      <vt:lpstr>P304Allocated</vt:lpstr>
      <vt:lpstr>P304B</vt:lpstr>
      <vt:lpstr>P304Loading</vt:lpstr>
      <vt:lpstr>P304Reserved</vt:lpstr>
      <vt:lpstr>P304S</vt:lpstr>
      <vt:lpstr>P304Service_Yard</vt:lpstr>
      <vt:lpstr>P304Total</vt:lpstr>
      <vt:lpstr>P304UC_Vehicle</vt:lpstr>
      <vt:lpstr>P304Visitor</vt:lpstr>
      <vt:lpstr>P306A</vt:lpstr>
      <vt:lpstr>P306Accessible</vt:lpstr>
      <vt:lpstr>P306Allocated</vt:lpstr>
      <vt:lpstr>P306B</vt:lpstr>
      <vt:lpstr>P306Loading</vt:lpstr>
      <vt:lpstr>P306Reserved</vt:lpstr>
      <vt:lpstr>P306S</vt:lpstr>
      <vt:lpstr>P306Service_Yard</vt:lpstr>
      <vt:lpstr>P306Total</vt:lpstr>
      <vt:lpstr>P306UC_Vehicle</vt:lpstr>
      <vt:lpstr>P306Visitor</vt:lpstr>
      <vt:lpstr>P308A</vt:lpstr>
      <vt:lpstr>P308Accessible</vt:lpstr>
      <vt:lpstr>P308Allocated</vt:lpstr>
      <vt:lpstr>P308B</vt:lpstr>
      <vt:lpstr>P308Loading</vt:lpstr>
      <vt:lpstr>P308Reserved</vt:lpstr>
      <vt:lpstr>P308S</vt:lpstr>
      <vt:lpstr>P308Service_Yard</vt:lpstr>
      <vt:lpstr>P308Total</vt:lpstr>
      <vt:lpstr>P308UC_Vehicle</vt:lpstr>
      <vt:lpstr>P308Visitor</vt:lpstr>
      <vt:lpstr>P309A</vt:lpstr>
      <vt:lpstr>P309Accessible</vt:lpstr>
      <vt:lpstr>P309Allocated</vt:lpstr>
      <vt:lpstr>P309B</vt:lpstr>
      <vt:lpstr>P309Loading</vt:lpstr>
      <vt:lpstr>P309Reserved</vt:lpstr>
      <vt:lpstr>P309S</vt:lpstr>
      <vt:lpstr>P309Service_Yard</vt:lpstr>
      <vt:lpstr>P309Total</vt:lpstr>
      <vt:lpstr>P309UC_Vehicle</vt:lpstr>
      <vt:lpstr>P309Visitor</vt:lpstr>
      <vt:lpstr>P310A</vt:lpstr>
      <vt:lpstr>P310Accessible</vt:lpstr>
      <vt:lpstr>P310Allocated</vt:lpstr>
      <vt:lpstr>P310B</vt:lpstr>
      <vt:lpstr>P310Loading</vt:lpstr>
      <vt:lpstr>P310Reserved</vt:lpstr>
      <vt:lpstr>P310S</vt:lpstr>
      <vt:lpstr>P310Service_Yard</vt:lpstr>
      <vt:lpstr>P310Total</vt:lpstr>
      <vt:lpstr>P310UC_Vehicle</vt:lpstr>
      <vt:lpstr>P310Visitor</vt:lpstr>
      <vt:lpstr>P414A</vt:lpstr>
      <vt:lpstr>P414Accessible</vt:lpstr>
      <vt:lpstr>P414Allocated</vt:lpstr>
      <vt:lpstr>P414B</vt:lpstr>
      <vt:lpstr>P414Loading</vt:lpstr>
      <vt:lpstr>P414Reserved</vt:lpstr>
      <vt:lpstr>P414S</vt:lpstr>
      <vt:lpstr>P414Service_Yard</vt:lpstr>
      <vt:lpstr>P414Total</vt:lpstr>
      <vt:lpstr>P414UC_Vehicle</vt:lpstr>
      <vt:lpstr>P414Visitor</vt:lpstr>
      <vt:lpstr>'By Lot'!Print_Area</vt:lpstr>
      <vt:lpstr>'By Structure'!Print_Area</vt:lpstr>
      <vt:lpstr>'Key1 Locations, Areas, Lots...'!Print_Area</vt:lpstr>
      <vt:lpstr>Allocated!Print_Titles</vt:lpstr>
      <vt:lpstr>'By Area'!Print_Titles</vt:lpstr>
      <vt:lpstr>'By Lot'!Print_Titles</vt:lpstr>
      <vt:lpstr>'By Neighborhood'!Print_Titles</vt:lpstr>
      <vt:lpstr>'By Structure'!Print_Titles</vt:lpstr>
      <vt:lpstr>ScholarsB3A</vt:lpstr>
      <vt:lpstr>ScholarsB3ada</vt:lpstr>
      <vt:lpstr>ScholarsB3allocated</vt:lpstr>
      <vt:lpstr>ScholarsB3B</vt:lpstr>
      <vt:lpstr>ScholarsB3Loading</vt:lpstr>
      <vt:lpstr>ScholarsB3reserved</vt:lpstr>
      <vt:lpstr>ScholarsB3S</vt:lpstr>
      <vt:lpstr>ScholarsB3sy</vt:lpstr>
      <vt:lpstr>ScholarsB3total</vt:lpstr>
      <vt:lpstr>ScholarsB3uc</vt:lpstr>
      <vt:lpstr>ScholarsB3visitor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Dizon, Kristina</dc:creator>
  <cp:keywords/>
  <dc:description/>
  <cp:lastModifiedBy>Sandra E Chavez-martinez</cp:lastModifiedBy>
  <cp:revision/>
  <cp:lastPrinted>2021-07-19T21:45:19Z</cp:lastPrinted>
  <dcterms:created xsi:type="dcterms:W3CDTF">2019-12-20T00:51:09Z</dcterms:created>
  <dcterms:modified xsi:type="dcterms:W3CDTF">2021-12-03T19:22:28Z</dcterms:modified>
  <cp:category/>
  <cp:contentStatus/>
</cp:coreProperties>
</file>