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365791EA-9875-4E91-B62D-A73BBDF1AFB7}" xr6:coauthVersionLast="36" xr6:coauthVersionMax="36" xr10:uidLastSave="{00000000-0000-0000-0000-000000000000}"/>
  <bookViews>
    <workbookView xWindow="0" yWindow="0" windowWidth="15710" windowHeight="6260" firstSheet="2" activeTab="3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6" r:id="rId6"/>
    <sheet name="Osler" sheetId="7" state="hidden" r:id="rId7"/>
    <sheet name="Closed" sheetId="8" r:id="rId8"/>
    <sheet name="Visitor" sheetId="9" r:id="rId9"/>
    <sheet name="Allocated" sheetId="11" r:id="rId10"/>
    <sheet name="Schedule" sheetId="12" r:id="rId11"/>
    <sheet name="Key" sheetId="10" r:id="rId12"/>
  </sheets>
  <definedNames>
    <definedName name="_xlnm.Print_Area" localSheetId="4">'By Lot'!$A$1:$P$3336</definedName>
    <definedName name="_xlnm.Print_Titles" localSheetId="9">Allocated!$1:$6</definedName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  <definedName name="_xlnm.Print_Titles" localSheetId="5">'By Structure'!$1:$6</definedName>
    <definedName name="_xlnm.Print_Titles" localSheetId="10">Schedule!$A:$B</definedName>
  </definedNames>
  <calcPr calcId="191029"/>
  <extLst>
    <ext uri="GoogleSheetsCustomDataVersion1">
      <go:sheetsCustomData xmlns:go="http://customooxmlschemas.google.com/" r:id="rId16" roundtripDataSignature="AMtx7mjUgYHsWYTl3vTT7pkhQPisNB9gsg=="/>
    </ext>
  </extLst>
</workbook>
</file>

<file path=xl/calcChain.xml><?xml version="1.0" encoding="utf-8"?>
<calcChain xmlns="http://schemas.openxmlformats.org/spreadsheetml/2006/main">
  <c r="M229" i="4" l="1"/>
  <c r="L229" i="4"/>
  <c r="K229" i="4"/>
  <c r="J229" i="4"/>
  <c r="I229" i="4"/>
  <c r="H229" i="4"/>
  <c r="G229" i="4"/>
  <c r="F229" i="4"/>
  <c r="E229" i="4"/>
  <c r="D229" i="4"/>
  <c r="C229" i="4"/>
  <c r="M220" i="4" l="1"/>
  <c r="L220" i="4"/>
  <c r="K220" i="4"/>
  <c r="J220" i="4"/>
  <c r="I220" i="4"/>
  <c r="H220" i="4"/>
  <c r="G220" i="4"/>
  <c r="F220" i="4"/>
  <c r="E220" i="4"/>
  <c r="D220" i="4"/>
  <c r="C220" i="4"/>
  <c r="M219" i="4"/>
  <c r="L219" i="4"/>
  <c r="K219" i="4"/>
  <c r="J219" i="4"/>
  <c r="I219" i="4"/>
  <c r="H219" i="4"/>
  <c r="G219" i="4"/>
  <c r="F219" i="4"/>
  <c r="E219" i="4"/>
  <c r="D219" i="4"/>
  <c r="C219" i="4"/>
  <c r="M215" i="4"/>
  <c r="L215" i="4"/>
  <c r="K215" i="4"/>
  <c r="J215" i="4"/>
  <c r="I215" i="4"/>
  <c r="H215" i="4"/>
  <c r="G215" i="4"/>
  <c r="F215" i="4"/>
  <c r="E215" i="4"/>
  <c r="D215" i="4"/>
  <c r="C215" i="4"/>
  <c r="C134" i="4" l="1"/>
  <c r="D134" i="4"/>
  <c r="E134" i="4"/>
  <c r="F134" i="4"/>
  <c r="G134" i="4"/>
  <c r="H134" i="4"/>
  <c r="I134" i="4"/>
  <c r="J134" i="4"/>
  <c r="K134" i="4"/>
  <c r="L134" i="4"/>
  <c r="M134" i="4"/>
  <c r="M85" i="4"/>
  <c r="L85" i="4"/>
  <c r="K85" i="4"/>
  <c r="J85" i="4"/>
  <c r="I85" i="4"/>
  <c r="H85" i="4"/>
  <c r="G85" i="4"/>
  <c r="F85" i="4"/>
  <c r="E85" i="4"/>
  <c r="D85" i="4"/>
  <c r="O452" i="5" l="1"/>
  <c r="P452" i="5" s="1"/>
  <c r="N452" i="5"/>
  <c r="N1888" i="5"/>
  <c r="O1888" i="5" s="1"/>
  <c r="P1888" i="5" s="1"/>
  <c r="N1773" i="5"/>
  <c r="O1773" i="5" s="1"/>
  <c r="P1773" i="5" s="1"/>
  <c r="A1" i="10" l="1"/>
  <c r="L21" i="8"/>
  <c r="K21" i="8"/>
  <c r="J21" i="8"/>
  <c r="I21" i="8"/>
  <c r="H21" i="8"/>
  <c r="G21" i="8"/>
  <c r="F21" i="8"/>
  <c r="E21" i="8"/>
  <c r="D21" i="8"/>
  <c r="C21" i="8"/>
  <c r="M104" i="7"/>
  <c r="L104" i="7"/>
  <c r="K104" i="7"/>
  <c r="J104" i="7"/>
  <c r="G104" i="7"/>
  <c r="F104" i="7"/>
  <c r="E104" i="7"/>
  <c r="C104" i="7"/>
  <c r="N101" i="7"/>
  <c r="O101" i="7" s="1"/>
  <c r="P101" i="7" s="1"/>
  <c r="N100" i="7"/>
  <c r="O100" i="7" s="1"/>
  <c r="P100" i="7" s="1"/>
  <c r="O94" i="7"/>
  <c r="P94" i="7" s="1"/>
  <c r="N94" i="7"/>
  <c r="I89" i="7"/>
  <c r="I104" i="7" s="1"/>
  <c r="H89" i="7"/>
  <c r="G89" i="7"/>
  <c r="F89" i="7"/>
  <c r="F8" i="7" s="1"/>
  <c r="E89" i="7"/>
  <c r="D89" i="7"/>
  <c r="D104" i="7" s="1"/>
  <c r="M87" i="7"/>
  <c r="K87" i="7"/>
  <c r="H87" i="7"/>
  <c r="G87" i="7"/>
  <c r="F87" i="7"/>
  <c r="E87" i="7"/>
  <c r="C87" i="7"/>
  <c r="N84" i="7"/>
  <c r="O84" i="7" s="1"/>
  <c r="P84" i="7" s="1"/>
  <c r="N83" i="7"/>
  <c r="O83" i="7" s="1"/>
  <c r="P83" i="7" s="1"/>
  <c r="O77" i="7"/>
  <c r="P77" i="7" s="1"/>
  <c r="N77" i="7"/>
  <c r="M72" i="7"/>
  <c r="L72" i="7"/>
  <c r="K72" i="7"/>
  <c r="J72" i="7"/>
  <c r="J87" i="7" s="1"/>
  <c r="I72" i="7"/>
  <c r="F72" i="7"/>
  <c r="E72" i="7"/>
  <c r="E8" i="7" s="1"/>
  <c r="D72" i="7"/>
  <c r="N72" i="7" s="1"/>
  <c r="O72" i="7" s="1"/>
  <c r="P72" i="7" s="1"/>
  <c r="M71" i="7"/>
  <c r="L71" i="7"/>
  <c r="L87" i="7" s="1"/>
  <c r="J71" i="7"/>
  <c r="I71" i="7"/>
  <c r="I7" i="7" s="1"/>
  <c r="F71" i="7"/>
  <c r="E71" i="7"/>
  <c r="D71" i="7"/>
  <c r="K70" i="7"/>
  <c r="J70" i="7"/>
  <c r="I70" i="7"/>
  <c r="H70" i="7"/>
  <c r="G70" i="7"/>
  <c r="C70" i="7"/>
  <c r="O67" i="7"/>
  <c r="P67" i="7" s="1"/>
  <c r="N67" i="7"/>
  <c r="P66" i="7"/>
  <c r="O66" i="7"/>
  <c r="N66" i="7"/>
  <c r="N62" i="7"/>
  <c r="O62" i="7" s="1"/>
  <c r="P62" i="7" s="1"/>
  <c r="P61" i="7"/>
  <c r="N61" i="7"/>
  <c r="O61" i="7" s="1"/>
  <c r="F61" i="7"/>
  <c r="F70" i="7" s="1"/>
  <c r="E61" i="7"/>
  <c r="E70" i="7" s="1"/>
  <c r="D61" i="7"/>
  <c r="N60" i="7"/>
  <c r="O60" i="7" s="1"/>
  <c r="P60" i="7" s="1"/>
  <c r="O57" i="7"/>
  <c r="P57" i="7" s="1"/>
  <c r="N57" i="7"/>
  <c r="M55" i="7"/>
  <c r="M70" i="7" s="1"/>
  <c r="L55" i="7"/>
  <c r="I55" i="7"/>
  <c r="D55" i="7"/>
  <c r="D70" i="7" s="1"/>
  <c r="L53" i="7"/>
  <c r="K53" i="7"/>
  <c r="D53" i="7"/>
  <c r="C53" i="7"/>
  <c r="O50" i="7"/>
  <c r="P50" i="7" s="1"/>
  <c r="N50" i="7"/>
  <c r="O49" i="7"/>
  <c r="P49" i="7" s="1"/>
  <c r="N49" i="7"/>
  <c r="O44" i="7"/>
  <c r="P44" i="7" s="1"/>
  <c r="N44" i="7"/>
  <c r="H43" i="7"/>
  <c r="G43" i="7"/>
  <c r="F43" i="7"/>
  <c r="F12" i="7" s="1"/>
  <c r="E43" i="7"/>
  <c r="D43" i="7"/>
  <c r="M39" i="7"/>
  <c r="M53" i="7" s="1"/>
  <c r="J39" i="7"/>
  <c r="J53" i="7" s="1"/>
  <c r="I39" i="7"/>
  <c r="I53" i="7" s="1"/>
  <c r="H39" i="7"/>
  <c r="H53" i="7" s="1"/>
  <c r="G39" i="7"/>
  <c r="G53" i="7" s="1"/>
  <c r="F39" i="7"/>
  <c r="N39" i="7" s="1"/>
  <c r="O39" i="7" s="1"/>
  <c r="P39" i="7" s="1"/>
  <c r="L36" i="7"/>
  <c r="K36" i="7"/>
  <c r="J36" i="7"/>
  <c r="I36" i="7"/>
  <c r="D36" i="7"/>
  <c r="C36" i="7"/>
  <c r="O34" i="7"/>
  <c r="P34" i="7" s="1"/>
  <c r="N34" i="7"/>
  <c r="O33" i="7"/>
  <c r="P33" i="7" s="1"/>
  <c r="N33" i="7"/>
  <c r="O32" i="7"/>
  <c r="P32" i="7" s="1"/>
  <c r="N32" i="7"/>
  <c r="P26" i="7"/>
  <c r="O26" i="7"/>
  <c r="N26" i="7"/>
  <c r="M22" i="7"/>
  <c r="L22" i="7"/>
  <c r="K22" i="7"/>
  <c r="K9" i="7" s="1"/>
  <c r="J22" i="7"/>
  <c r="J9" i="7" s="1"/>
  <c r="I22" i="7"/>
  <c r="H22" i="7"/>
  <c r="H36" i="7" s="1"/>
  <c r="G22" i="7"/>
  <c r="G36" i="7" s="1"/>
  <c r="F22" i="7"/>
  <c r="F36" i="7" s="1"/>
  <c r="E22" i="7"/>
  <c r="D22" i="7"/>
  <c r="M15" i="7"/>
  <c r="L15" i="7"/>
  <c r="K15" i="7"/>
  <c r="J15" i="7"/>
  <c r="I15" i="7"/>
  <c r="H15" i="7"/>
  <c r="G15" i="7"/>
  <c r="F15" i="7"/>
  <c r="E15" i="7"/>
  <c r="D15" i="7"/>
  <c r="C15" i="7"/>
  <c r="M14" i="7"/>
  <c r="L14" i="7"/>
  <c r="K14" i="7"/>
  <c r="J14" i="7"/>
  <c r="I14" i="7"/>
  <c r="H14" i="7"/>
  <c r="G14" i="7"/>
  <c r="F14" i="7"/>
  <c r="E14" i="7"/>
  <c r="D14" i="7"/>
  <c r="C14" i="7"/>
  <c r="M13" i="7"/>
  <c r="L13" i="7"/>
  <c r="K13" i="7"/>
  <c r="J13" i="7"/>
  <c r="I13" i="7"/>
  <c r="H13" i="7"/>
  <c r="G13" i="7"/>
  <c r="F13" i="7"/>
  <c r="E13" i="7"/>
  <c r="D13" i="7"/>
  <c r="C13" i="7"/>
  <c r="M12" i="7"/>
  <c r="L12" i="7"/>
  <c r="K12" i="7"/>
  <c r="J12" i="7"/>
  <c r="I12" i="7"/>
  <c r="H12" i="7"/>
  <c r="G12" i="7"/>
  <c r="C12" i="7"/>
  <c r="M10" i="7"/>
  <c r="L10" i="7"/>
  <c r="K10" i="7"/>
  <c r="J10" i="7"/>
  <c r="I10" i="7"/>
  <c r="H10" i="7"/>
  <c r="G10" i="7"/>
  <c r="F10" i="7"/>
  <c r="E10" i="7"/>
  <c r="D10" i="7"/>
  <c r="C10" i="7"/>
  <c r="L9" i="7"/>
  <c r="G9" i="7"/>
  <c r="F9" i="7"/>
  <c r="D9" i="7"/>
  <c r="C9" i="7"/>
  <c r="K8" i="7"/>
  <c r="J8" i="7"/>
  <c r="I8" i="7"/>
  <c r="G8" i="7"/>
  <c r="C8" i="7"/>
  <c r="M7" i="7"/>
  <c r="L7" i="7"/>
  <c r="K7" i="7"/>
  <c r="J7" i="7"/>
  <c r="H7" i="7"/>
  <c r="G7" i="7"/>
  <c r="F7" i="7"/>
  <c r="E7" i="7"/>
  <c r="C7" i="7"/>
  <c r="M145" i="6"/>
  <c r="L145" i="6"/>
  <c r="K145" i="6"/>
  <c r="J145" i="6"/>
  <c r="I145" i="6"/>
  <c r="H145" i="6"/>
  <c r="G145" i="6"/>
  <c r="F145" i="6"/>
  <c r="E145" i="6"/>
  <c r="D145" i="6"/>
  <c r="C145" i="6"/>
  <c r="M144" i="6"/>
  <c r="L144" i="6"/>
  <c r="K144" i="6"/>
  <c r="J144" i="6"/>
  <c r="F144" i="6"/>
  <c r="E144" i="6"/>
  <c r="D144" i="6"/>
  <c r="C144" i="6"/>
  <c r="M143" i="6"/>
  <c r="L143" i="6"/>
  <c r="K143" i="6"/>
  <c r="J143" i="6"/>
  <c r="I143" i="6"/>
  <c r="H143" i="6"/>
  <c r="G143" i="6"/>
  <c r="F143" i="6"/>
  <c r="E143" i="6"/>
  <c r="D143" i="6"/>
  <c r="N143" i="6" s="1"/>
  <c r="O143" i="6" s="1"/>
  <c r="P143" i="6" s="1"/>
  <c r="C143" i="6"/>
  <c r="I140" i="6"/>
  <c r="H140" i="6"/>
  <c r="G140" i="6"/>
  <c r="F140" i="6"/>
  <c r="C140" i="6"/>
  <c r="L139" i="6"/>
  <c r="I139" i="6"/>
  <c r="H139" i="6"/>
  <c r="G139" i="6"/>
  <c r="F139" i="6"/>
  <c r="E139" i="6"/>
  <c r="D139" i="6"/>
  <c r="C139" i="6"/>
  <c r="M134" i="6"/>
  <c r="L134" i="6"/>
  <c r="K134" i="6"/>
  <c r="J134" i="6"/>
  <c r="I134" i="6"/>
  <c r="H134" i="6"/>
  <c r="G134" i="6"/>
  <c r="F134" i="6"/>
  <c r="N134" i="6" s="1"/>
  <c r="O134" i="6" s="1"/>
  <c r="P134" i="6" s="1"/>
  <c r="E134" i="6"/>
  <c r="D134" i="6"/>
  <c r="C134" i="6"/>
  <c r="M133" i="6"/>
  <c r="L133" i="6"/>
  <c r="K133" i="6"/>
  <c r="J133" i="6"/>
  <c r="I133" i="6"/>
  <c r="H133" i="6"/>
  <c r="G133" i="6"/>
  <c r="F133" i="6"/>
  <c r="E133" i="6"/>
  <c r="D133" i="6"/>
  <c r="C133" i="6"/>
  <c r="C129" i="6"/>
  <c r="C138" i="6" s="1"/>
  <c r="M123" i="6"/>
  <c r="L123" i="6"/>
  <c r="K123" i="6"/>
  <c r="J123" i="6"/>
  <c r="I123" i="6"/>
  <c r="H123" i="6"/>
  <c r="G123" i="6"/>
  <c r="F123" i="6"/>
  <c r="E123" i="6"/>
  <c r="N123" i="6" s="1"/>
  <c r="O123" i="6" s="1"/>
  <c r="P123" i="6" s="1"/>
  <c r="D123" i="6"/>
  <c r="C123" i="6"/>
  <c r="M122" i="6"/>
  <c r="L122" i="6"/>
  <c r="K122" i="6"/>
  <c r="J122" i="6"/>
  <c r="I122" i="6"/>
  <c r="H122" i="6"/>
  <c r="G122" i="6"/>
  <c r="F122" i="6"/>
  <c r="E122" i="6"/>
  <c r="D122" i="6"/>
  <c r="N122" i="6" s="1"/>
  <c r="C122" i="6"/>
  <c r="M121" i="6"/>
  <c r="L121" i="6"/>
  <c r="K121" i="6"/>
  <c r="J121" i="6"/>
  <c r="I121" i="6"/>
  <c r="H121" i="6"/>
  <c r="G121" i="6"/>
  <c r="F121" i="6"/>
  <c r="E121" i="6"/>
  <c r="D121" i="6"/>
  <c r="C121" i="6"/>
  <c r="K120" i="6"/>
  <c r="H120" i="6"/>
  <c r="G120" i="6"/>
  <c r="F120" i="6"/>
  <c r="E120" i="6"/>
  <c r="D120" i="6"/>
  <c r="C120" i="6"/>
  <c r="K117" i="6"/>
  <c r="J117" i="6"/>
  <c r="E117" i="6"/>
  <c r="D117" i="6"/>
  <c r="C117" i="6"/>
  <c r="C127" i="6" s="1"/>
  <c r="M112" i="6"/>
  <c r="L112" i="6"/>
  <c r="K112" i="6"/>
  <c r="J112" i="6"/>
  <c r="I112" i="6"/>
  <c r="H112" i="6"/>
  <c r="G112" i="6"/>
  <c r="F112" i="6"/>
  <c r="E112" i="6"/>
  <c r="D112" i="6"/>
  <c r="C112" i="6"/>
  <c r="M111" i="6"/>
  <c r="L111" i="6"/>
  <c r="K111" i="6"/>
  <c r="J111" i="6"/>
  <c r="H111" i="6"/>
  <c r="G111" i="6"/>
  <c r="F111" i="6"/>
  <c r="E111" i="6"/>
  <c r="D111" i="6"/>
  <c r="C11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D100" i="6"/>
  <c r="C100" i="6"/>
  <c r="M99" i="6"/>
  <c r="L99" i="6"/>
  <c r="K99" i="6"/>
  <c r="J99" i="6"/>
  <c r="I99" i="6"/>
  <c r="H99" i="6"/>
  <c r="G99" i="6"/>
  <c r="F99" i="6"/>
  <c r="N99" i="6" s="1"/>
  <c r="O99" i="6" s="1"/>
  <c r="P99" i="6" s="1"/>
  <c r="E99" i="6"/>
  <c r="D99" i="6"/>
  <c r="C99" i="6"/>
  <c r="C98" i="6"/>
  <c r="C96" i="6"/>
  <c r="M95" i="6"/>
  <c r="L95" i="6"/>
  <c r="K95" i="6"/>
  <c r="J95" i="6"/>
  <c r="I95" i="6"/>
  <c r="H95" i="6"/>
  <c r="G95" i="6"/>
  <c r="F95" i="6"/>
  <c r="E95" i="6"/>
  <c r="D95" i="6"/>
  <c r="C95" i="6"/>
  <c r="M90" i="6"/>
  <c r="K90" i="6"/>
  <c r="J90" i="6"/>
  <c r="H90" i="6"/>
  <c r="G90" i="6"/>
  <c r="F90" i="6"/>
  <c r="E90" i="6"/>
  <c r="D90" i="6"/>
  <c r="C90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N88" i="6" s="1"/>
  <c r="E88" i="6"/>
  <c r="D88" i="6"/>
  <c r="C88" i="6"/>
  <c r="O88" i="6" s="1"/>
  <c r="P88" i="6" s="1"/>
  <c r="M84" i="6"/>
  <c r="L84" i="6"/>
  <c r="K84" i="6"/>
  <c r="J84" i="6"/>
  <c r="I84" i="6"/>
  <c r="H84" i="6"/>
  <c r="G84" i="6"/>
  <c r="F84" i="6"/>
  <c r="E84" i="6"/>
  <c r="D84" i="6"/>
  <c r="C84" i="6"/>
  <c r="M79" i="6"/>
  <c r="L79" i="6"/>
  <c r="K79" i="6"/>
  <c r="J79" i="6"/>
  <c r="I79" i="6"/>
  <c r="H79" i="6"/>
  <c r="G79" i="6"/>
  <c r="F79" i="6"/>
  <c r="N79" i="6" s="1"/>
  <c r="E79" i="6"/>
  <c r="D79" i="6"/>
  <c r="C79" i="6"/>
  <c r="M78" i="6"/>
  <c r="L78" i="6"/>
  <c r="K78" i="6"/>
  <c r="J78" i="6"/>
  <c r="I78" i="6"/>
  <c r="H78" i="6"/>
  <c r="G78" i="6"/>
  <c r="F78" i="6"/>
  <c r="N78" i="6" s="1"/>
  <c r="O78" i="6" s="1"/>
  <c r="P78" i="6" s="1"/>
  <c r="E78" i="6"/>
  <c r="D78" i="6"/>
  <c r="C78" i="6"/>
  <c r="M77" i="6"/>
  <c r="C77" i="6"/>
  <c r="M74" i="6"/>
  <c r="L74" i="6"/>
  <c r="K74" i="6"/>
  <c r="J74" i="6"/>
  <c r="I74" i="6"/>
  <c r="H74" i="6"/>
  <c r="G74" i="6"/>
  <c r="F74" i="6"/>
  <c r="E74" i="6"/>
  <c r="C74" i="6"/>
  <c r="C83" i="6" s="1"/>
  <c r="K73" i="6"/>
  <c r="J73" i="6"/>
  <c r="I73" i="6"/>
  <c r="H73" i="6"/>
  <c r="G73" i="6"/>
  <c r="F73" i="6"/>
  <c r="E73" i="6"/>
  <c r="D73" i="6"/>
  <c r="C73" i="6"/>
  <c r="M70" i="6"/>
  <c r="L70" i="6"/>
  <c r="K70" i="6"/>
  <c r="J70" i="6"/>
  <c r="I70" i="6"/>
  <c r="H70" i="6"/>
  <c r="G70" i="6"/>
  <c r="F70" i="6"/>
  <c r="N70" i="6" s="1"/>
  <c r="O70" i="6" s="1"/>
  <c r="P70" i="6" s="1"/>
  <c r="E70" i="6"/>
  <c r="D70" i="6"/>
  <c r="C70" i="6"/>
  <c r="M69" i="6"/>
  <c r="L69" i="6"/>
  <c r="K69" i="6"/>
  <c r="J69" i="6"/>
  <c r="I69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C68" i="6"/>
  <c r="M67" i="6"/>
  <c r="L67" i="6"/>
  <c r="K67" i="6"/>
  <c r="J67" i="6"/>
  <c r="I67" i="6"/>
  <c r="H67" i="6"/>
  <c r="G67" i="6"/>
  <c r="G72" i="6" s="1"/>
  <c r="F67" i="6"/>
  <c r="N67" i="6" s="1"/>
  <c r="O67" i="6" s="1"/>
  <c r="P67" i="6" s="1"/>
  <c r="E67" i="6"/>
  <c r="D67" i="6"/>
  <c r="C67" i="6"/>
  <c r="M65" i="6"/>
  <c r="L65" i="6"/>
  <c r="K65" i="6"/>
  <c r="J65" i="6"/>
  <c r="I65" i="6"/>
  <c r="H65" i="6"/>
  <c r="G65" i="6"/>
  <c r="F65" i="6"/>
  <c r="N65" i="6" s="1"/>
  <c r="O65" i="6" s="1"/>
  <c r="P65" i="6" s="1"/>
  <c r="E65" i="6"/>
  <c r="D65" i="6"/>
  <c r="C65" i="6"/>
  <c r="M64" i="6"/>
  <c r="L64" i="6"/>
  <c r="K64" i="6"/>
  <c r="J64" i="6"/>
  <c r="I64" i="6"/>
  <c r="H64" i="6"/>
  <c r="G64" i="6"/>
  <c r="F64" i="6"/>
  <c r="E64" i="6"/>
  <c r="D64" i="6"/>
  <c r="C64" i="6"/>
  <c r="M63" i="6"/>
  <c r="L63" i="6"/>
  <c r="K63" i="6"/>
  <c r="J63" i="6"/>
  <c r="I63" i="6"/>
  <c r="H63" i="6"/>
  <c r="G63" i="6"/>
  <c r="F63" i="6"/>
  <c r="E63" i="6"/>
  <c r="D63" i="6"/>
  <c r="C63" i="6"/>
  <c r="M62" i="6"/>
  <c r="L62" i="6"/>
  <c r="L72" i="6" s="1"/>
  <c r="K62" i="6"/>
  <c r="K72" i="6" s="1"/>
  <c r="J62" i="6"/>
  <c r="I62" i="6"/>
  <c r="H62" i="6"/>
  <c r="H72" i="6" s="1"/>
  <c r="G62" i="6"/>
  <c r="F62" i="6"/>
  <c r="N62" i="6" s="1"/>
  <c r="O62" i="6" s="1"/>
  <c r="P62" i="6" s="1"/>
  <c r="E62" i="6"/>
  <c r="D62" i="6"/>
  <c r="D72" i="6" s="1"/>
  <c r="C62" i="6"/>
  <c r="C72" i="6" s="1"/>
  <c r="M57" i="6"/>
  <c r="L57" i="6"/>
  <c r="K57" i="6"/>
  <c r="J57" i="6"/>
  <c r="I57" i="6"/>
  <c r="H57" i="6"/>
  <c r="G57" i="6"/>
  <c r="F57" i="6"/>
  <c r="E57" i="6"/>
  <c r="D57" i="6"/>
  <c r="N57" i="6" s="1"/>
  <c r="C57" i="6"/>
  <c r="M56" i="6"/>
  <c r="L56" i="6"/>
  <c r="K56" i="6"/>
  <c r="J56" i="6"/>
  <c r="I56" i="6"/>
  <c r="H56" i="6"/>
  <c r="G56" i="6"/>
  <c r="F56" i="6"/>
  <c r="E56" i="6"/>
  <c r="D56" i="6"/>
  <c r="C56" i="6"/>
  <c r="M55" i="6"/>
  <c r="L55" i="6"/>
  <c r="K55" i="6"/>
  <c r="J55" i="6"/>
  <c r="I55" i="6"/>
  <c r="H55" i="6"/>
  <c r="G55" i="6"/>
  <c r="F55" i="6"/>
  <c r="N55" i="6" s="1"/>
  <c r="O55" i="6" s="1"/>
  <c r="P55" i="6" s="1"/>
  <c r="E55" i="6"/>
  <c r="D55" i="6"/>
  <c r="C55" i="6"/>
  <c r="F54" i="6"/>
  <c r="D54" i="6"/>
  <c r="C54" i="6"/>
  <c r="H52" i="6"/>
  <c r="G52" i="6"/>
  <c r="F52" i="6"/>
  <c r="E52" i="6"/>
  <c r="D52" i="6"/>
  <c r="C52" i="6"/>
  <c r="M51" i="6"/>
  <c r="L51" i="6"/>
  <c r="E51" i="6"/>
  <c r="D51" i="6"/>
  <c r="C51" i="6"/>
  <c r="M49" i="6"/>
  <c r="L49" i="6"/>
  <c r="K49" i="6"/>
  <c r="J49" i="6"/>
  <c r="I49" i="6"/>
  <c r="H49" i="6"/>
  <c r="G49" i="6"/>
  <c r="F49" i="6"/>
  <c r="N49" i="6" s="1"/>
  <c r="O49" i="6" s="1"/>
  <c r="P49" i="6" s="1"/>
  <c r="E49" i="6"/>
  <c r="D49" i="6"/>
  <c r="C49" i="6"/>
  <c r="M48" i="6"/>
  <c r="L48" i="6"/>
  <c r="K48" i="6"/>
  <c r="J48" i="6"/>
  <c r="I48" i="6"/>
  <c r="H48" i="6"/>
  <c r="G48" i="6"/>
  <c r="F48" i="6"/>
  <c r="E48" i="6"/>
  <c r="D48" i="6"/>
  <c r="N48" i="6" s="1"/>
  <c r="C48" i="6"/>
  <c r="M46" i="6"/>
  <c r="L46" i="6"/>
  <c r="K46" i="6"/>
  <c r="J46" i="6"/>
  <c r="I46" i="6"/>
  <c r="H46" i="6"/>
  <c r="H50" i="6" s="1"/>
  <c r="G46" i="6"/>
  <c r="F46" i="6"/>
  <c r="E46" i="6"/>
  <c r="D46" i="6"/>
  <c r="C46" i="6"/>
  <c r="M45" i="6"/>
  <c r="L45" i="6"/>
  <c r="K45" i="6"/>
  <c r="J45" i="6"/>
  <c r="I45" i="6"/>
  <c r="H45" i="6"/>
  <c r="G45" i="6"/>
  <c r="G50" i="6" s="1"/>
  <c r="F45" i="6"/>
  <c r="N45" i="6" s="1"/>
  <c r="O45" i="6" s="1"/>
  <c r="P45" i="6" s="1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N44" i="6" s="1"/>
  <c r="O44" i="6" s="1"/>
  <c r="P44" i="6" s="1"/>
  <c r="C44" i="6"/>
  <c r="M42" i="6"/>
  <c r="L42" i="6"/>
  <c r="K42" i="6"/>
  <c r="J42" i="6"/>
  <c r="I42" i="6"/>
  <c r="H42" i="6"/>
  <c r="G42" i="6"/>
  <c r="F42" i="6"/>
  <c r="E42" i="6"/>
  <c r="D42" i="6"/>
  <c r="C42" i="6"/>
  <c r="M41" i="6"/>
  <c r="L41" i="6"/>
  <c r="K41" i="6"/>
  <c r="K50" i="6" s="1"/>
  <c r="J41" i="6"/>
  <c r="I41" i="6"/>
  <c r="H41" i="6"/>
  <c r="G41" i="6"/>
  <c r="F41" i="6"/>
  <c r="N41" i="6" s="1"/>
  <c r="E41" i="6"/>
  <c r="D41" i="6"/>
  <c r="C41" i="6"/>
  <c r="C50" i="6" s="1"/>
  <c r="M38" i="6"/>
  <c r="L38" i="6"/>
  <c r="K38" i="6"/>
  <c r="J38" i="6"/>
  <c r="I38" i="6"/>
  <c r="H38" i="6"/>
  <c r="G38" i="6"/>
  <c r="F38" i="6"/>
  <c r="E38" i="6"/>
  <c r="D38" i="6"/>
  <c r="N38" i="6" s="1"/>
  <c r="O38" i="6" s="1"/>
  <c r="P38" i="6" s="1"/>
  <c r="C38" i="6"/>
  <c r="M36" i="6"/>
  <c r="L36" i="6"/>
  <c r="K36" i="6"/>
  <c r="J36" i="6"/>
  <c r="I36" i="6"/>
  <c r="H36" i="6"/>
  <c r="G36" i="6"/>
  <c r="F36" i="6"/>
  <c r="E36" i="6"/>
  <c r="D36" i="6"/>
  <c r="N36" i="6" s="1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N34" i="6" s="1"/>
  <c r="O34" i="6" s="1"/>
  <c r="P34" i="6" s="1"/>
  <c r="C34" i="6"/>
  <c r="M33" i="6"/>
  <c r="L33" i="6"/>
  <c r="K33" i="6"/>
  <c r="J33" i="6"/>
  <c r="I33" i="6"/>
  <c r="H33" i="6"/>
  <c r="G33" i="6"/>
  <c r="F33" i="6"/>
  <c r="N33" i="6" s="1"/>
  <c r="O33" i="6" s="1"/>
  <c r="P33" i="6" s="1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N31" i="6" s="1"/>
  <c r="E31" i="6"/>
  <c r="D31" i="6"/>
  <c r="C31" i="6"/>
  <c r="C30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N24" i="6" s="1"/>
  <c r="E24" i="6"/>
  <c r="D24" i="6"/>
  <c r="C24" i="6"/>
  <c r="M23" i="6"/>
  <c r="L23" i="6"/>
  <c r="K23" i="6"/>
  <c r="J23" i="6"/>
  <c r="I23" i="6"/>
  <c r="H23" i="6"/>
  <c r="G23" i="6"/>
  <c r="F23" i="6"/>
  <c r="N23" i="6" s="1"/>
  <c r="O23" i="6" s="1"/>
  <c r="P23" i="6" s="1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N22" i="6" s="1"/>
  <c r="O22" i="6" s="1"/>
  <c r="P22" i="6" s="1"/>
  <c r="C22" i="6"/>
  <c r="M21" i="6"/>
  <c r="J21" i="6"/>
  <c r="G21" i="6"/>
  <c r="E21" i="6"/>
  <c r="D21" i="6"/>
  <c r="C20" i="6"/>
  <c r="H19" i="6"/>
  <c r="G19" i="6"/>
  <c r="F19" i="6"/>
  <c r="E19" i="6"/>
  <c r="D19" i="6"/>
  <c r="H18" i="6"/>
  <c r="F18" i="6"/>
  <c r="E18" i="6"/>
  <c r="C18" i="6"/>
  <c r="M14" i="6"/>
  <c r="L14" i="6"/>
  <c r="K14" i="6"/>
  <c r="J14" i="6"/>
  <c r="I14" i="6"/>
  <c r="H14" i="6"/>
  <c r="G14" i="6"/>
  <c r="F14" i="6"/>
  <c r="E14" i="6"/>
  <c r="D14" i="6"/>
  <c r="N14" i="6" s="1"/>
  <c r="C14" i="6"/>
  <c r="M13" i="6"/>
  <c r="L13" i="6"/>
  <c r="K13" i="6"/>
  <c r="J13" i="6"/>
  <c r="I13" i="6"/>
  <c r="H13" i="6"/>
  <c r="G13" i="6"/>
  <c r="F13" i="6"/>
  <c r="E13" i="6"/>
  <c r="C13" i="6"/>
  <c r="M12" i="6"/>
  <c r="L12" i="6"/>
  <c r="H12" i="6"/>
  <c r="G12" i="6"/>
  <c r="F12" i="6"/>
  <c r="E12" i="6"/>
  <c r="C12" i="6"/>
  <c r="M11" i="6"/>
  <c r="L11" i="6"/>
  <c r="K11" i="6"/>
  <c r="J11" i="6"/>
  <c r="I11" i="6"/>
  <c r="H11" i="6"/>
  <c r="G11" i="6"/>
  <c r="F11" i="6"/>
  <c r="E11" i="6"/>
  <c r="D11" i="6"/>
  <c r="C11" i="6"/>
  <c r="M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C9" i="6"/>
  <c r="C8" i="6"/>
  <c r="H7" i="6"/>
  <c r="G7" i="6"/>
  <c r="F7" i="6"/>
  <c r="E7" i="6"/>
  <c r="D7" i="6"/>
  <c r="C7" i="6"/>
  <c r="C3336" i="5"/>
  <c r="M3319" i="5"/>
  <c r="L3319" i="5"/>
  <c r="K3319" i="5"/>
  <c r="J3319" i="5"/>
  <c r="I3319" i="5"/>
  <c r="F3319" i="5"/>
  <c r="E3319" i="5"/>
  <c r="C3319" i="5"/>
  <c r="H3304" i="5"/>
  <c r="H3319" i="5" s="1"/>
  <c r="G3304" i="5"/>
  <c r="G3319" i="5" s="1"/>
  <c r="N3319" i="5" s="1"/>
  <c r="O3319" i="5" s="1"/>
  <c r="P3319" i="5" s="1"/>
  <c r="F3304" i="5"/>
  <c r="D3304" i="5"/>
  <c r="D3319" i="5" s="1"/>
  <c r="L3302" i="5"/>
  <c r="K3302" i="5"/>
  <c r="H3302" i="5"/>
  <c r="G3302" i="5"/>
  <c r="F3302" i="5"/>
  <c r="D3302" i="5"/>
  <c r="N3302" i="5" s="1"/>
  <c r="C3302" i="5"/>
  <c r="M3287" i="5"/>
  <c r="M3302" i="5" s="1"/>
  <c r="L3287" i="5"/>
  <c r="K3287" i="5"/>
  <c r="J3287" i="5"/>
  <c r="J3302" i="5" s="1"/>
  <c r="I3287" i="5"/>
  <c r="I3302" i="5" s="1"/>
  <c r="H3287" i="5"/>
  <c r="G3287" i="5"/>
  <c r="F3287" i="5"/>
  <c r="E3287" i="5"/>
  <c r="E3302" i="5" s="1"/>
  <c r="D3287" i="5"/>
  <c r="M3285" i="5"/>
  <c r="L3285" i="5"/>
  <c r="K3285" i="5"/>
  <c r="J3285" i="5"/>
  <c r="I3285" i="5"/>
  <c r="H3285" i="5"/>
  <c r="G3285" i="5"/>
  <c r="F3285" i="5"/>
  <c r="N3285" i="5" s="1"/>
  <c r="O3285" i="5" s="1"/>
  <c r="P3285" i="5" s="1"/>
  <c r="E3285" i="5"/>
  <c r="D3285" i="5"/>
  <c r="C3285" i="5"/>
  <c r="N3275" i="5"/>
  <c r="O3275" i="5" s="1"/>
  <c r="P3275" i="5" s="1"/>
  <c r="O3274" i="5"/>
  <c r="P3274" i="5" s="1"/>
  <c r="N3274" i="5"/>
  <c r="L3268" i="5"/>
  <c r="K3268" i="5"/>
  <c r="H3268" i="5"/>
  <c r="F3268" i="5"/>
  <c r="E3268" i="5"/>
  <c r="D3268" i="5"/>
  <c r="C3268" i="5"/>
  <c r="N3267" i="5"/>
  <c r="O3267" i="5" s="1"/>
  <c r="P3267" i="5" s="1"/>
  <c r="O3265" i="5"/>
  <c r="P3265" i="5" s="1"/>
  <c r="N3265" i="5"/>
  <c r="O3264" i="5"/>
  <c r="P3264" i="5" s="1"/>
  <c r="N3264" i="5"/>
  <c r="O3262" i="5"/>
  <c r="P3262" i="5" s="1"/>
  <c r="N3262" i="5"/>
  <c r="N3261" i="5"/>
  <c r="O3261" i="5" s="1"/>
  <c r="P3261" i="5" s="1"/>
  <c r="O3260" i="5"/>
  <c r="P3260" i="5" s="1"/>
  <c r="N3260" i="5"/>
  <c r="N3259" i="5"/>
  <c r="O3259" i="5" s="1"/>
  <c r="P3259" i="5" s="1"/>
  <c r="M3258" i="5"/>
  <c r="M3268" i="5" s="1"/>
  <c r="L3258" i="5"/>
  <c r="K3258" i="5"/>
  <c r="K3257" i="5"/>
  <c r="J3257" i="5"/>
  <c r="J3268" i="5" s="1"/>
  <c r="I3257" i="5"/>
  <c r="G3257" i="5"/>
  <c r="G3268" i="5" s="1"/>
  <c r="N3253" i="5"/>
  <c r="O3253" i="5" s="1"/>
  <c r="P3253" i="5" s="1"/>
  <c r="N3252" i="5"/>
  <c r="O3252" i="5" s="1"/>
  <c r="P3252" i="5" s="1"/>
  <c r="M3251" i="5"/>
  <c r="L3251" i="5"/>
  <c r="K3251" i="5"/>
  <c r="J3251" i="5"/>
  <c r="I3251" i="5"/>
  <c r="H3251" i="5"/>
  <c r="G3251" i="5"/>
  <c r="F3251" i="5"/>
  <c r="E3251" i="5"/>
  <c r="D3251" i="5"/>
  <c r="C3251" i="5"/>
  <c r="O3249" i="5"/>
  <c r="P3249" i="5" s="1"/>
  <c r="N3249" i="5"/>
  <c r="O3235" i="5"/>
  <c r="P3235" i="5" s="1"/>
  <c r="N3235" i="5"/>
  <c r="M3234" i="5"/>
  <c r="L3234" i="5"/>
  <c r="H3234" i="5"/>
  <c r="G3234" i="5"/>
  <c r="F3234" i="5"/>
  <c r="E3234" i="5"/>
  <c r="D3234" i="5"/>
  <c r="C3234" i="5"/>
  <c r="N3233" i="5"/>
  <c r="O3233" i="5" s="1"/>
  <c r="P3233" i="5" s="1"/>
  <c r="N3232" i="5"/>
  <c r="O3232" i="5" s="1"/>
  <c r="P3232" i="5" s="1"/>
  <c r="N3231" i="5"/>
  <c r="O3231" i="5" s="1"/>
  <c r="P3231" i="5" s="1"/>
  <c r="O3230" i="5"/>
  <c r="P3230" i="5" s="1"/>
  <c r="N3230" i="5"/>
  <c r="N3224" i="5"/>
  <c r="O3224" i="5" s="1"/>
  <c r="P3224" i="5" s="1"/>
  <c r="L3223" i="5"/>
  <c r="K3223" i="5"/>
  <c r="K3234" i="5" s="1"/>
  <c r="J3223" i="5"/>
  <c r="J3234" i="5" s="1"/>
  <c r="I3223" i="5"/>
  <c r="P3218" i="5"/>
  <c r="N3218" i="5"/>
  <c r="O3218" i="5" s="1"/>
  <c r="M3217" i="5"/>
  <c r="L3217" i="5"/>
  <c r="K3217" i="5"/>
  <c r="I3217" i="5"/>
  <c r="G3217" i="5"/>
  <c r="F3217" i="5"/>
  <c r="E3217" i="5"/>
  <c r="D3217" i="5"/>
  <c r="C3217" i="5"/>
  <c r="O3213" i="5"/>
  <c r="P3213" i="5" s="1"/>
  <c r="N3213" i="5"/>
  <c r="P3208" i="5"/>
  <c r="N3208" i="5"/>
  <c r="O3208" i="5" s="1"/>
  <c r="O3206" i="5"/>
  <c r="P3206" i="5" s="1"/>
  <c r="L3206" i="5"/>
  <c r="K3206" i="5"/>
  <c r="J3206" i="5"/>
  <c r="J3217" i="5" s="1"/>
  <c r="H3206" i="5"/>
  <c r="N3206" i="5" s="1"/>
  <c r="M3200" i="5"/>
  <c r="L3200" i="5"/>
  <c r="K3200" i="5"/>
  <c r="J3200" i="5"/>
  <c r="I3200" i="5"/>
  <c r="H3200" i="5"/>
  <c r="G3200" i="5"/>
  <c r="F3200" i="5"/>
  <c r="N3200" i="5" s="1"/>
  <c r="O3200" i="5" s="1"/>
  <c r="P3200" i="5" s="1"/>
  <c r="E3200" i="5"/>
  <c r="D3200" i="5"/>
  <c r="C3200" i="5"/>
  <c r="N3197" i="5"/>
  <c r="O3197" i="5" s="1"/>
  <c r="P3197" i="5" s="1"/>
  <c r="O3196" i="5"/>
  <c r="P3196" i="5" s="1"/>
  <c r="N3196" i="5"/>
  <c r="N3189" i="5"/>
  <c r="O3189" i="5" s="1"/>
  <c r="P3189" i="5" s="1"/>
  <c r="N3185" i="5"/>
  <c r="O3185" i="5" s="1"/>
  <c r="P3185" i="5" s="1"/>
  <c r="L3166" i="5"/>
  <c r="I3166" i="5"/>
  <c r="H3166" i="5"/>
  <c r="G3166" i="5"/>
  <c r="F3166" i="5"/>
  <c r="D3166" i="5"/>
  <c r="C3166" i="5"/>
  <c r="O3162" i="5"/>
  <c r="P3162" i="5" s="1"/>
  <c r="N3162" i="5"/>
  <c r="O3157" i="5"/>
  <c r="P3157" i="5" s="1"/>
  <c r="N3157" i="5"/>
  <c r="P3156" i="5"/>
  <c r="N3156" i="5"/>
  <c r="O3156" i="5" s="1"/>
  <c r="O3155" i="5"/>
  <c r="P3155" i="5" s="1"/>
  <c r="N3155" i="5"/>
  <c r="M3151" i="5"/>
  <c r="M140" i="6" s="1"/>
  <c r="L3151" i="5"/>
  <c r="L140" i="6" s="1"/>
  <c r="K3151" i="5"/>
  <c r="K140" i="6" s="1"/>
  <c r="J3151" i="5"/>
  <c r="J140" i="6" s="1"/>
  <c r="E3151" i="5"/>
  <c r="E140" i="6" s="1"/>
  <c r="E149" i="6" s="1"/>
  <c r="D3151" i="5"/>
  <c r="D140" i="6" s="1"/>
  <c r="N140" i="6" s="1"/>
  <c r="M3150" i="5"/>
  <c r="M139" i="6" s="1"/>
  <c r="M149" i="6" s="1"/>
  <c r="K3150" i="5"/>
  <c r="J3150" i="5"/>
  <c r="M3149" i="5"/>
  <c r="L3149" i="5"/>
  <c r="K3149" i="5"/>
  <c r="J3149" i="5"/>
  <c r="I3149" i="5"/>
  <c r="F3149" i="5"/>
  <c r="E3149" i="5"/>
  <c r="D3149" i="5"/>
  <c r="C3149" i="5"/>
  <c r="O3145" i="5"/>
  <c r="P3145" i="5" s="1"/>
  <c r="N3145" i="5"/>
  <c r="N3139" i="5"/>
  <c r="O3139" i="5" s="1"/>
  <c r="P3139" i="5" s="1"/>
  <c r="I3139" i="5"/>
  <c r="I144" i="6" s="1"/>
  <c r="H3139" i="5"/>
  <c r="H144" i="6" s="1"/>
  <c r="G3139" i="5"/>
  <c r="M3132" i="5"/>
  <c r="L3132" i="5"/>
  <c r="K3132" i="5"/>
  <c r="J3132" i="5"/>
  <c r="I3132" i="5"/>
  <c r="H3132" i="5"/>
  <c r="G3132" i="5"/>
  <c r="F3132" i="5"/>
  <c r="E3132" i="5"/>
  <c r="D3132" i="5"/>
  <c r="N3132" i="5" s="1"/>
  <c r="C3132" i="5"/>
  <c r="O3132" i="5" s="1"/>
  <c r="P3132" i="5" s="1"/>
  <c r="O3117" i="5"/>
  <c r="P3117" i="5" s="1"/>
  <c r="N3117" i="5"/>
  <c r="M3115" i="5"/>
  <c r="L3115" i="5"/>
  <c r="K3115" i="5"/>
  <c r="J3115" i="5"/>
  <c r="I3115" i="5"/>
  <c r="H3115" i="5"/>
  <c r="G3115" i="5"/>
  <c r="F3115" i="5"/>
  <c r="E3115" i="5"/>
  <c r="D3115" i="5"/>
  <c r="C3115" i="5"/>
  <c r="O3100" i="5"/>
  <c r="P3100" i="5" s="1"/>
  <c r="N3100" i="5"/>
  <c r="M3098" i="5"/>
  <c r="L3098" i="5"/>
  <c r="K3098" i="5"/>
  <c r="J3098" i="5"/>
  <c r="I3098" i="5"/>
  <c r="H3098" i="5"/>
  <c r="G3098" i="5"/>
  <c r="F3098" i="5"/>
  <c r="N3098" i="5" s="1"/>
  <c r="E3098" i="5"/>
  <c r="D3098" i="5"/>
  <c r="C3098" i="5"/>
  <c r="P3083" i="5"/>
  <c r="N3083" i="5"/>
  <c r="O3083" i="5" s="1"/>
  <c r="M3081" i="5"/>
  <c r="L3081" i="5"/>
  <c r="K3081" i="5"/>
  <c r="J3081" i="5"/>
  <c r="I3081" i="5"/>
  <c r="H3081" i="5"/>
  <c r="G3081" i="5"/>
  <c r="F3081" i="5"/>
  <c r="E3081" i="5"/>
  <c r="D3081" i="5"/>
  <c r="N3081" i="5" s="1"/>
  <c r="O3081" i="5" s="1"/>
  <c r="P3081" i="5" s="1"/>
  <c r="C3081" i="5"/>
  <c r="O3066" i="5"/>
  <c r="P3066" i="5" s="1"/>
  <c r="N3066" i="5"/>
  <c r="M3064" i="5"/>
  <c r="L3064" i="5"/>
  <c r="K3064" i="5"/>
  <c r="J3064" i="5"/>
  <c r="I3064" i="5"/>
  <c r="H3064" i="5"/>
  <c r="G3064" i="5"/>
  <c r="F3064" i="5"/>
  <c r="E3064" i="5"/>
  <c r="D3064" i="5"/>
  <c r="N3064" i="5" s="1"/>
  <c r="C3064" i="5"/>
  <c r="O3064" i="5" s="1"/>
  <c r="P3064" i="5" s="1"/>
  <c r="N3049" i="5"/>
  <c r="O3049" i="5" s="1"/>
  <c r="P3049" i="5" s="1"/>
  <c r="M3047" i="5"/>
  <c r="L3047" i="5"/>
  <c r="K3047" i="5"/>
  <c r="J3047" i="5"/>
  <c r="I3047" i="5"/>
  <c r="H3047" i="5"/>
  <c r="G3047" i="5"/>
  <c r="F3047" i="5"/>
  <c r="E3047" i="5"/>
  <c r="N3047" i="5" s="1"/>
  <c r="O3047" i="5" s="1"/>
  <c r="P3047" i="5" s="1"/>
  <c r="D3047" i="5"/>
  <c r="C3047" i="5"/>
  <c r="O3043" i="5"/>
  <c r="P3043" i="5" s="1"/>
  <c r="N3043" i="5"/>
  <c r="O3032" i="5"/>
  <c r="P3032" i="5" s="1"/>
  <c r="N3032" i="5"/>
  <c r="M3030" i="5"/>
  <c r="J3030" i="5"/>
  <c r="E3030" i="5"/>
  <c r="C3030" i="5"/>
  <c r="M3015" i="5"/>
  <c r="L3015" i="5"/>
  <c r="L3030" i="5" s="1"/>
  <c r="K3015" i="5"/>
  <c r="K3030" i="5" s="1"/>
  <c r="J3015" i="5"/>
  <c r="I3015" i="5"/>
  <c r="I3030" i="5" s="1"/>
  <c r="H3015" i="5"/>
  <c r="H3030" i="5" s="1"/>
  <c r="G3015" i="5"/>
  <c r="G3030" i="5" s="1"/>
  <c r="F3015" i="5"/>
  <c r="F3030" i="5" s="1"/>
  <c r="E3015" i="5"/>
  <c r="D3015" i="5"/>
  <c r="M3013" i="5"/>
  <c r="H3013" i="5"/>
  <c r="F3013" i="5"/>
  <c r="E3013" i="5"/>
  <c r="C3013" i="5"/>
  <c r="M2998" i="5"/>
  <c r="L2998" i="5"/>
  <c r="L3013" i="5" s="1"/>
  <c r="K2998" i="5"/>
  <c r="K3013" i="5" s="1"/>
  <c r="J2998" i="5"/>
  <c r="J3013" i="5" s="1"/>
  <c r="I2998" i="5"/>
  <c r="I3013" i="5" s="1"/>
  <c r="H2998" i="5"/>
  <c r="G2998" i="5"/>
  <c r="G3013" i="5" s="1"/>
  <c r="F2998" i="5"/>
  <c r="N2998" i="5" s="1"/>
  <c r="O2998" i="5" s="1"/>
  <c r="P2998" i="5" s="1"/>
  <c r="E2998" i="5"/>
  <c r="D2998" i="5"/>
  <c r="D3013" i="5" s="1"/>
  <c r="M2996" i="5"/>
  <c r="K2996" i="5"/>
  <c r="G2996" i="5"/>
  <c r="E2996" i="5"/>
  <c r="C2996" i="5"/>
  <c r="O2986" i="5"/>
  <c r="P2986" i="5" s="1"/>
  <c r="N2986" i="5"/>
  <c r="M2981" i="5"/>
  <c r="L2981" i="5"/>
  <c r="L2996" i="5" s="1"/>
  <c r="K2981" i="5"/>
  <c r="J2981" i="5"/>
  <c r="J2996" i="5" s="1"/>
  <c r="I2981" i="5"/>
  <c r="I2996" i="5" s="1"/>
  <c r="H2981" i="5"/>
  <c r="H2996" i="5" s="1"/>
  <c r="G2981" i="5"/>
  <c r="F2981" i="5"/>
  <c r="F2996" i="5" s="1"/>
  <c r="E2981" i="5"/>
  <c r="D2981" i="5"/>
  <c r="D2996" i="5" s="1"/>
  <c r="M2979" i="5"/>
  <c r="K2979" i="5"/>
  <c r="I2979" i="5"/>
  <c r="H2979" i="5"/>
  <c r="G2979" i="5"/>
  <c r="F2979" i="5"/>
  <c r="C2979" i="5"/>
  <c r="O2975" i="5"/>
  <c r="P2975" i="5" s="1"/>
  <c r="N2975" i="5"/>
  <c r="N2970" i="5"/>
  <c r="O2970" i="5" s="1"/>
  <c r="P2970" i="5" s="1"/>
  <c r="O2969" i="5"/>
  <c r="P2969" i="5" s="1"/>
  <c r="N2969" i="5"/>
  <c r="N2964" i="5"/>
  <c r="O2964" i="5" s="1"/>
  <c r="P2964" i="5" s="1"/>
  <c r="M2964" i="5"/>
  <c r="L2964" i="5"/>
  <c r="L2979" i="5" s="1"/>
  <c r="K2964" i="5"/>
  <c r="J2964" i="5"/>
  <c r="J2979" i="5" s="1"/>
  <c r="F2964" i="5"/>
  <c r="E2964" i="5"/>
  <c r="E2979" i="5" s="1"/>
  <c r="D2964" i="5"/>
  <c r="D2979" i="5" s="1"/>
  <c r="G2962" i="5"/>
  <c r="C2962" i="5"/>
  <c r="N2958" i="5"/>
  <c r="O2958" i="5" s="1"/>
  <c r="P2958" i="5" s="1"/>
  <c r="M2947" i="5"/>
  <c r="L2947" i="5"/>
  <c r="L129" i="6" s="1"/>
  <c r="L138" i="6" s="1"/>
  <c r="K2947" i="5"/>
  <c r="K129" i="6" s="1"/>
  <c r="K138" i="6" s="1"/>
  <c r="J2947" i="5"/>
  <c r="I2947" i="5"/>
  <c r="H2947" i="5"/>
  <c r="F2947" i="5"/>
  <c r="F129" i="6" s="1"/>
  <c r="F138" i="6" s="1"/>
  <c r="E2947" i="5"/>
  <c r="D2947" i="5"/>
  <c r="D129" i="6" s="1"/>
  <c r="L2945" i="5"/>
  <c r="K2945" i="5"/>
  <c r="J2945" i="5"/>
  <c r="I2945" i="5"/>
  <c r="H2945" i="5"/>
  <c r="E2945" i="5"/>
  <c r="D2945" i="5"/>
  <c r="C2945" i="5"/>
  <c r="N2941" i="5"/>
  <c r="O2941" i="5" s="1"/>
  <c r="P2941" i="5" s="1"/>
  <c r="M2929" i="5"/>
  <c r="M2945" i="5" s="1"/>
  <c r="L2929" i="5"/>
  <c r="I2929" i="5"/>
  <c r="I117" i="6" s="1"/>
  <c r="H2929" i="5"/>
  <c r="H117" i="6" s="1"/>
  <c r="H127" i="6" s="1"/>
  <c r="G2929" i="5"/>
  <c r="G117" i="6" s="1"/>
  <c r="G127" i="6" s="1"/>
  <c r="F2929" i="5"/>
  <c r="F117" i="6" s="1"/>
  <c r="M2928" i="5"/>
  <c r="K2928" i="5"/>
  <c r="J2928" i="5"/>
  <c r="I2928" i="5"/>
  <c r="H2928" i="5"/>
  <c r="G2928" i="5"/>
  <c r="F2928" i="5"/>
  <c r="E2928" i="5"/>
  <c r="D2928" i="5"/>
  <c r="C2928" i="5"/>
  <c r="M2912" i="5"/>
  <c r="L2912" i="5"/>
  <c r="M2911" i="5"/>
  <c r="L2911" i="5"/>
  <c r="K2911" i="5"/>
  <c r="J2911" i="5"/>
  <c r="I2911" i="5"/>
  <c r="H2911" i="5"/>
  <c r="G2911" i="5"/>
  <c r="F2911" i="5"/>
  <c r="E2911" i="5"/>
  <c r="D2911" i="5"/>
  <c r="N2911" i="5" s="1"/>
  <c r="C2911" i="5"/>
  <c r="O2911" i="5" s="1"/>
  <c r="P2911" i="5" s="1"/>
  <c r="O2907" i="5"/>
  <c r="P2907" i="5" s="1"/>
  <c r="N2907" i="5"/>
  <c r="N2895" i="5"/>
  <c r="O2895" i="5" s="1"/>
  <c r="P2895" i="5" s="1"/>
  <c r="M2895" i="5"/>
  <c r="M2894" i="5"/>
  <c r="L2894" i="5"/>
  <c r="K2894" i="5"/>
  <c r="J2894" i="5"/>
  <c r="I2894" i="5"/>
  <c r="H2894" i="5"/>
  <c r="G2894" i="5"/>
  <c r="F2894" i="5"/>
  <c r="N2894" i="5" s="1"/>
  <c r="E2894" i="5"/>
  <c r="D2894" i="5"/>
  <c r="C2894" i="5"/>
  <c r="P2878" i="5"/>
  <c r="O2878" i="5"/>
  <c r="N2878" i="5"/>
  <c r="M2877" i="5"/>
  <c r="L2877" i="5"/>
  <c r="K2877" i="5"/>
  <c r="J2877" i="5"/>
  <c r="I2877" i="5"/>
  <c r="H2877" i="5"/>
  <c r="G2877" i="5"/>
  <c r="F2877" i="5"/>
  <c r="E2877" i="5"/>
  <c r="D2877" i="5"/>
  <c r="C2877" i="5"/>
  <c r="N2873" i="5"/>
  <c r="O2873" i="5" s="1"/>
  <c r="P2873" i="5" s="1"/>
  <c r="P2861" i="5"/>
  <c r="O2861" i="5"/>
  <c r="N2861" i="5"/>
  <c r="M2860" i="5"/>
  <c r="L2860" i="5"/>
  <c r="K2860" i="5"/>
  <c r="J2860" i="5"/>
  <c r="I2860" i="5"/>
  <c r="H2860" i="5"/>
  <c r="G2860" i="5"/>
  <c r="F2860" i="5"/>
  <c r="E2860" i="5"/>
  <c r="D2860" i="5"/>
  <c r="C2860" i="5"/>
  <c r="N2850" i="5"/>
  <c r="O2850" i="5" s="1"/>
  <c r="P2850" i="5" s="1"/>
  <c r="P2849" i="5"/>
  <c r="O2849" i="5"/>
  <c r="N2849" i="5"/>
  <c r="M2843" i="5"/>
  <c r="L2843" i="5"/>
  <c r="K2843" i="5"/>
  <c r="J2843" i="5"/>
  <c r="I2843" i="5"/>
  <c r="H2843" i="5"/>
  <c r="G2843" i="5"/>
  <c r="F2843" i="5"/>
  <c r="N2843" i="5" s="1"/>
  <c r="O2843" i="5" s="1"/>
  <c r="P2843" i="5" s="1"/>
  <c r="E2843" i="5"/>
  <c r="D2843" i="5"/>
  <c r="C2843" i="5"/>
  <c r="N2840" i="5"/>
  <c r="O2840" i="5" s="1"/>
  <c r="P2840" i="5" s="1"/>
  <c r="P2839" i="5"/>
  <c r="O2839" i="5"/>
  <c r="N2839" i="5"/>
  <c r="O2833" i="5"/>
  <c r="P2833" i="5" s="1"/>
  <c r="N2833" i="5"/>
  <c r="M2826" i="5"/>
  <c r="L2826" i="5"/>
  <c r="K2826" i="5"/>
  <c r="J2826" i="5"/>
  <c r="I2826" i="5"/>
  <c r="H2826" i="5"/>
  <c r="G2826" i="5"/>
  <c r="F2826" i="5"/>
  <c r="N2826" i="5" s="1"/>
  <c r="E2826" i="5"/>
  <c r="D2826" i="5"/>
  <c r="C2826" i="5"/>
  <c r="P2816" i="5"/>
  <c r="O2816" i="5"/>
  <c r="N2816" i="5"/>
  <c r="O2813" i="5"/>
  <c r="P2813" i="5" s="1"/>
  <c r="N2813" i="5"/>
  <c r="M2809" i="5"/>
  <c r="L2809" i="5"/>
  <c r="K2809" i="5"/>
  <c r="J2809" i="5"/>
  <c r="I2809" i="5"/>
  <c r="H2809" i="5"/>
  <c r="G2809" i="5"/>
  <c r="F2809" i="5"/>
  <c r="E2809" i="5"/>
  <c r="D2809" i="5"/>
  <c r="C2809" i="5"/>
  <c r="M2796" i="5"/>
  <c r="M120" i="6" s="1"/>
  <c r="M2792" i="5"/>
  <c r="L2792" i="5"/>
  <c r="K2792" i="5"/>
  <c r="J2792" i="5"/>
  <c r="I2792" i="5"/>
  <c r="H2792" i="5"/>
  <c r="G2792" i="5"/>
  <c r="F2792" i="5"/>
  <c r="E2792" i="5"/>
  <c r="D2792" i="5"/>
  <c r="N2792" i="5" s="1"/>
  <c r="C2792" i="5"/>
  <c r="O2792" i="5" s="1"/>
  <c r="P2792" i="5" s="1"/>
  <c r="N2779" i="5"/>
  <c r="O2779" i="5" s="1"/>
  <c r="P2779" i="5" s="1"/>
  <c r="L2779" i="5"/>
  <c r="L120" i="6" s="1"/>
  <c r="I2779" i="5"/>
  <c r="M2775" i="5"/>
  <c r="L2775" i="5"/>
  <c r="K2775" i="5"/>
  <c r="H2775" i="5"/>
  <c r="G2775" i="5"/>
  <c r="F2775" i="5"/>
  <c r="E2775" i="5"/>
  <c r="D2775" i="5"/>
  <c r="C2775" i="5"/>
  <c r="J2762" i="5"/>
  <c r="I2762" i="5"/>
  <c r="I120" i="6" s="1"/>
  <c r="M2758" i="5"/>
  <c r="L2758" i="5"/>
  <c r="K2758" i="5"/>
  <c r="J2758" i="5"/>
  <c r="I2758" i="5"/>
  <c r="H2758" i="5"/>
  <c r="G2758" i="5"/>
  <c r="F2758" i="5"/>
  <c r="E2758" i="5"/>
  <c r="D2758" i="5"/>
  <c r="C2758" i="5"/>
  <c r="P2745" i="5"/>
  <c r="O2745" i="5"/>
  <c r="N2745" i="5"/>
  <c r="M2741" i="5"/>
  <c r="L2741" i="5"/>
  <c r="K2741" i="5"/>
  <c r="J2741" i="5"/>
  <c r="I2741" i="5"/>
  <c r="H2741" i="5"/>
  <c r="G2741" i="5"/>
  <c r="F2741" i="5"/>
  <c r="E2741" i="5"/>
  <c r="D2741" i="5"/>
  <c r="C2741" i="5"/>
  <c r="N2728" i="5"/>
  <c r="O2728" i="5" s="1"/>
  <c r="P2728" i="5" s="1"/>
  <c r="M2724" i="5"/>
  <c r="L2724" i="5"/>
  <c r="K2724" i="5"/>
  <c r="J2724" i="5"/>
  <c r="I2724" i="5"/>
  <c r="H2724" i="5"/>
  <c r="G2724" i="5"/>
  <c r="F2724" i="5"/>
  <c r="E2724" i="5"/>
  <c r="D2724" i="5"/>
  <c r="N2724" i="5" s="1"/>
  <c r="C2724" i="5"/>
  <c r="O2724" i="5" s="1"/>
  <c r="P2724" i="5" s="1"/>
  <c r="N2711" i="5"/>
  <c r="O2711" i="5" s="1"/>
  <c r="P2711" i="5" s="1"/>
  <c r="M2707" i="5"/>
  <c r="L2707" i="5"/>
  <c r="K2707" i="5"/>
  <c r="J2707" i="5"/>
  <c r="I2707" i="5"/>
  <c r="H2707" i="5"/>
  <c r="G2707" i="5"/>
  <c r="F2707" i="5"/>
  <c r="E2707" i="5"/>
  <c r="D2707" i="5"/>
  <c r="C2707" i="5"/>
  <c r="O2703" i="5"/>
  <c r="P2703" i="5" s="1"/>
  <c r="N2703" i="5"/>
  <c r="N2697" i="5"/>
  <c r="O2697" i="5" s="1"/>
  <c r="P2697" i="5" s="1"/>
  <c r="M2692" i="5"/>
  <c r="N2692" i="5" s="1"/>
  <c r="O2692" i="5" s="1"/>
  <c r="P2692" i="5" s="1"/>
  <c r="M2690" i="5"/>
  <c r="J2690" i="5"/>
  <c r="E2690" i="5"/>
  <c r="O2686" i="5"/>
  <c r="P2686" i="5" s="1"/>
  <c r="N2686" i="5"/>
  <c r="N2680" i="5"/>
  <c r="O2680" i="5" s="1"/>
  <c r="P2680" i="5" s="1"/>
  <c r="M2675" i="5"/>
  <c r="L2675" i="5"/>
  <c r="L2690" i="5" s="1"/>
  <c r="K2675" i="5"/>
  <c r="K2690" i="5" s="1"/>
  <c r="J2675" i="5"/>
  <c r="I2675" i="5"/>
  <c r="I2690" i="5" s="1"/>
  <c r="H2675" i="5"/>
  <c r="H2690" i="5" s="1"/>
  <c r="G2675" i="5"/>
  <c r="G2690" i="5" s="1"/>
  <c r="F2675" i="5"/>
  <c r="F2690" i="5" s="1"/>
  <c r="E2675" i="5"/>
  <c r="D2675" i="5"/>
  <c r="D2690" i="5" s="1"/>
  <c r="N2690" i="5" s="1"/>
  <c r="C2675" i="5"/>
  <c r="C2690" i="5" s="1"/>
  <c r="L2673" i="5"/>
  <c r="K2673" i="5"/>
  <c r="H2673" i="5"/>
  <c r="G2673" i="5"/>
  <c r="C2673" i="5"/>
  <c r="N2669" i="5"/>
  <c r="O2669" i="5" s="1"/>
  <c r="P2669" i="5" s="1"/>
  <c r="P2665" i="5"/>
  <c r="O2665" i="5"/>
  <c r="N2665" i="5"/>
  <c r="O2664" i="5"/>
  <c r="P2664" i="5" s="1"/>
  <c r="N2664" i="5"/>
  <c r="I2664" i="5"/>
  <c r="I111" i="6" s="1"/>
  <c r="N111" i="6" s="1"/>
  <c r="O111" i="6" s="1"/>
  <c r="P111" i="6" s="1"/>
  <c r="O2663" i="5"/>
  <c r="P2663" i="5" s="1"/>
  <c r="N2663" i="5"/>
  <c r="M2658" i="5"/>
  <c r="L2658" i="5"/>
  <c r="K2658" i="5"/>
  <c r="K107" i="6" s="1"/>
  <c r="K116" i="6" s="1"/>
  <c r="J2658" i="5"/>
  <c r="I2658" i="5"/>
  <c r="I2673" i="5" s="1"/>
  <c r="H2658" i="5"/>
  <c r="G2658" i="5"/>
  <c r="G107" i="6" s="1"/>
  <c r="G116" i="6" s="1"/>
  <c r="F2658" i="5"/>
  <c r="F107" i="6" s="1"/>
  <c r="F116" i="6" s="1"/>
  <c r="E2658" i="5"/>
  <c r="D2658" i="5"/>
  <c r="C2658" i="5"/>
  <c r="C107" i="6" s="1"/>
  <c r="M2656" i="5"/>
  <c r="L2656" i="5"/>
  <c r="K2656" i="5"/>
  <c r="J2656" i="5"/>
  <c r="I2656" i="5"/>
  <c r="H2656" i="5"/>
  <c r="G2656" i="5"/>
  <c r="F2656" i="5"/>
  <c r="E2656" i="5"/>
  <c r="C2656" i="5"/>
  <c r="N2652" i="5"/>
  <c r="O2652" i="5" s="1"/>
  <c r="P2652" i="5" s="1"/>
  <c r="D2641" i="5"/>
  <c r="N2641" i="5" s="1"/>
  <c r="O2641" i="5" s="1"/>
  <c r="P2641" i="5" s="1"/>
  <c r="M2639" i="5"/>
  <c r="L2639" i="5"/>
  <c r="K2639" i="5"/>
  <c r="J2639" i="5"/>
  <c r="I2639" i="5"/>
  <c r="H2639" i="5"/>
  <c r="G2639" i="5"/>
  <c r="F2639" i="5"/>
  <c r="E2639" i="5"/>
  <c r="D2639" i="5"/>
  <c r="N2639" i="5" s="1"/>
  <c r="O2635" i="5"/>
  <c r="P2635" i="5" s="1"/>
  <c r="N2635" i="5"/>
  <c r="F2635" i="5"/>
  <c r="O2624" i="5"/>
  <c r="P2624" i="5" s="1"/>
  <c r="N2624" i="5"/>
  <c r="M2624" i="5"/>
  <c r="L2624" i="5"/>
  <c r="C2624" i="5"/>
  <c r="C2639" i="5" s="1"/>
  <c r="O2639" i="5" s="1"/>
  <c r="P2639" i="5" s="1"/>
  <c r="M2622" i="5"/>
  <c r="L2622" i="5"/>
  <c r="K2622" i="5"/>
  <c r="J2622" i="5"/>
  <c r="I2622" i="5"/>
  <c r="H2622" i="5"/>
  <c r="G2622" i="5"/>
  <c r="F2622" i="5"/>
  <c r="E2622" i="5"/>
  <c r="D2622" i="5"/>
  <c r="N2622" i="5" s="1"/>
  <c r="C2622" i="5"/>
  <c r="M2605" i="5"/>
  <c r="L2605" i="5"/>
  <c r="K2605" i="5"/>
  <c r="J2605" i="5"/>
  <c r="I2605" i="5"/>
  <c r="H2605" i="5"/>
  <c r="G2605" i="5"/>
  <c r="F2605" i="5"/>
  <c r="E2605" i="5"/>
  <c r="D2605" i="5"/>
  <c r="C2605" i="5"/>
  <c r="N2604" i="5"/>
  <c r="O2604" i="5" s="1"/>
  <c r="P2604" i="5" s="1"/>
  <c r="P2603" i="5"/>
  <c r="O2603" i="5"/>
  <c r="N2603" i="5"/>
  <c r="M2588" i="5"/>
  <c r="L2588" i="5"/>
  <c r="K2588" i="5"/>
  <c r="J2588" i="5"/>
  <c r="I2588" i="5"/>
  <c r="H2588" i="5"/>
  <c r="G2588" i="5"/>
  <c r="F2588" i="5"/>
  <c r="N2588" i="5" s="1"/>
  <c r="O2588" i="5" s="1"/>
  <c r="P2588" i="5" s="1"/>
  <c r="E2588" i="5"/>
  <c r="D2588" i="5"/>
  <c r="C2588" i="5"/>
  <c r="N2585" i="5"/>
  <c r="O2585" i="5" s="1"/>
  <c r="P2585" i="5" s="1"/>
  <c r="M2571" i="5"/>
  <c r="L2571" i="5"/>
  <c r="K2571" i="5"/>
  <c r="J2571" i="5"/>
  <c r="I2571" i="5"/>
  <c r="H2571" i="5"/>
  <c r="G2571" i="5"/>
  <c r="F2571" i="5"/>
  <c r="E2571" i="5"/>
  <c r="C2571" i="5"/>
  <c r="N2570" i="5"/>
  <c r="O2570" i="5" s="1"/>
  <c r="P2570" i="5" s="1"/>
  <c r="N2568" i="5"/>
  <c r="O2568" i="5" s="1"/>
  <c r="P2568" i="5" s="1"/>
  <c r="P2567" i="5"/>
  <c r="O2567" i="5"/>
  <c r="N2567" i="5"/>
  <c r="O2560" i="5"/>
  <c r="P2560" i="5" s="1"/>
  <c r="N2560" i="5"/>
  <c r="N2558" i="5"/>
  <c r="O2558" i="5" s="1"/>
  <c r="P2558" i="5" s="1"/>
  <c r="L2558" i="5"/>
  <c r="N2556" i="5"/>
  <c r="O2556" i="5" s="1"/>
  <c r="P2556" i="5" s="1"/>
  <c r="D2555" i="5"/>
  <c r="N2555" i="5" s="1"/>
  <c r="O2555" i="5" s="1"/>
  <c r="P2555" i="5" s="1"/>
  <c r="M2554" i="5"/>
  <c r="L2554" i="5"/>
  <c r="K2554" i="5"/>
  <c r="J2554" i="5"/>
  <c r="I2554" i="5"/>
  <c r="H2554" i="5"/>
  <c r="G2554" i="5"/>
  <c r="F2554" i="5"/>
  <c r="E2554" i="5"/>
  <c r="D2554" i="5"/>
  <c r="C2554" i="5"/>
  <c r="O2550" i="5"/>
  <c r="P2550" i="5" s="1"/>
  <c r="N2550" i="5"/>
  <c r="N2546" i="5"/>
  <c r="O2546" i="5" s="1"/>
  <c r="P2546" i="5" s="1"/>
  <c r="N2545" i="5"/>
  <c r="O2545" i="5" s="1"/>
  <c r="P2545" i="5" s="1"/>
  <c r="P2544" i="5"/>
  <c r="O2544" i="5"/>
  <c r="N2544" i="5"/>
  <c r="O2538" i="5"/>
  <c r="P2538" i="5" s="1"/>
  <c r="N2538" i="5"/>
  <c r="E2538" i="5"/>
  <c r="D2538" i="5"/>
  <c r="M2537" i="5"/>
  <c r="L2537" i="5"/>
  <c r="K2537" i="5"/>
  <c r="J2537" i="5"/>
  <c r="I2537" i="5"/>
  <c r="H2537" i="5"/>
  <c r="G2537" i="5"/>
  <c r="F2537" i="5"/>
  <c r="E2537" i="5"/>
  <c r="D2537" i="5"/>
  <c r="N2537" i="5" s="1"/>
  <c r="C2537" i="5"/>
  <c r="O2537" i="5" s="1"/>
  <c r="P2537" i="5" s="1"/>
  <c r="N2533" i="5"/>
  <c r="O2533" i="5" s="1"/>
  <c r="P2533" i="5" s="1"/>
  <c r="N2526" i="5"/>
  <c r="O2526" i="5" s="1"/>
  <c r="P2526" i="5" s="1"/>
  <c r="M2520" i="5"/>
  <c r="L2520" i="5"/>
  <c r="K2520" i="5"/>
  <c r="J2520" i="5"/>
  <c r="I2520" i="5"/>
  <c r="H2520" i="5"/>
  <c r="G2520" i="5"/>
  <c r="F2520" i="5"/>
  <c r="E2520" i="5"/>
  <c r="D2520" i="5"/>
  <c r="N2520" i="5" s="1"/>
  <c r="C2520" i="5"/>
  <c r="N2519" i="5"/>
  <c r="O2519" i="5" s="1"/>
  <c r="P2519" i="5" s="1"/>
  <c r="N2517" i="5"/>
  <c r="O2517" i="5" s="1"/>
  <c r="P2517" i="5" s="1"/>
  <c r="P2509" i="5"/>
  <c r="O2509" i="5"/>
  <c r="N2509" i="5"/>
  <c r="K2503" i="5"/>
  <c r="J2503" i="5"/>
  <c r="G2503" i="5"/>
  <c r="F2503" i="5"/>
  <c r="N2503" i="5" s="1"/>
  <c r="O2503" i="5" s="1"/>
  <c r="P2503" i="5" s="1"/>
  <c r="E2503" i="5"/>
  <c r="D2503" i="5"/>
  <c r="C2503" i="5"/>
  <c r="N2499" i="5"/>
  <c r="O2499" i="5" s="1"/>
  <c r="P2499" i="5" s="1"/>
  <c r="M2492" i="5"/>
  <c r="M2503" i="5" s="1"/>
  <c r="L2492" i="5"/>
  <c r="L2503" i="5" s="1"/>
  <c r="K2492" i="5"/>
  <c r="J2492" i="5"/>
  <c r="I2492" i="5"/>
  <c r="I2503" i="5" s="1"/>
  <c r="H2492" i="5"/>
  <c r="H2503" i="5" s="1"/>
  <c r="G2492" i="5"/>
  <c r="N2492" i="5" s="1"/>
  <c r="O2492" i="5" s="1"/>
  <c r="P2492" i="5" s="1"/>
  <c r="M2486" i="5"/>
  <c r="L2486" i="5"/>
  <c r="K2486" i="5"/>
  <c r="J2486" i="5"/>
  <c r="I2486" i="5"/>
  <c r="H2486" i="5"/>
  <c r="G2486" i="5"/>
  <c r="F2486" i="5"/>
  <c r="E2486" i="5"/>
  <c r="D2486" i="5"/>
  <c r="C2486" i="5"/>
  <c r="P2482" i="5"/>
  <c r="O2482" i="5"/>
  <c r="N2482" i="5"/>
  <c r="O2476" i="5"/>
  <c r="P2476" i="5" s="1"/>
  <c r="N2476" i="5"/>
  <c r="N2475" i="5"/>
  <c r="O2475" i="5" s="1"/>
  <c r="P2475" i="5" s="1"/>
  <c r="M2469" i="5"/>
  <c r="L2469" i="5"/>
  <c r="K2469" i="5"/>
  <c r="J2469" i="5"/>
  <c r="I2469" i="5"/>
  <c r="H2469" i="5"/>
  <c r="G2469" i="5"/>
  <c r="F2469" i="5"/>
  <c r="E2469" i="5"/>
  <c r="D2469" i="5"/>
  <c r="N2469" i="5" s="1"/>
  <c r="C2469" i="5"/>
  <c r="O2469" i="5" s="1"/>
  <c r="P2469" i="5" s="1"/>
  <c r="O2465" i="5"/>
  <c r="P2465" i="5" s="1"/>
  <c r="N2465" i="5"/>
  <c r="M2452" i="5"/>
  <c r="L2452" i="5"/>
  <c r="K2452" i="5"/>
  <c r="J2452" i="5"/>
  <c r="I2452" i="5"/>
  <c r="H2452" i="5"/>
  <c r="G2452" i="5"/>
  <c r="F2452" i="5"/>
  <c r="N2452" i="5" s="1"/>
  <c r="E2452" i="5"/>
  <c r="D2452" i="5"/>
  <c r="C2452" i="5"/>
  <c r="O2452" i="5" s="1"/>
  <c r="P2452" i="5" s="1"/>
  <c r="P2437" i="5"/>
  <c r="O2437" i="5"/>
  <c r="N2437" i="5"/>
  <c r="K2435" i="5"/>
  <c r="J2435" i="5"/>
  <c r="H2435" i="5"/>
  <c r="G2435" i="5"/>
  <c r="F2435" i="5"/>
  <c r="D2435" i="5"/>
  <c r="C2435" i="5"/>
  <c r="E2425" i="5"/>
  <c r="E100" i="6" s="1"/>
  <c r="N100" i="6" s="1"/>
  <c r="M2420" i="5"/>
  <c r="L2420" i="5"/>
  <c r="L96" i="6" s="1"/>
  <c r="K2420" i="5"/>
  <c r="K96" i="6" s="1"/>
  <c r="J2420" i="5"/>
  <c r="J96" i="6" s="1"/>
  <c r="I2420" i="5"/>
  <c r="I96" i="6" s="1"/>
  <c r="M2418" i="5"/>
  <c r="L2418" i="5"/>
  <c r="K2418" i="5"/>
  <c r="J2418" i="5"/>
  <c r="I2418" i="5"/>
  <c r="E2418" i="5"/>
  <c r="C2418" i="5"/>
  <c r="O2408" i="5"/>
  <c r="P2408" i="5" s="1"/>
  <c r="N2408" i="5"/>
  <c r="N2403" i="5"/>
  <c r="O2403" i="5" s="1"/>
  <c r="P2403" i="5" s="1"/>
  <c r="H2403" i="5"/>
  <c r="H96" i="6" s="1"/>
  <c r="G2403" i="5"/>
  <c r="G96" i="6" s="1"/>
  <c r="F2403" i="5"/>
  <c r="F96" i="6" s="1"/>
  <c r="E2403" i="5"/>
  <c r="E96" i="6" s="1"/>
  <c r="D2403" i="5"/>
  <c r="D96" i="6" s="1"/>
  <c r="M2401" i="5"/>
  <c r="L2401" i="5"/>
  <c r="K2401" i="5"/>
  <c r="J2401" i="5"/>
  <c r="I2401" i="5"/>
  <c r="H2401" i="5"/>
  <c r="G2401" i="5"/>
  <c r="F2401" i="5"/>
  <c r="N2401" i="5" s="1"/>
  <c r="E2401" i="5"/>
  <c r="D2401" i="5"/>
  <c r="C2401" i="5"/>
  <c r="O2401" i="5" s="1"/>
  <c r="P2401" i="5" s="1"/>
  <c r="P2390" i="5"/>
  <c r="O2390" i="5"/>
  <c r="N2390" i="5"/>
  <c r="O2386" i="5"/>
  <c r="P2386" i="5" s="1"/>
  <c r="N2386" i="5"/>
  <c r="N2385" i="5"/>
  <c r="O2385" i="5" s="1"/>
  <c r="P2385" i="5" s="1"/>
  <c r="M2384" i="5"/>
  <c r="L2384" i="5"/>
  <c r="K2384" i="5"/>
  <c r="J2384" i="5"/>
  <c r="I2384" i="5"/>
  <c r="H2384" i="5"/>
  <c r="G2384" i="5"/>
  <c r="F2384" i="5"/>
  <c r="E2384" i="5"/>
  <c r="D2384" i="5"/>
  <c r="N2384" i="5" s="1"/>
  <c r="C2384" i="5"/>
  <c r="O2380" i="5"/>
  <c r="P2380" i="5" s="1"/>
  <c r="N2380" i="5"/>
  <c r="N2371" i="5"/>
  <c r="O2371" i="5" s="1"/>
  <c r="P2371" i="5" s="1"/>
  <c r="N2369" i="5"/>
  <c r="O2369" i="5" s="1"/>
  <c r="P2369" i="5" s="1"/>
  <c r="P2368" i="5"/>
  <c r="O2368" i="5"/>
  <c r="N2368" i="5"/>
  <c r="K2367" i="5"/>
  <c r="J2367" i="5"/>
  <c r="G2367" i="5"/>
  <c r="F2367" i="5"/>
  <c r="C2367" i="5"/>
  <c r="N2363" i="5"/>
  <c r="O2363" i="5" s="1"/>
  <c r="P2363" i="5" s="1"/>
  <c r="M2354" i="5"/>
  <c r="M98" i="6" s="1"/>
  <c r="L2354" i="5"/>
  <c r="K2354" i="5"/>
  <c r="K98" i="6" s="1"/>
  <c r="J2354" i="5"/>
  <c r="J98" i="6" s="1"/>
  <c r="I2354" i="5"/>
  <c r="I98" i="6" s="1"/>
  <c r="H2354" i="5"/>
  <c r="G2354" i="5"/>
  <c r="G98" i="6" s="1"/>
  <c r="F2354" i="5"/>
  <c r="F98" i="6" s="1"/>
  <c r="E2354" i="5"/>
  <c r="E98" i="6" s="1"/>
  <c r="D2354" i="5"/>
  <c r="N2351" i="5"/>
  <c r="O2351" i="5" s="1"/>
  <c r="P2351" i="5" s="1"/>
  <c r="L2350" i="5"/>
  <c r="H2350" i="5"/>
  <c r="G2350" i="5"/>
  <c r="F2350" i="5"/>
  <c r="E2350" i="5"/>
  <c r="D2350" i="5"/>
  <c r="C2350" i="5"/>
  <c r="M2346" i="5"/>
  <c r="M101" i="6" s="1"/>
  <c r="L2346" i="5"/>
  <c r="L101" i="6" s="1"/>
  <c r="K2346" i="5"/>
  <c r="K101" i="6" s="1"/>
  <c r="J2346" i="5"/>
  <c r="I2346" i="5"/>
  <c r="I101" i="6" s="1"/>
  <c r="N2341" i="5"/>
  <c r="O2341" i="5" s="1"/>
  <c r="P2341" i="5" s="1"/>
  <c r="N2340" i="5"/>
  <c r="O2340" i="5" s="1"/>
  <c r="P2340" i="5" s="1"/>
  <c r="P2337" i="5"/>
  <c r="O2337" i="5"/>
  <c r="N2337" i="5"/>
  <c r="O2334" i="5"/>
  <c r="P2334" i="5" s="1"/>
  <c r="N2334" i="5"/>
  <c r="M2333" i="5"/>
  <c r="K2333" i="5"/>
  <c r="J2333" i="5"/>
  <c r="H2333" i="5"/>
  <c r="G2333" i="5"/>
  <c r="F2333" i="5"/>
  <c r="E2333" i="5"/>
  <c r="C2333" i="5"/>
  <c r="L2329" i="5"/>
  <c r="L90" i="6" s="1"/>
  <c r="I2329" i="5"/>
  <c r="D2320" i="5"/>
  <c r="M2316" i="5"/>
  <c r="L2316" i="5"/>
  <c r="K2316" i="5"/>
  <c r="J2316" i="5"/>
  <c r="I2316" i="5"/>
  <c r="H2316" i="5"/>
  <c r="G2316" i="5"/>
  <c r="F2316" i="5"/>
  <c r="E2316" i="5"/>
  <c r="D2316" i="5"/>
  <c r="C2316" i="5"/>
  <c r="O2312" i="5"/>
  <c r="P2312" i="5" s="1"/>
  <c r="N2312" i="5"/>
  <c r="N2309" i="5"/>
  <c r="O2309" i="5" s="1"/>
  <c r="P2309" i="5" s="1"/>
  <c r="P2308" i="5"/>
  <c r="O2308" i="5"/>
  <c r="N2308" i="5"/>
  <c r="P2307" i="5"/>
  <c r="O2307" i="5"/>
  <c r="N2307" i="5"/>
  <c r="O2306" i="5"/>
  <c r="P2306" i="5" s="1"/>
  <c r="N2306" i="5"/>
  <c r="N2305" i="5"/>
  <c r="O2305" i="5" s="1"/>
  <c r="P2305" i="5" s="1"/>
  <c r="N2303" i="5"/>
  <c r="O2303" i="5" s="1"/>
  <c r="P2303" i="5" s="1"/>
  <c r="P2300" i="5"/>
  <c r="O2300" i="5"/>
  <c r="N2300" i="5"/>
  <c r="M2299" i="5"/>
  <c r="L2299" i="5"/>
  <c r="K2299" i="5"/>
  <c r="J2299" i="5"/>
  <c r="I2299" i="5"/>
  <c r="H2299" i="5"/>
  <c r="G2299" i="5"/>
  <c r="F2299" i="5"/>
  <c r="E2299" i="5"/>
  <c r="D2299" i="5"/>
  <c r="C2299" i="5"/>
  <c r="P2295" i="5"/>
  <c r="O2295" i="5"/>
  <c r="N2295" i="5"/>
  <c r="P2289" i="5"/>
  <c r="O2289" i="5"/>
  <c r="N2289" i="5"/>
  <c r="O2286" i="5"/>
  <c r="P2286" i="5" s="1"/>
  <c r="N2286" i="5"/>
  <c r="D2286" i="5"/>
  <c r="C2286" i="5"/>
  <c r="H2282" i="5"/>
  <c r="G2282" i="5"/>
  <c r="E2282" i="5"/>
  <c r="D2282" i="5"/>
  <c r="J2269" i="5"/>
  <c r="J2282" i="5" s="1"/>
  <c r="H2269" i="5"/>
  <c r="H87" i="6" s="1"/>
  <c r="H94" i="6" s="1"/>
  <c r="G2269" i="5"/>
  <c r="G87" i="6" s="1"/>
  <c r="G94" i="6" s="1"/>
  <c r="F2269" i="5"/>
  <c r="E2269" i="5"/>
  <c r="E87" i="6" s="1"/>
  <c r="D2269" i="5"/>
  <c r="C2269" i="5"/>
  <c r="C87" i="6" s="1"/>
  <c r="L2265" i="5"/>
  <c r="K2265" i="5"/>
  <c r="I2265" i="5"/>
  <c r="H2265" i="5"/>
  <c r="G2265" i="5"/>
  <c r="F2265" i="5"/>
  <c r="E2265" i="5"/>
  <c r="D2265" i="5"/>
  <c r="C2265" i="5"/>
  <c r="N2252" i="5"/>
  <c r="O2252" i="5" s="1"/>
  <c r="P2252" i="5" s="1"/>
  <c r="M2252" i="5"/>
  <c r="M2265" i="5" s="1"/>
  <c r="L2252" i="5"/>
  <c r="K2252" i="5"/>
  <c r="J2252" i="5"/>
  <c r="I2252" i="5"/>
  <c r="M2248" i="5"/>
  <c r="L2248" i="5"/>
  <c r="K2248" i="5"/>
  <c r="J2248" i="5"/>
  <c r="I2248" i="5"/>
  <c r="H2248" i="5"/>
  <c r="G2248" i="5"/>
  <c r="F2248" i="5"/>
  <c r="N2248" i="5" s="1"/>
  <c r="O2248" i="5" s="1"/>
  <c r="P2248" i="5" s="1"/>
  <c r="E2248" i="5"/>
  <c r="D2248" i="5"/>
  <c r="C2248" i="5"/>
  <c r="P2233" i="5"/>
  <c r="O2233" i="5"/>
  <c r="N2233" i="5"/>
  <c r="K2231" i="5"/>
  <c r="H2231" i="5"/>
  <c r="G2231" i="5"/>
  <c r="C2231" i="5"/>
  <c r="N2227" i="5"/>
  <c r="O2227" i="5" s="1"/>
  <c r="P2227" i="5" s="1"/>
  <c r="N2221" i="5"/>
  <c r="O2221" i="5" s="1"/>
  <c r="P2221" i="5" s="1"/>
  <c r="L2220" i="5"/>
  <c r="L77" i="6" s="1"/>
  <c r="K2220" i="5"/>
  <c r="K77" i="6" s="1"/>
  <c r="K83" i="6" s="1"/>
  <c r="J2220" i="5"/>
  <c r="I2220" i="5"/>
  <c r="I77" i="6" s="1"/>
  <c r="H2220" i="5"/>
  <c r="H77" i="6" s="1"/>
  <c r="G2220" i="5"/>
  <c r="G77" i="6" s="1"/>
  <c r="F2220" i="5"/>
  <c r="E2220" i="5"/>
  <c r="E77" i="6" s="1"/>
  <c r="D2220" i="5"/>
  <c r="D77" i="6" s="1"/>
  <c r="O2215" i="5"/>
  <c r="P2215" i="5" s="1"/>
  <c r="N2215" i="5"/>
  <c r="M2215" i="5"/>
  <c r="M73" i="6" s="1"/>
  <c r="M83" i="6" s="1"/>
  <c r="L2215" i="5"/>
  <c r="L73" i="6" s="1"/>
  <c r="M2214" i="5"/>
  <c r="L2214" i="5"/>
  <c r="K2214" i="5"/>
  <c r="J2214" i="5"/>
  <c r="I2214" i="5"/>
  <c r="H2214" i="5"/>
  <c r="G2214" i="5"/>
  <c r="F2214" i="5"/>
  <c r="E2214" i="5"/>
  <c r="D2214" i="5"/>
  <c r="C2214" i="5"/>
  <c r="N2199" i="5"/>
  <c r="O2199" i="5" s="1"/>
  <c r="P2199" i="5" s="1"/>
  <c r="D2199" i="5"/>
  <c r="D74" i="6" s="1"/>
  <c r="M2180" i="5"/>
  <c r="L2180" i="5"/>
  <c r="K2180" i="5"/>
  <c r="J2180" i="5"/>
  <c r="I2180" i="5"/>
  <c r="H2180" i="5"/>
  <c r="G2180" i="5"/>
  <c r="F2180" i="5"/>
  <c r="N2180" i="5" s="1"/>
  <c r="O2180" i="5" s="1"/>
  <c r="P2180" i="5" s="1"/>
  <c r="E2180" i="5"/>
  <c r="D2180" i="5"/>
  <c r="C2180" i="5"/>
  <c r="P2166" i="5"/>
  <c r="O2166" i="5"/>
  <c r="N2166" i="5"/>
  <c r="K2163" i="5"/>
  <c r="J2163" i="5"/>
  <c r="H2163" i="5"/>
  <c r="G2163" i="5"/>
  <c r="F2163" i="5"/>
  <c r="E2163" i="5"/>
  <c r="D2163" i="5"/>
  <c r="C2163" i="5"/>
  <c r="M2149" i="5"/>
  <c r="M2163" i="5" s="1"/>
  <c r="L2149" i="5"/>
  <c r="L2163" i="5" s="1"/>
  <c r="K2149" i="5"/>
  <c r="J2149" i="5"/>
  <c r="I2149" i="5"/>
  <c r="I2163" i="5" s="1"/>
  <c r="M2146" i="5"/>
  <c r="L2146" i="5"/>
  <c r="H2146" i="5"/>
  <c r="D2146" i="5"/>
  <c r="C2146" i="5"/>
  <c r="N2145" i="5"/>
  <c r="O2145" i="5" s="1"/>
  <c r="P2145" i="5" s="1"/>
  <c r="L2143" i="5"/>
  <c r="N2143" i="5" s="1"/>
  <c r="O2143" i="5" s="1"/>
  <c r="P2143" i="5" s="1"/>
  <c r="K2143" i="5"/>
  <c r="J2143" i="5"/>
  <c r="J2146" i="5" s="1"/>
  <c r="I2143" i="5"/>
  <c r="G2142" i="5"/>
  <c r="F2142" i="5"/>
  <c r="N2142" i="5" s="1"/>
  <c r="O2142" i="5" s="1"/>
  <c r="P2142" i="5" s="1"/>
  <c r="E2142" i="5"/>
  <c r="H2138" i="5"/>
  <c r="G2138" i="5"/>
  <c r="F2138" i="5"/>
  <c r="E2138" i="5"/>
  <c r="D2138" i="5"/>
  <c r="N2137" i="5"/>
  <c r="O2137" i="5" s="1"/>
  <c r="P2137" i="5" s="1"/>
  <c r="N2136" i="5"/>
  <c r="O2136" i="5" s="1"/>
  <c r="P2136" i="5" s="1"/>
  <c r="N2135" i="5"/>
  <c r="O2135" i="5" s="1"/>
  <c r="P2135" i="5" s="1"/>
  <c r="M2131" i="5"/>
  <c r="L2131" i="5"/>
  <c r="K2131" i="5"/>
  <c r="K2146" i="5" s="1"/>
  <c r="J2131" i="5"/>
  <c r="I2131" i="5"/>
  <c r="I2146" i="5" s="1"/>
  <c r="H2131" i="5"/>
  <c r="G2131" i="5"/>
  <c r="G2146" i="5" s="1"/>
  <c r="F2131" i="5"/>
  <c r="E2131" i="5"/>
  <c r="D2131" i="5"/>
  <c r="M2128" i="5"/>
  <c r="L2128" i="5"/>
  <c r="K2128" i="5"/>
  <c r="J2128" i="5"/>
  <c r="I2128" i="5"/>
  <c r="H2128" i="5"/>
  <c r="G2128" i="5"/>
  <c r="F2128" i="5"/>
  <c r="E2128" i="5"/>
  <c r="D2128" i="5"/>
  <c r="N2128" i="5" s="1"/>
  <c r="C2128" i="5"/>
  <c r="O2128" i="5" s="1"/>
  <c r="P2128" i="5" s="1"/>
  <c r="N2114" i="5"/>
  <c r="O2114" i="5" s="1"/>
  <c r="P2114" i="5" s="1"/>
  <c r="O2113" i="5"/>
  <c r="P2113" i="5" s="1"/>
  <c r="N2113" i="5"/>
  <c r="M2111" i="5"/>
  <c r="L2111" i="5"/>
  <c r="K2111" i="5"/>
  <c r="J2111" i="5"/>
  <c r="I2111" i="5"/>
  <c r="H2111" i="5"/>
  <c r="G2111" i="5"/>
  <c r="F2111" i="5"/>
  <c r="E2111" i="5"/>
  <c r="D2111" i="5"/>
  <c r="N2111" i="5" s="1"/>
  <c r="O2111" i="5" s="1"/>
  <c r="P2111" i="5" s="1"/>
  <c r="C2111" i="5"/>
  <c r="N2108" i="5"/>
  <c r="O2108" i="5" s="1"/>
  <c r="P2108" i="5" s="1"/>
  <c r="N2107" i="5"/>
  <c r="O2107" i="5" s="1"/>
  <c r="P2107" i="5" s="1"/>
  <c r="N2101" i="5"/>
  <c r="O2101" i="5" s="1"/>
  <c r="P2101" i="5" s="1"/>
  <c r="O2096" i="5"/>
  <c r="P2096" i="5" s="1"/>
  <c r="N2096" i="5"/>
  <c r="M2094" i="5"/>
  <c r="L2094" i="5"/>
  <c r="K2094" i="5"/>
  <c r="J2094" i="5"/>
  <c r="I2094" i="5"/>
  <c r="H2094" i="5"/>
  <c r="G2094" i="5"/>
  <c r="F2094" i="5"/>
  <c r="N2094" i="5" s="1"/>
  <c r="O2094" i="5" s="1"/>
  <c r="P2094" i="5" s="1"/>
  <c r="E2094" i="5"/>
  <c r="D2094" i="5"/>
  <c r="C2094" i="5"/>
  <c r="P2091" i="5"/>
  <c r="O2091" i="5"/>
  <c r="N2091" i="5"/>
  <c r="O2090" i="5"/>
  <c r="P2090" i="5" s="1"/>
  <c r="N2090" i="5"/>
  <c r="N2084" i="5"/>
  <c r="O2084" i="5" s="1"/>
  <c r="P2084" i="5" s="1"/>
  <c r="N2079" i="5"/>
  <c r="O2079" i="5" s="1"/>
  <c r="P2079" i="5" s="1"/>
  <c r="P2078" i="5"/>
  <c r="N2078" i="5"/>
  <c r="O2078" i="5" s="1"/>
  <c r="M2077" i="5"/>
  <c r="L2077" i="5"/>
  <c r="K2077" i="5"/>
  <c r="J2077" i="5"/>
  <c r="I2077" i="5"/>
  <c r="H2077" i="5"/>
  <c r="G2077" i="5"/>
  <c r="F2077" i="5"/>
  <c r="E2077" i="5"/>
  <c r="D2077" i="5"/>
  <c r="C2077" i="5"/>
  <c r="O2074" i="5"/>
  <c r="P2074" i="5" s="1"/>
  <c r="N2074" i="5"/>
  <c r="P2073" i="5"/>
  <c r="O2073" i="5"/>
  <c r="N2073" i="5"/>
  <c r="O2069" i="5"/>
  <c r="P2069" i="5" s="1"/>
  <c r="N2069" i="5"/>
  <c r="N2068" i="5"/>
  <c r="O2068" i="5" s="1"/>
  <c r="P2068" i="5" s="1"/>
  <c r="N2067" i="5"/>
  <c r="O2067" i="5" s="1"/>
  <c r="P2067" i="5" s="1"/>
  <c r="P2064" i="5"/>
  <c r="N2064" i="5"/>
  <c r="O2064" i="5" s="1"/>
  <c r="O2062" i="5"/>
  <c r="P2062" i="5" s="1"/>
  <c r="N2062" i="5"/>
  <c r="M2060" i="5"/>
  <c r="L2060" i="5"/>
  <c r="K2060" i="5"/>
  <c r="J2060" i="5"/>
  <c r="I2060" i="5"/>
  <c r="H2060" i="5"/>
  <c r="G2060" i="5"/>
  <c r="F2060" i="5"/>
  <c r="N2060" i="5" s="1"/>
  <c r="O2060" i="5" s="1"/>
  <c r="P2060" i="5" s="1"/>
  <c r="E2060" i="5"/>
  <c r="D2060" i="5"/>
  <c r="C2060" i="5"/>
  <c r="P2057" i="5"/>
  <c r="O2057" i="5"/>
  <c r="N2057" i="5"/>
  <c r="O2056" i="5"/>
  <c r="P2056" i="5" s="1"/>
  <c r="N2056" i="5"/>
  <c r="N2051" i="5"/>
  <c r="O2051" i="5" s="1"/>
  <c r="P2051" i="5" s="1"/>
  <c r="N2050" i="5"/>
  <c r="O2050" i="5" s="1"/>
  <c r="P2050" i="5" s="1"/>
  <c r="P2046" i="5"/>
  <c r="N2046" i="5"/>
  <c r="O2046" i="5" s="1"/>
  <c r="M2043" i="5"/>
  <c r="L2043" i="5"/>
  <c r="K2043" i="5"/>
  <c r="J2043" i="5"/>
  <c r="I2043" i="5"/>
  <c r="H2043" i="5"/>
  <c r="G2043" i="5"/>
  <c r="F2043" i="5"/>
  <c r="E2043" i="5"/>
  <c r="D2043" i="5"/>
  <c r="N2043" i="5" s="1"/>
  <c r="C2043" i="5"/>
  <c r="O2041" i="5"/>
  <c r="P2041" i="5" s="1"/>
  <c r="N2041" i="5"/>
  <c r="P2040" i="5"/>
  <c r="O2040" i="5"/>
  <c r="N2040" i="5"/>
  <c r="O2039" i="5"/>
  <c r="P2039" i="5" s="1"/>
  <c r="N2039" i="5"/>
  <c r="N2033" i="5"/>
  <c r="O2033" i="5" s="1"/>
  <c r="P2033" i="5" s="1"/>
  <c r="N2029" i="5"/>
  <c r="O2029" i="5" s="1"/>
  <c r="P2029" i="5" s="1"/>
  <c r="M2026" i="5"/>
  <c r="L2026" i="5"/>
  <c r="K2026" i="5"/>
  <c r="J2026" i="5"/>
  <c r="I2026" i="5"/>
  <c r="H2026" i="5"/>
  <c r="D2026" i="5"/>
  <c r="C2026" i="5"/>
  <c r="N2022" i="5"/>
  <c r="O2022" i="5" s="1"/>
  <c r="P2022" i="5" s="1"/>
  <c r="O2017" i="5"/>
  <c r="P2017" i="5" s="1"/>
  <c r="N2017" i="5"/>
  <c r="P2016" i="5"/>
  <c r="O2016" i="5"/>
  <c r="N2016" i="5"/>
  <c r="O2010" i="5"/>
  <c r="P2010" i="5" s="1"/>
  <c r="H2010" i="5"/>
  <c r="G2010" i="5"/>
  <c r="G2026" i="5" s="1"/>
  <c r="F2010" i="5"/>
  <c r="F2026" i="5" s="1"/>
  <c r="E2010" i="5"/>
  <c r="E2026" i="5" s="1"/>
  <c r="D2010" i="5"/>
  <c r="N2010" i="5" s="1"/>
  <c r="O2009" i="5"/>
  <c r="P2009" i="5" s="1"/>
  <c r="M2009" i="5"/>
  <c r="L2009" i="5"/>
  <c r="K2009" i="5"/>
  <c r="J2009" i="5"/>
  <c r="I2009" i="5"/>
  <c r="H2009" i="5"/>
  <c r="G2009" i="5"/>
  <c r="F2009" i="5"/>
  <c r="E2009" i="5"/>
  <c r="D2009" i="5"/>
  <c r="N2009" i="5" s="1"/>
  <c r="C2009" i="5"/>
  <c r="N2008" i="5"/>
  <c r="O2008" i="5" s="1"/>
  <c r="P2008" i="5" s="1"/>
  <c r="P2005" i="5"/>
  <c r="N2005" i="5"/>
  <c r="O2005" i="5" s="1"/>
  <c r="O1998" i="5"/>
  <c r="P1998" i="5" s="1"/>
  <c r="N1998" i="5"/>
  <c r="C1992" i="5"/>
  <c r="M1975" i="5"/>
  <c r="L1975" i="5"/>
  <c r="K1975" i="5"/>
  <c r="J1975" i="5"/>
  <c r="I1975" i="5"/>
  <c r="H1975" i="5"/>
  <c r="G1975" i="5"/>
  <c r="F1975" i="5"/>
  <c r="E1975" i="5"/>
  <c r="D1975" i="5"/>
  <c r="N1975" i="5" s="1"/>
  <c r="O1975" i="5" s="1"/>
  <c r="P1975" i="5" s="1"/>
  <c r="C1975" i="5"/>
  <c r="N1971" i="5"/>
  <c r="O1971" i="5" s="1"/>
  <c r="P1971" i="5" s="1"/>
  <c r="N1964" i="5"/>
  <c r="O1964" i="5" s="1"/>
  <c r="P1964" i="5" s="1"/>
  <c r="M1958" i="5"/>
  <c r="L1958" i="5"/>
  <c r="K1958" i="5"/>
  <c r="J1958" i="5"/>
  <c r="I1958" i="5"/>
  <c r="H1958" i="5"/>
  <c r="G1958" i="5"/>
  <c r="F1958" i="5"/>
  <c r="E1958" i="5"/>
  <c r="D1958" i="5"/>
  <c r="N1958" i="5" s="1"/>
  <c r="C1958" i="5"/>
  <c r="O1955" i="5"/>
  <c r="P1955" i="5" s="1"/>
  <c r="N1955" i="5"/>
  <c r="P1954" i="5"/>
  <c r="O1954" i="5"/>
  <c r="N1954" i="5"/>
  <c r="O1947" i="5"/>
  <c r="P1947" i="5" s="1"/>
  <c r="N1947" i="5"/>
  <c r="M1941" i="5"/>
  <c r="J1941" i="5"/>
  <c r="H1941" i="5"/>
  <c r="D1941" i="5"/>
  <c r="C1941" i="5"/>
  <c r="P1937" i="5"/>
  <c r="N1937" i="5"/>
  <c r="O1937" i="5" s="1"/>
  <c r="M1926" i="5"/>
  <c r="L1926" i="5"/>
  <c r="L1941" i="5" s="1"/>
  <c r="K1926" i="5"/>
  <c r="K1941" i="5" s="1"/>
  <c r="J1926" i="5"/>
  <c r="I1926" i="5"/>
  <c r="I1941" i="5" s="1"/>
  <c r="G1926" i="5"/>
  <c r="G1941" i="5" s="1"/>
  <c r="F1926" i="5"/>
  <c r="F1941" i="5" s="1"/>
  <c r="E1926" i="5"/>
  <c r="E1941" i="5" s="1"/>
  <c r="F1924" i="5"/>
  <c r="K1923" i="5"/>
  <c r="J1923" i="5"/>
  <c r="O1922" i="5"/>
  <c r="P1922" i="5" s="1"/>
  <c r="N1922" i="5"/>
  <c r="M1920" i="5"/>
  <c r="L1920" i="5"/>
  <c r="L1924" i="5" s="1"/>
  <c r="K1920" i="5"/>
  <c r="J1920" i="5"/>
  <c r="I1920" i="5"/>
  <c r="P1913" i="5"/>
  <c r="O1913" i="5"/>
  <c r="N1913" i="5"/>
  <c r="O1911" i="5"/>
  <c r="P1911" i="5" s="1"/>
  <c r="M1911" i="5"/>
  <c r="M1924" i="5" s="1"/>
  <c r="L1911" i="5"/>
  <c r="K1911" i="5"/>
  <c r="K1924" i="5" s="1"/>
  <c r="J1911" i="5"/>
  <c r="I1911" i="5"/>
  <c r="H1911" i="5"/>
  <c r="H1924" i="5" s="1"/>
  <c r="G1911" i="5"/>
  <c r="G1924" i="5" s="1"/>
  <c r="F1911" i="5"/>
  <c r="E1911" i="5"/>
  <c r="D1911" i="5"/>
  <c r="N1911" i="5" s="1"/>
  <c r="C1911" i="5"/>
  <c r="C1924" i="5" s="1"/>
  <c r="I1909" i="5"/>
  <c r="D1909" i="5"/>
  <c r="N1906" i="5"/>
  <c r="O1906" i="5" s="1"/>
  <c r="P1906" i="5" s="1"/>
  <c r="E1906" i="5"/>
  <c r="E1924" i="5" s="1"/>
  <c r="D1906" i="5"/>
  <c r="D1924" i="5" s="1"/>
  <c r="L1905" i="5"/>
  <c r="K1905" i="5"/>
  <c r="J1905" i="5"/>
  <c r="G1905" i="5"/>
  <c r="F1905" i="5"/>
  <c r="E1905" i="5"/>
  <c r="D1905" i="5"/>
  <c r="C1905" i="5"/>
  <c r="N1902" i="5"/>
  <c r="O1902" i="5" s="1"/>
  <c r="P1902" i="5" s="1"/>
  <c r="N1901" i="5"/>
  <c r="O1901" i="5" s="1"/>
  <c r="P1901" i="5" s="1"/>
  <c r="O1897" i="5"/>
  <c r="P1897" i="5" s="1"/>
  <c r="N1897" i="5"/>
  <c r="N1896" i="5"/>
  <c r="O1896" i="5" s="1"/>
  <c r="P1896" i="5" s="1"/>
  <c r="O1895" i="5"/>
  <c r="P1895" i="5" s="1"/>
  <c r="N1895" i="5"/>
  <c r="P1894" i="5"/>
  <c r="O1894" i="5"/>
  <c r="N1894" i="5"/>
  <c r="O1893" i="5"/>
  <c r="P1893" i="5" s="1"/>
  <c r="M1893" i="5"/>
  <c r="M1905" i="5" s="1"/>
  <c r="K1893" i="5"/>
  <c r="I1893" i="5"/>
  <c r="I1905" i="5" s="1"/>
  <c r="H1893" i="5"/>
  <c r="N1893" i="5" s="1"/>
  <c r="N1891" i="5"/>
  <c r="O1891" i="5" s="1"/>
  <c r="P1891" i="5" s="1"/>
  <c r="E1887" i="5"/>
  <c r="D1887" i="5"/>
  <c r="N1887" i="5" s="1"/>
  <c r="O1887" i="5" s="1"/>
  <c r="P1887" i="5" s="1"/>
  <c r="M1886" i="5"/>
  <c r="L1886" i="5"/>
  <c r="K1886" i="5"/>
  <c r="J1886" i="5"/>
  <c r="I1886" i="5"/>
  <c r="H1886" i="5"/>
  <c r="G1886" i="5"/>
  <c r="F1886" i="5"/>
  <c r="N1886" i="5" s="1"/>
  <c r="O1886" i="5" s="1"/>
  <c r="P1886" i="5" s="1"/>
  <c r="E1886" i="5"/>
  <c r="D1886" i="5"/>
  <c r="C1886" i="5"/>
  <c r="P1882" i="5"/>
  <c r="O1882" i="5"/>
  <c r="N1882" i="5"/>
  <c r="M1852" i="5"/>
  <c r="L1852" i="5"/>
  <c r="K1852" i="5"/>
  <c r="J1852" i="5"/>
  <c r="I1852" i="5"/>
  <c r="H1852" i="5"/>
  <c r="G1852" i="5"/>
  <c r="F1852" i="5"/>
  <c r="E1852" i="5"/>
  <c r="D1852" i="5"/>
  <c r="N1852" i="5" s="1"/>
  <c r="O1852" i="5" s="1"/>
  <c r="P1852" i="5" s="1"/>
  <c r="C1852" i="5"/>
  <c r="N1842" i="5"/>
  <c r="O1842" i="5" s="1"/>
  <c r="P1842" i="5" s="1"/>
  <c r="N1839" i="5"/>
  <c r="O1839" i="5" s="1"/>
  <c r="P1839" i="5" s="1"/>
  <c r="O1837" i="5"/>
  <c r="P1837" i="5" s="1"/>
  <c r="N1837" i="5"/>
  <c r="N1836" i="5"/>
  <c r="O1836" i="5" s="1"/>
  <c r="P1836" i="5" s="1"/>
  <c r="C1836" i="5"/>
  <c r="M1835" i="5"/>
  <c r="L1835" i="5"/>
  <c r="K1835" i="5"/>
  <c r="J1835" i="5"/>
  <c r="I1835" i="5"/>
  <c r="H1835" i="5"/>
  <c r="G1835" i="5"/>
  <c r="F1835" i="5"/>
  <c r="N1835" i="5" s="1"/>
  <c r="E1835" i="5"/>
  <c r="D1835" i="5"/>
  <c r="C1835" i="5"/>
  <c r="P1833" i="5"/>
  <c r="N1833" i="5"/>
  <c r="O1833" i="5" s="1"/>
  <c r="O1824" i="5"/>
  <c r="P1824" i="5" s="1"/>
  <c r="N1824" i="5"/>
  <c r="M1818" i="5"/>
  <c r="L1818" i="5"/>
  <c r="K1818" i="5"/>
  <c r="J1818" i="5"/>
  <c r="I1818" i="5"/>
  <c r="H1818" i="5"/>
  <c r="G1818" i="5"/>
  <c r="F1818" i="5"/>
  <c r="N1818" i="5" s="1"/>
  <c r="O1818" i="5" s="1"/>
  <c r="P1818" i="5" s="1"/>
  <c r="E1818" i="5"/>
  <c r="D1818" i="5"/>
  <c r="C1818" i="5"/>
  <c r="P1814" i="5"/>
  <c r="O1814" i="5"/>
  <c r="N1814" i="5"/>
  <c r="M1801" i="5"/>
  <c r="L1801" i="5"/>
  <c r="K1801" i="5"/>
  <c r="J1801" i="5"/>
  <c r="I1801" i="5"/>
  <c r="H1801" i="5"/>
  <c r="G1801" i="5"/>
  <c r="E1801" i="5"/>
  <c r="C1801" i="5"/>
  <c r="N1800" i="5"/>
  <c r="O1800" i="5" s="1"/>
  <c r="P1800" i="5" s="1"/>
  <c r="P1799" i="5"/>
  <c r="N1799" i="5"/>
  <c r="O1799" i="5" s="1"/>
  <c r="H1798" i="5"/>
  <c r="G1798" i="5"/>
  <c r="F1798" i="5"/>
  <c r="E1798" i="5"/>
  <c r="D1798" i="5"/>
  <c r="D1801" i="5" s="1"/>
  <c r="O1797" i="5"/>
  <c r="P1797" i="5" s="1"/>
  <c r="N1797" i="5"/>
  <c r="N1796" i="5"/>
  <c r="O1796" i="5" s="1"/>
  <c r="P1796" i="5" s="1"/>
  <c r="O1795" i="5"/>
  <c r="P1795" i="5" s="1"/>
  <c r="N1795" i="5"/>
  <c r="P1794" i="5"/>
  <c r="O1794" i="5"/>
  <c r="N1794" i="5"/>
  <c r="O1793" i="5"/>
  <c r="P1793" i="5" s="1"/>
  <c r="N1793" i="5"/>
  <c r="N1791" i="5"/>
  <c r="O1791" i="5" s="1"/>
  <c r="P1791" i="5" s="1"/>
  <c r="N1788" i="5"/>
  <c r="O1788" i="5" s="1"/>
  <c r="P1788" i="5" s="1"/>
  <c r="N1786" i="5"/>
  <c r="O1786" i="5" s="1"/>
  <c r="P1786" i="5" s="1"/>
  <c r="M1784" i="5"/>
  <c r="L1784" i="5"/>
  <c r="K1784" i="5"/>
  <c r="J1784" i="5"/>
  <c r="I1784" i="5"/>
  <c r="H1784" i="5"/>
  <c r="G1784" i="5"/>
  <c r="F1784" i="5"/>
  <c r="E1784" i="5"/>
  <c r="D1784" i="5"/>
  <c r="N1784" i="5" s="1"/>
  <c r="C1784" i="5"/>
  <c r="O1782" i="5"/>
  <c r="P1782" i="5" s="1"/>
  <c r="N1782" i="5"/>
  <c r="P1781" i="5"/>
  <c r="O1781" i="5"/>
  <c r="N1781" i="5"/>
  <c r="O1780" i="5"/>
  <c r="P1780" i="5" s="1"/>
  <c r="N1780" i="5"/>
  <c r="N1771" i="5"/>
  <c r="O1771" i="5" s="1"/>
  <c r="P1771" i="5" s="1"/>
  <c r="M1767" i="5"/>
  <c r="L1767" i="5"/>
  <c r="K1767" i="5"/>
  <c r="J1767" i="5"/>
  <c r="I1767" i="5"/>
  <c r="H1767" i="5"/>
  <c r="G1767" i="5"/>
  <c r="F1767" i="5"/>
  <c r="E1767" i="5"/>
  <c r="N1767" i="5" s="1"/>
  <c r="D1767" i="5"/>
  <c r="C1767" i="5"/>
  <c r="O1765" i="5"/>
  <c r="P1765" i="5" s="1"/>
  <c r="N1765" i="5"/>
  <c r="N1756" i="5"/>
  <c r="O1756" i="5" s="1"/>
  <c r="P1756" i="5" s="1"/>
  <c r="M1750" i="5"/>
  <c r="L1750" i="5"/>
  <c r="K1750" i="5"/>
  <c r="J1750" i="5"/>
  <c r="I1750" i="5"/>
  <c r="H1750" i="5"/>
  <c r="G1750" i="5"/>
  <c r="F1750" i="5"/>
  <c r="E1750" i="5"/>
  <c r="D1750" i="5"/>
  <c r="N1750" i="5" s="1"/>
  <c r="O1750" i="5" s="1"/>
  <c r="P1750" i="5" s="1"/>
  <c r="C1750" i="5"/>
  <c r="O1749" i="5"/>
  <c r="P1749" i="5" s="1"/>
  <c r="N1749" i="5"/>
  <c r="N1746" i="5"/>
  <c r="O1746" i="5" s="1"/>
  <c r="P1746" i="5" s="1"/>
  <c r="N1739" i="5"/>
  <c r="O1739" i="5" s="1"/>
  <c r="P1739" i="5" s="1"/>
  <c r="P1737" i="5"/>
  <c r="N1737" i="5"/>
  <c r="O1737" i="5" s="1"/>
  <c r="O1736" i="5"/>
  <c r="P1736" i="5" s="1"/>
  <c r="N1736" i="5"/>
  <c r="M1733" i="5"/>
  <c r="L1733" i="5"/>
  <c r="K1733" i="5"/>
  <c r="J1733" i="5"/>
  <c r="I1733" i="5"/>
  <c r="H1733" i="5"/>
  <c r="G1733" i="5"/>
  <c r="F1733" i="5"/>
  <c r="N1733" i="5" s="1"/>
  <c r="O1733" i="5" s="1"/>
  <c r="P1733" i="5" s="1"/>
  <c r="E1733" i="5"/>
  <c r="D1733" i="5"/>
  <c r="C1733" i="5"/>
  <c r="P1729" i="5"/>
  <c r="O1729" i="5"/>
  <c r="N1729" i="5"/>
  <c r="O1722" i="5"/>
  <c r="P1722" i="5" s="1"/>
  <c r="I1722" i="5"/>
  <c r="N1722" i="5" s="1"/>
  <c r="O1720" i="5"/>
  <c r="P1720" i="5" s="1"/>
  <c r="N1720" i="5"/>
  <c r="N1717" i="5"/>
  <c r="O1717" i="5" s="1"/>
  <c r="P1717" i="5" s="1"/>
  <c r="M1699" i="5"/>
  <c r="L1699" i="5"/>
  <c r="K1699" i="5"/>
  <c r="J1699" i="5"/>
  <c r="I1699" i="5"/>
  <c r="H1699" i="5"/>
  <c r="G1699" i="5"/>
  <c r="F1699" i="5"/>
  <c r="E1699" i="5"/>
  <c r="D1699" i="5"/>
  <c r="N1699" i="5" s="1"/>
  <c r="O1699" i="5" s="1"/>
  <c r="P1699" i="5" s="1"/>
  <c r="C1699" i="5"/>
  <c r="O1697" i="5"/>
  <c r="P1697" i="5" s="1"/>
  <c r="N1697" i="5"/>
  <c r="N1695" i="5"/>
  <c r="O1695" i="5" s="1"/>
  <c r="P1695" i="5" s="1"/>
  <c r="M1682" i="5"/>
  <c r="I1682" i="5"/>
  <c r="H1682" i="5"/>
  <c r="G1682" i="5"/>
  <c r="F1682" i="5"/>
  <c r="E1682" i="5"/>
  <c r="D1682" i="5"/>
  <c r="C1682" i="5"/>
  <c r="M1667" i="5"/>
  <c r="M52" i="6" s="1"/>
  <c r="L1667" i="5"/>
  <c r="L52" i="6" s="1"/>
  <c r="K1667" i="5"/>
  <c r="J1667" i="5"/>
  <c r="J52" i="6" s="1"/>
  <c r="I1667" i="5"/>
  <c r="I52" i="6" s="1"/>
  <c r="M1665" i="5"/>
  <c r="L1665" i="5"/>
  <c r="K1665" i="5"/>
  <c r="J1665" i="5"/>
  <c r="I1665" i="5"/>
  <c r="H1665" i="5"/>
  <c r="G1665" i="5"/>
  <c r="F1665" i="5"/>
  <c r="E1665" i="5"/>
  <c r="D1665" i="5"/>
  <c r="C1665" i="5"/>
  <c r="O1662" i="5"/>
  <c r="P1662" i="5" s="1"/>
  <c r="N1662" i="5"/>
  <c r="P1649" i="5"/>
  <c r="O1649" i="5"/>
  <c r="N1649" i="5"/>
  <c r="M1648" i="5"/>
  <c r="L1648" i="5"/>
  <c r="K1648" i="5"/>
  <c r="H1648" i="5"/>
  <c r="G1648" i="5"/>
  <c r="E1648" i="5"/>
  <c r="D1648" i="5"/>
  <c r="C1648" i="5"/>
  <c r="N1645" i="5"/>
  <c r="O1645" i="5" s="1"/>
  <c r="P1645" i="5" s="1"/>
  <c r="K1632" i="5"/>
  <c r="K51" i="6" s="1"/>
  <c r="J1632" i="5"/>
  <c r="J51" i="6" s="1"/>
  <c r="I1632" i="5"/>
  <c r="I51" i="6" s="1"/>
  <c r="H1632" i="5"/>
  <c r="H51" i="6" s="1"/>
  <c r="G1632" i="5"/>
  <c r="G51" i="6" s="1"/>
  <c r="F1632" i="5"/>
  <c r="M1631" i="5"/>
  <c r="J1631" i="5"/>
  <c r="I1631" i="5"/>
  <c r="F1631" i="5"/>
  <c r="E1631" i="5"/>
  <c r="D1631" i="5"/>
  <c r="C1631" i="5"/>
  <c r="O1628" i="5"/>
  <c r="P1628" i="5" s="1"/>
  <c r="N1628" i="5"/>
  <c r="N1622" i="5"/>
  <c r="O1622" i="5" s="1"/>
  <c r="P1622" i="5" s="1"/>
  <c r="N1621" i="5"/>
  <c r="O1621" i="5" s="1"/>
  <c r="P1621" i="5" s="1"/>
  <c r="M1618" i="5"/>
  <c r="M54" i="6" s="1"/>
  <c r="L1618" i="5"/>
  <c r="L1631" i="5" s="1"/>
  <c r="K1618" i="5"/>
  <c r="K1631" i="5" s="1"/>
  <c r="I1618" i="5"/>
  <c r="H1618" i="5"/>
  <c r="H54" i="6" s="1"/>
  <c r="G1618" i="5"/>
  <c r="N1615" i="5"/>
  <c r="O1615" i="5" s="1"/>
  <c r="P1615" i="5" s="1"/>
  <c r="M1614" i="5"/>
  <c r="L1614" i="5"/>
  <c r="H1614" i="5"/>
  <c r="G1614" i="5"/>
  <c r="F1614" i="5"/>
  <c r="E1614" i="5"/>
  <c r="D1614" i="5"/>
  <c r="C1614" i="5"/>
  <c r="N1611" i="5"/>
  <c r="O1611" i="5" s="1"/>
  <c r="P1611" i="5" s="1"/>
  <c r="N1610" i="5"/>
  <c r="O1610" i="5" s="1"/>
  <c r="P1610" i="5" s="1"/>
  <c r="N1605" i="5"/>
  <c r="O1605" i="5" s="1"/>
  <c r="P1605" i="5" s="1"/>
  <c r="O1604" i="5"/>
  <c r="P1604" i="5" s="1"/>
  <c r="N1604" i="5"/>
  <c r="N1603" i="5"/>
  <c r="O1603" i="5" s="1"/>
  <c r="P1603" i="5" s="1"/>
  <c r="N1602" i="5"/>
  <c r="O1602" i="5" s="1"/>
  <c r="P1602" i="5" s="1"/>
  <c r="P1601" i="5"/>
  <c r="O1601" i="5"/>
  <c r="N1601" i="5"/>
  <c r="L1599" i="5"/>
  <c r="K1599" i="5"/>
  <c r="J1599" i="5"/>
  <c r="I1599" i="5"/>
  <c r="I54" i="6" s="1"/>
  <c r="M1595" i="5"/>
  <c r="L1595" i="5"/>
  <c r="K1595" i="5"/>
  <c r="J1595" i="5"/>
  <c r="I1595" i="5"/>
  <c r="H1595" i="5"/>
  <c r="G1595" i="5"/>
  <c r="F1595" i="5"/>
  <c r="D1595" i="5"/>
  <c r="C1595" i="5"/>
  <c r="P1591" i="5"/>
  <c r="O1591" i="5"/>
  <c r="N1591" i="5"/>
  <c r="O1586" i="5"/>
  <c r="P1586" i="5" s="1"/>
  <c r="N1586" i="5"/>
  <c r="N1585" i="5"/>
  <c r="O1585" i="5" s="1"/>
  <c r="P1585" i="5" s="1"/>
  <c r="N1584" i="5"/>
  <c r="O1584" i="5" s="1"/>
  <c r="P1584" i="5" s="1"/>
  <c r="E1582" i="5"/>
  <c r="E54" i="6" s="1"/>
  <c r="E61" i="6" s="1"/>
  <c r="M1578" i="5"/>
  <c r="L1578" i="5"/>
  <c r="K1578" i="5"/>
  <c r="J1578" i="5"/>
  <c r="I1578" i="5"/>
  <c r="H1578" i="5"/>
  <c r="G1578" i="5"/>
  <c r="F1578" i="5"/>
  <c r="E1578" i="5"/>
  <c r="D1578" i="5"/>
  <c r="C1578" i="5"/>
  <c r="N1576" i="5"/>
  <c r="O1576" i="5" s="1"/>
  <c r="P1576" i="5" s="1"/>
  <c r="N1574" i="5"/>
  <c r="O1574" i="5" s="1"/>
  <c r="P1574" i="5" s="1"/>
  <c r="M1561" i="5"/>
  <c r="L1561" i="5"/>
  <c r="K1561" i="5"/>
  <c r="J1561" i="5"/>
  <c r="I1561" i="5"/>
  <c r="H1561" i="5"/>
  <c r="G1561" i="5"/>
  <c r="F1561" i="5"/>
  <c r="E1561" i="5"/>
  <c r="D1561" i="5"/>
  <c r="C1561" i="5"/>
  <c r="N1557" i="5"/>
  <c r="O1557" i="5" s="1"/>
  <c r="P1557" i="5" s="1"/>
  <c r="N1550" i="5"/>
  <c r="O1550" i="5" s="1"/>
  <c r="P1550" i="5" s="1"/>
  <c r="P1544" i="5"/>
  <c r="M1544" i="5"/>
  <c r="L1544" i="5"/>
  <c r="K1544" i="5"/>
  <c r="J1544" i="5"/>
  <c r="I1544" i="5"/>
  <c r="H1544" i="5"/>
  <c r="G1544" i="5"/>
  <c r="F1544" i="5"/>
  <c r="E1544" i="5"/>
  <c r="D1544" i="5"/>
  <c r="N1544" i="5" s="1"/>
  <c r="O1544" i="5" s="1"/>
  <c r="C1544" i="5"/>
  <c r="N1540" i="5"/>
  <c r="O1540" i="5" s="1"/>
  <c r="P1540" i="5" s="1"/>
  <c r="N1535" i="5"/>
  <c r="O1535" i="5" s="1"/>
  <c r="P1535" i="5" s="1"/>
  <c r="N1534" i="5"/>
  <c r="O1534" i="5" s="1"/>
  <c r="P1534" i="5" s="1"/>
  <c r="O1533" i="5"/>
  <c r="P1533" i="5" s="1"/>
  <c r="N1533" i="5"/>
  <c r="M1527" i="5"/>
  <c r="L1527" i="5"/>
  <c r="K1527" i="5"/>
  <c r="J1527" i="5"/>
  <c r="I1527" i="5"/>
  <c r="H1527" i="5"/>
  <c r="G1527" i="5"/>
  <c r="F1527" i="5"/>
  <c r="N1527" i="5" s="1"/>
  <c r="O1527" i="5" s="1"/>
  <c r="P1527" i="5" s="1"/>
  <c r="E1527" i="5"/>
  <c r="D1527" i="5"/>
  <c r="C1527" i="5"/>
  <c r="P1526" i="5"/>
  <c r="O1526" i="5"/>
  <c r="N1526" i="5"/>
  <c r="O1525" i="5"/>
  <c r="P1525" i="5" s="1"/>
  <c r="N1525" i="5"/>
  <c r="N1516" i="5"/>
  <c r="O1516" i="5" s="1"/>
  <c r="P1516" i="5" s="1"/>
  <c r="N1511" i="5"/>
  <c r="O1511" i="5" s="1"/>
  <c r="P1511" i="5" s="1"/>
  <c r="M1510" i="5"/>
  <c r="L1510" i="5"/>
  <c r="K1510" i="5"/>
  <c r="J1510" i="5"/>
  <c r="I1510" i="5"/>
  <c r="H1510" i="5"/>
  <c r="G1510" i="5"/>
  <c r="F1510" i="5"/>
  <c r="E1510" i="5"/>
  <c r="D1510" i="5"/>
  <c r="C1510" i="5"/>
  <c r="N1506" i="5"/>
  <c r="O1506" i="5" s="1"/>
  <c r="P1506" i="5" s="1"/>
  <c r="N1499" i="5"/>
  <c r="O1499" i="5" s="1"/>
  <c r="P1499" i="5" s="1"/>
  <c r="M1493" i="5"/>
  <c r="L1493" i="5"/>
  <c r="K1493" i="5"/>
  <c r="J1493" i="5"/>
  <c r="I1493" i="5"/>
  <c r="H1493" i="5"/>
  <c r="G1493" i="5"/>
  <c r="F1493" i="5"/>
  <c r="E1493" i="5"/>
  <c r="D1493" i="5"/>
  <c r="C1493" i="5"/>
  <c r="N1489" i="5"/>
  <c r="O1489" i="5" s="1"/>
  <c r="P1489" i="5" s="1"/>
  <c r="N1482" i="5"/>
  <c r="O1482" i="5" s="1"/>
  <c r="P1482" i="5" s="1"/>
  <c r="M1476" i="5"/>
  <c r="L1476" i="5"/>
  <c r="K1476" i="5"/>
  <c r="J1476" i="5"/>
  <c r="I1476" i="5"/>
  <c r="H1476" i="5"/>
  <c r="G1476" i="5"/>
  <c r="F1476" i="5"/>
  <c r="E1476" i="5"/>
  <c r="D1476" i="5"/>
  <c r="N1476" i="5" s="1"/>
  <c r="C1476" i="5"/>
  <c r="N1473" i="5"/>
  <c r="O1473" i="5" s="1"/>
  <c r="P1473" i="5" s="1"/>
  <c r="N1472" i="5"/>
  <c r="O1472" i="5" s="1"/>
  <c r="P1472" i="5" s="1"/>
  <c r="P1467" i="5"/>
  <c r="O1467" i="5"/>
  <c r="N1467" i="5"/>
  <c r="O1465" i="5"/>
  <c r="P1465" i="5" s="1"/>
  <c r="N1465" i="5"/>
  <c r="N1463" i="5"/>
  <c r="O1463" i="5" s="1"/>
  <c r="P1463" i="5" s="1"/>
  <c r="N1460" i="5"/>
  <c r="O1460" i="5" s="1"/>
  <c r="P1460" i="5" s="1"/>
  <c r="M1459" i="5"/>
  <c r="L1459" i="5"/>
  <c r="K1459" i="5"/>
  <c r="J1459" i="5"/>
  <c r="I1459" i="5"/>
  <c r="H1459" i="5"/>
  <c r="G1459" i="5"/>
  <c r="F1459" i="5"/>
  <c r="E1459" i="5"/>
  <c r="D1459" i="5"/>
  <c r="N1459" i="5" s="1"/>
  <c r="C1459" i="5"/>
  <c r="N1458" i="5"/>
  <c r="O1458" i="5" s="1"/>
  <c r="P1458" i="5" s="1"/>
  <c r="N1457" i="5"/>
  <c r="O1457" i="5" s="1"/>
  <c r="P1457" i="5" s="1"/>
  <c r="P1456" i="5"/>
  <c r="O1456" i="5"/>
  <c r="N1456" i="5"/>
  <c r="O1455" i="5"/>
  <c r="P1455" i="5" s="1"/>
  <c r="N1455" i="5"/>
  <c r="N1449" i="5"/>
  <c r="O1449" i="5" s="1"/>
  <c r="P1449" i="5" s="1"/>
  <c r="N1448" i="5"/>
  <c r="O1448" i="5" s="1"/>
  <c r="P1448" i="5" s="1"/>
  <c r="M1442" i="5"/>
  <c r="L1442" i="5"/>
  <c r="K1442" i="5"/>
  <c r="J1442" i="5"/>
  <c r="I1442" i="5"/>
  <c r="H1442" i="5"/>
  <c r="G1442" i="5"/>
  <c r="F1442" i="5"/>
  <c r="E1442" i="5"/>
  <c r="D1442" i="5"/>
  <c r="C1442" i="5"/>
  <c r="N1441" i="5"/>
  <c r="O1441" i="5" s="1"/>
  <c r="P1441" i="5" s="1"/>
  <c r="N1440" i="5"/>
  <c r="O1440" i="5" s="1"/>
  <c r="P1440" i="5" s="1"/>
  <c r="P1434" i="5"/>
  <c r="O1434" i="5"/>
  <c r="N1434" i="5"/>
  <c r="O1433" i="5"/>
  <c r="P1433" i="5" s="1"/>
  <c r="N1433" i="5"/>
  <c r="N1431" i="5"/>
  <c r="O1431" i="5" s="1"/>
  <c r="P1431" i="5" s="1"/>
  <c r="M1425" i="5"/>
  <c r="L1425" i="5"/>
  <c r="K1425" i="5"/>
  <c r="J1425" i="5"/>
  <c r="I1425" i="5"/>
  <c r="H1425" i="5"/>
  <c r="G1425" i="5"/>
  <c r="F1425" i="5"/>
  <c r="E1425" i="5"/>
  <c r="D1425" i="5"/>
  <c r="C1425" i="5"/>
  <c r="O1423" i="5"/>
  <c r="P1423" i="5" s="1"/>
  <c r="N1423" i="5"/>
  <c r="M1408" i="5"/>
  <c r="L1408" i="5"/>
  <c r="K1408" i="5"/>
  <c r="J1408" i="5"/>
  <c r="I1408" i="5"/>
  <c r="H1408" i="5"/>
  <c r="G1408" i="5"/>
  <c r="F1408" i="5"/>
  <c r="N1408" i="5" s="1"/>
  <c r="O1408" i="5" s="1"/>
  <c r="P1408" i="5" s="1"/>
  <c r="E1408" i="5"/>
  <c r="D1408" i="5"/>
  <c r="C1408" i="5"/>
  <c r="P1407" i="5"/>
  <c r="O1407" i="5"/>
  <c r="N1407" i="5"/>
  <c r="O1404" i="5"/>
  <c r="P1404" i="5" s="1"/>
  <c r="N1404" i="5"/>
  <c r="N1393" i="5"/>
  <c r="O1393" i="5" s="1"/>
  <c r="P1393" i="5" s="1"/>
  <c r="M1391" i="5"/>
  <c r="L1391" i="5"/>
  <c r="K1391" i="5"/>
  <c r="J1391" i="5"/>
  <c r="I1391" i="5"/>
  <c r="H1391" i="5"/>
  <c r="G1391" i="5"/>
  <c r="F1391" i="5"/>
  <c r="E1391" i="5"/>
  <c r="C1391" i="5"/>
  <c r="O1390" i="5"/>
  <c r="P1390" i="5" s="1"/>
  <c r="N1390" i="5"/>
  <c r="O1387" i="5"/>
  <c r="P1387" i="5" s="1"/>
  <c r="N1387" i="5"/>
  <c r="N1380" i="5"/>
  <c r="O1380" i="5" s="1"/>
  <c r="P1380" i="5" s="1"/>
  <c r="D1376" i="5"/>
  <c r="M1374" i="5"/>
  <c r="L1374" i="5"/>
  <c r="K1374" i="5"/>
  <c r="J1374" i="5"/>
  <c r="I1374" i="5"/>
  <c r="H1374" i="5"/>
  <c r="G1374" i="5"/>
  <c r="F1374" i="5"/>
  <c r="E1374" i="5"/>
  <c r="D1374" i="5"/>
  <c r="N1374" i="5" s="1"/>
  <c r="C1374" i="5"/>
  <c r="O1370" i="5"/>
  <c r="P1370" i="5" s="1"/>
  <c r="N1370" i="5"/>
  <c r="N1363" i="5"/>
  <c r="O1363" i="5" s="1"/>
  <c r="P1363" i="5" s="1"/>
  <c r="P1358" i="5"/>
  <c r="O1358" i="5"/>
  <c r="N1358" i="5"/>
  <c r="M1323" i="5"/>
  <c r="L1323" i="5"/>
  <c r="K1323" i="5"/>
  <c r="J1323" i="5"/>
  <c r="I1323" i="5"/>
  <c r="H1323" i="5"/>
  <c r="G1323" i="5"/>
  <c r="F1323" i="5"/>
  <c r="E1323" i="5"/>
  <c r="D1323" i="5"/>
  <c r="C1323" i="5"/>
  <c r="P1322" i="5"/>
  <c r="N1322" i="5"/>
  <c r="O1322" i="5" s="1"/>
  <c r="N1321" i="5"/>
  <c r="O1321" i="5" s="1"/>
  <c r="P1321" i="5" s="1"/>
  <c r="N1319" i="5"/>
  <c r="O1319" i="5" s="1"/>
  <c r="P1319" i="5" s="1"/>
  <c r="N1312" i="5"/>
  <c r="O1312" i="5" s="1"/>
  <c r="P1312" i="5" s="1"/>
  <c r="O1310" i="5"/>
  <c r="P1310" i="5" s="1"/>
  <c r="N1310" i="5"/>
  <c r="O1307" i="5"/>
  <c r="P1307" i="5" s="1"/>
  <c r="N1307" i="5"/>
  <c r="M1306" i="5"/>
  <c r="L1306" i="5"/>
  <c r="K1306" i="5"/>
  <c r="J1306" i="5"/>
  <c r="I1306" i="5"/>
  <c r="H1306" i="5"/>
  <c r="G1306" i="5"/>
  <c r="F1306" i="5"/>
  <c r="E1306" i="5"/>
  <c r="D1306" i="5"/>
  <c r="N1306" i="5" s="1"/>
  <c r="C1306" i="5"/>
  <c r="O1306" i="5" s="1"/>
  <c r="P1306" i="5" s="1"/>
  <c r="O1302" i="5"/>
  <c r="P1302" i="5" s="1"/>
  <c r="N1302" i="5"/>
  <c r="N1296" i="5"/>
  <c r="O1296" i="5" s="1"/>
  <c r="P1296" i="5" s="1"/>
  <c r="P1293" i="5"/>
  <c r="O1293" i="5"/>
  <c r="N1293" i="5"/>
  <c r="N1292" i="5"/>
  <c r="O1292" i="5" s="1"/>
  <c r="P1292" i="5" s="1"/>
  <c r="M1289" i="5"/>
  <c r="L1289" i="5"/>
  <c r="K1289" i="5"/>
  <c r="J1289" i="5"/>
  <c r="I1289" i="5"/>
  <c r="H1289" i="5"/>
  <c r="G1289" i="5"/>
  <c r="F1289" i="5"/>
  <c r="N1289" i="5" s="1"/>
  <c r="E1289" i="5"/>
  <c r="D1289" i="5"/>
  <c r="C1289" i="5"/>
  <c r="O1279" i="5"/>
  <c r="P1279" i="5" s="1"/>
  <c r="N1279" i="5"/>
  <c r="O1278" i="5"/>
  <c r="P1278" i="5" s="1"/>
  <c r="N1278" i="5"/>
  <c r="O1276" i="5"/>
  <c r="P1276" i="5" s="1"/>
  <c r="N1276" i="5"/>
  <c r="N1274" i="5"/>
  <c r="O1274" i="5" s="1"/>
  <c r="P1274" i="5" s="1"/>
  <c r="M1272" i="5"/>
  <c r="L1272" i="5"/>
  <c r="K1272" i="5"/>
  <c r="J1272" i="5"/>
  <c r="I1272" i="5"/>
  <c r="H1272" i="5"/>
  <c r="G1272" i="5"/>
  <c r="F1272" i="5"/>
  <c r="E1272" i="5"/>
  <c r="N1272" i="5" s="1"/>
  <c r="O1272" i="5" s="1"/>
  <c r="P1272" i="5" s="1"/>
  <c r="D1272" i="5"/>
  <c r="C1272" i="5"/>
  <c r="N1257" i="5"/>
  <c r="O1257" i="5" s="1"/>
  <c r="P1257" i="5" s="1"/>
  <c r="M1255" i="5"/>
  <c r="L1255" i="5"/>
  <c r="K1255" i="5"/>
  <c r="J1255" i="5"/>
  <c r="I1255" i="5"/>
  <c r="H1255" i="5"/>
  <c r="G1255" i="5"/>
  <c r="F1255" i="5"/>
  <c r="N1255" i="5" s="1"/>
  <c r="O1255" i="5" s="1"/>
  <c r="P1255" i="5" s="1"/>
  <c r="E1255" i="5"/>
  <c r="D1255" i="5"/>
  <c r="C1255" i="5"/>
  <c r="O1241" i="5"/>
  <c r="P1241" i="5" s="1"/>
  <c r="N1241" i="5"/>
  <c r="O1240" i="5"/>
  <c r="P1240" i="5" s="1"/>
  <c r="N1240" i="5"/>
  <c r="M1238" i="5"/>
  <c r="L1238" i="5"/>
  <c r="K1238" i="5"/>
  <c r="J1238" i="5"/>
  <c r="I1238" i="5"/>
  <c r="H1238" i="5"/>
  <c r="G1238" i="5"/>
  <c r="F1238" i="5"/>
  <c r="E1238" i="5"/>
  <c r="D1238" i="5"/>
  <c r="C1238" i="5"/>
  <c r="P1228" i="5"/>
  <c r="N1228" i="5"/>
  <c r="O1228" i="5" s="1"/>
  <c r="N1223" i="5"/>
  <c r="O1223" i="5" s="1"/>
  <c r="P1223" i="5" s="1"/>
  <c r="M1221" i="5"/>
  <c r="L1221" i="5"/>
  <c r="K1221" i="5"/>
  <c r="J1221" i="5"/>
  <c r="I1221" i="5"/>
  <c r="H1221" i="5"/>
  <c r="G1221" i="5"/>
  <c r="F1221" i="5"/>
  <c r="N1221" i="5" s="1"/>
  <c r="O1221" i="5" s="1"/>
  <c r="P1221" i="5" s="1"/>
  <c r="E1221" i="5"/>
  <c r="D1221" i="5"/>
  <c r="C1221" i="5"/>
  <c r="O1220" i="5"/>
  <c r="P1220" i="5" s="1"/>
  <c r="N1220" i="5"/>
  <c r="O1219" i="5"/>
  <c r="P1219" i="5" s="1"/>
  <c r="N1219" i="5"/>
  <c r="N1218" i="5"/>
  <c r="O1218" i="5" s="1"/>
  <c r="P1218" i="5" s="1"/>
  <c r="P1216" i="5"/>
  <c r="O1216" i="5"/>
  <c r="N1216" i="5"/>
  <c r="N1209" i="5"/>
  <c r="O1209" i="5" s="1"/>
  <c r="P1209" i="5" s="1"/>
  <c r="N1205" i="5"/>
  <c r="O1205" i="5" s="1"/>
  <c r="P1205" i="5" s="1"/>
  <c r="M1203" i="5"/>
  <c r="L1203" i="5"/>
  <c r="K1203" i="5"/>
  <c r="J1203" i="5"/>
  <c r="I1203" i="5"/>
  <c r="H1203" i="5"/>
  <c r="G1203" i="5"/>
  <c r="F1203" i="5"/>
  <c r="N1203" i="5" s="1"/>
  <c r="O1203" i="5" s="1"/>
  <c r="P1203" i="5" s="1"/>
  <c r="E1203" i="5"/>
  <c r="D1203" i="5"/>
  <c r="C1203" i="5"/>
  <c r="O1189" i="5"/>
  <c r="P1189" i="5" s="1"/>
  <c r="N1189" i="5"/>
  <c r="O1186" i="5"/>
  <c r="P1186" i="5" s="1"/>
  <c r="J1186" i="5"/>
  <c r="I1186" i="5"/>
  <c r="H1186" i="5"/>
  <c r="G1186" i="5"/>
  <c r="C1186" i="5"/>
  <c r="P1182" i="5"/>
  <c r="O1182" i="5"/>
  <c r="N1182" i="5"/>
  <c r="N1175" i="5"/>
  <c r="O1175" i="5" s="1"/>
  <c r="P1175" i="5" s="1"/>
  <c r="M1173" i="5"/>
  <c r="M1186" i="5" s="1"/>
  <c r="L1173" i="5"/>
  <c r="L1186" i="5" s="1"/>
  <c r="K1173" i="5"/>
  <c r="K1186" i="5" s="1"/>
  <c r="J1173" i="5"/>
  <c r="I1173" i="5"/>
  <c r="H1173" i="5"/>
  <c r="G1173" i="5"/>
  <c r="F1173" i="5"/>
  <c r="F1186" i="5" s="1"/>
  <c r="E1173" i="5"/>
  <c r="E1186" i="5" s="1"/>
  <c r="D1173" i="5"/>
  <c r="D1186" i="5" s="1"/>
  <c r="N1186" i="5" s="1"/>
  <c r="M1169" i="5"/>
  <c r="L1169" i="5"/>
  <c r="K1169" i="5"/>
  <c r="J1169" i="5"/>
  <c r="I1169" i="5"/>
  <c r="H1169" i="5"/>
  <c r="F1169" i="5"/>
  <c r="C1169" i="5"/>
  <c r="N1159" i="5"/>
  <c r="O1159" i="5" s="1"/>
  <c r="P1159" i="5" s="1"/>
  <c r="H1159" i="5"/>
  <c r="G1159" i="5"/>
  <c r="G1169" i="5" s="1"/>
  <c r="F1159" i="5"/>
  <c r="E1159" i="5"/>
  <c r="E1169" i="5" s="1"/>
  <c r="D1159" i="5"/>
  <c r="D1169" i="5" s="1"/>
  <c r="N1154" i="5"/>
  <c r="O1154" i="5" s="1"/>
  <c r="P1154" i="5" s="1"/>
  <c r="M1152" i="5"/>
  <c r="L1152" i="5"/>
  <c r="K1152" i="5"/>
  <c r="J1152" i="5"/>
  <c r="I1152" i="5"/>
  <c r="H1152" i="5"/>
  <c r="G1152" i="5"/>
  <c r="F1152" i="5"/>
  <c r="E1152" i="5"/>
  <c r="D1152" i="5"/>
  <c r="N1152" i="5" s="1"/>
  <c r="C1152" i="5"/>
  <c r="O1149" i="5"/>
  <c r="P1149" i="5" s="1"/>
  <c r="N1149" i="5"/>
  <c r="N1148" i="5"/>
  <c r="O1148" i="5" s="1"/>
  <c r="P1148" i="5" s="1"/>
  <c r="P1139" i="5"/>
  <c r="O1139" i="5"/>
  <c r="N1139" i="5"/>
  <c r="L1135" i="5"/>
  <c r="J1135" i="5"/>
  <c r="H1135" i="5"/>
  <c r="D1135" i="5"/>
  <c r="C1135" i="5"/>
  <c r="N1131" i="5"/>
  <c r="O1131" i="5" s="1"/>
  <c r="P1131" i="5" s="1"/>
  <c r="O1127" i="5"/>
  <c r="P1127" i="5" s="1"/>
  <c r="N1127" i="5"/>
  <c r="O1126" i="5"/>
  <c r="P1126" i="5" s="1"/>
  <c r="N1126" i="5"/>
  <c r="O1125" i="5"/>
  <c r="P1125" i="5" s="1"/>
  <c r="N1125" i="5"/>
  <c r="N1124" i="5"/>
  <c r="O1124" i="5" s="1"/>
  <c r="P1124" i="5" s="1"/>
  <c r="P1122" i="5"/>
  <c r="O1122" i="5"/>
  <c r="N1122" i="5"/>
  <c r="N1121" i="5"/>
  <c r="O1121" i="5" s="1"/>
  <c r="P1121" i="5" s="1"/>
  <c r="M1120" i="5"/>
  <c r="M1135" i="5" s="1"/>
  <c r="L1120" i="5"/>
  <c r="L30" i="6" s="1"/>
  <c r="L39" i="6" s="1"/>
  <c r="K1120" i="5"/>
  <c r="K1135" i="5" s="1"/>
  <c r="J1120" i="5"/>
  <c r="J30" i="6" s="1"/>
  <c r="J39" i="6" s="1"/>
  <c r="I1120" i="5"/>
  <c r="I1135" i="5" s="1"/>
  <c r="H1120" i="5"/>
  <c r="G1120" i="5"/>
  <c r="G1135" i="5" s="1"/>
  <c r="F1120" i="5"/>
  <c r="F1135" i="5" s="1"/>
  <c r="E1120" i="5"/>
  <c r="E1135" i="5" s="1"/>
  <c r="L1118" i="5"/>
  <c r="J1118" i="5"/>
  <c r="H1118" i="5"/>
  <c r="G1118" i="5"/>
  <c r="F1118" i="5"/>
  <c r="C1118" i="5"/>
  <c r="P1117" i="5"/>
  <c r="O1117" i="5"/>
  <c r="N1117" i="5"/>
  <c r="P1115" i="5"/>
  <c r="N1115" i="5"/>
  <c r="O1115" i="5" s="1"/>
  <c r="N1114" i="5"/>
  <c r="O1114" i="5" s="1"/>
  <c r="P1114" i="5" s="1"/>
  <c r="N1113" i="5"/>
  <c r="O1113" i="5" s="1"/>
  <c r="P1113" i="5" s="1"/>
  <c r="O1112" i="5"/>
  <c r="P1112" i="5" s="1"/>
  <c r="N1112" i="5"/>
  <c r="O1111" i="5"/>
  <c r="P1111" i="5" s="1"/>
  <c r="N1111" i="5"/>
  <c r="O1110" i="5"/>
  <c r="P1110" i="5" s="1"/>
  <c r="N1110" i="5"/>
  <c r="N1109" i="5"/>
  <c r="O1109" i="5" s="1"/>
  <c r="P1109" i="5" s="1"/>
  <c r="P1108" i="5"/>
  <c r="O1108" i="5"/>
  <c r="N1108" i="5"/>
  <c r="P1107" i="5"/>
  <c r="N1107" i="5"/>
  <c r="O1107" i="5" s="1"/>
  <c r="M1103" i="5"/>
  <c r="M30" i="6" s="1"/>
  <c r="M39" i="6" s="1"/>
  <c r="K1103" i="5"/>
  <c r="I1103" i="5"/>
  <c r="H1103" i="5"/>
  <c r="H30" i="6" s="1"/>
  <c r="H39" i="6" s="1"/>
  <c r="G1103" i="5"/>
  <c r="G30" i="6" s="1"/>
  <c r="G39" i="6" s="1"/>
  <c r="F1103" i="5"/>
  <c r="E1103" i="5"/>
  <c r="E30" i="6" s="1"/>
  <c r="E39" i="6" s="1"/>
  <c r="D1103" i="5"/>
  <c r="D30" i="6" s="1"/>
  <c r="M1101" i="5"/>
  <c r="J1101" i="5"/>
  <c r="I1101" i="5"/>
  <c r="G1101" i="5"/>
  <c r="E1101" i="5"/>
  <c r="D1101" i="5"/>
  <c r="O1097" i="5"/>
  <c r="P1097" i="5" s="1"/>
  <c r="N1097" i="5"/>
  <c r="O1091" i="5"/>
  <c r="P1091" i="5" s="1"/>
  <c r="N1091" i="5"/>
  <c r="L1088" i="5"/>
  <c r="L21" i="6" s="1"/>
  <c r="K1088" i="5"/>
  <c r="K21" i="6" s="1"/>
  <c r="I1088" i="5"/>
  <c r="I21" i="6" s="1"/>
  <c r="H1088" i="5"/>
  <c r="C1088" i="5"/>
  <c r="C21" i="6" s="1"/>
  <c r="N1085" i="5"/>
  <c r="O1085" i="5" s="1"/>
  <c r="P1085" i="5" s="1"/>
  <c r="H1084" i="5"/>
  <c r="F1084" i="5"/>
  <c r="E1084" i="5"/>
  <c r="D1084" i="5"/>
  <c r="O1081" i="5"/>
  <c r="P1081" i="5" s="1"/>
  <c r="N1081" i="5"/>
  <c r="O1080" i="5"/>
  <c r="P1080" i="5" s="1"/>
  <c r="N1080" i="5"/>
  <c r="N1075" i="5"/>
  <c r="O1075" i="5" s="1"/>
  <c r="P1075" i="5" s="1"/>
  <c r="P1073" i="5"/>
  <c r="O1073" i="5"/>
  <c r="N1073" i="5"/>
  <c r="M1069" i="5"/>
  <c r="L1069" i="5"/>
  <c r="K1069" i="5"/>
  <c r="J1069" i="5"/>
  <c r="J19" i="6" s="1"/>
  <c r="C1069" i="5"/>
  <c r="C19" i="6" s="1"/>
  <c r="N1068" i="5"/>
  <c r="O1068" i="5" s="1"/>
  <c r="P1068" i="5" s="1"/>
  <c r="M1068" i="5"/>
  <c r="M18" i="6" s="1"/>
  <c r="L1068" i="5"/>
  <c r="L18" i="6" s="1"/>
  <c r="K1068" i="5"/>
  <c r="K18" i="6" s="1"/>
  <c r="J1068" i="5"/>
  <c r="J18" i="6" s="1"/>
  <c r="I1068" i="5"/>
  <c r="I18" i="6" s="1"/>
  <c r="G1068" i="5"/>
  <c r="G18" i="6" s="1"/>
  <c r="G28" i="6" s="1"/>
  <c r="D1068" i="5"/>
  <c r="D18" i="6" s="1"/>
  <c r="K1067" i="5"/>
  <c r="J1067" i="5"/>
  <c r="I1067" i="5"/>
  <c r="H1067" i="5"/>
  <c r="G1067" i="5"/>
  <c r="F1067" i="5"/>
  <c r="E1067" i="5"/>
  <c r="D1067" i="5"/>
  <c r="C1067" i="5"/>
  <c r="N1057" i="5"/>
  <c r="O1057" i="5" s="1"/>
  <c r="P1057" i="5" s="1"/>
  <c r="M1052" i="5"/>
  <c r="M1067" i="5" s="1"/>
  <c r="L1052" i="5"/>
  <c r="L1067" i="5" s="1"/>
  <c r="K1052" i="5"/>
  <c r="N1052" i="5" s="1"/>
  <c r="O1052" i="5" s="1"/>
  <c r="P1052" i="5" s="1"/>
  <c r="J1050" i="5"/>
  <c r="I1050" i="5"/>
  <c r="H1050" i="5"/>
  <c r="G1050" i="5"/>
  <c r="F1050" i="5"/>
  <c r="E1050" i="5"/>
  <c r="D1050" i="5"/>
  <c r="C1050" i="5"/>
  <c r="M1036" i="5"/>
  <c r="L1036" i="5"/>
  <c r="K1036" i="5"/>
  <c r="M1035" i="5"/>
  <c r="L1035" i="5"/>
  <c r="K1035" i="5"/>
  <c r="L1033" i="5"/>
  <c r="K1033" i="5"/>
  <c r="I1033" i="5"/>
  <c r="G1033" i="5"/>
  <c r="D1033" i="5"/>
  <c r="C1033" i="5"/>
  <c r="O1030" i="5"/>
  <c r="P1030" i="5" s="1"/>
  <c r="N1030" i="5"/>
  <c r="M1019" i="5"/>
  <c r="L1019" i="5"/>
  <c r="L20" i="6" s="1"/>
  <c r="K1019" i="5"/>
  <c r="K20" i="6" s="1"/>
  <c r="J1019" i="5"/>
  <c r="I1019" i="5"/>
  <c r="I20" i="6" s="1"/>
  <c r="H1019" i="5"/>
  <c r="H20" i="6" s="1"/>
  <c r="G1019" i="5"/>
  <c r="G20" i="6" s="1"/>
  <c r="F1019" i="5"/>
  <c r="F20" i="6" s="1"/>
  <c r="E1019" i="5"/>
  <c r="E20" i="6" s="1"/>
  <c r="E28" i="6" s="1"/>
  <c r="D1019" i="5"/>
  <c r="M1016" i="5"/>
  <c r="L1016" i="5"/>
  <c r="K1016" i="5"/>
  <c r="J1016" i="5"/>
  <c r="I1016" i="5"/>
  <c r="H1016" i="5"/>
  <c r="G1016" i="5"/>
  <c r="F1016" i="5"/>
  <c r="E1016" i="5"/>
  <c r="C1016" i="5"/>
  <c r="D1002" i="5"/>
  <c r="L999" i="5"/>
  <c r="K999" i="5"/>
  <c r="J999" i="5"/>
  <c r="I999" i="5"/>
  <c r="H999" i="5"/>
  <c r="G999" i="5"/>
  <c r="F999" i="5"/>
  <c r="E999" i="5"/>
  <c r="D999" i="5"/>
  <c r="C999" i="5"/>
  <c r="O996" i="5"/>
  <c r="P996" i="5" s="1"/>
  <c r="N996" i="5"/>
  <c r="M984" i="5"/>
  <c r="M982" i="5"/>
  <c r="L982" i="5"/>
  <c r="K982" i="5"/>
  <c r="J982" i="5"/>
  <c r="I982" i="5"/>
  <c r="H982" i="5"/>
  <c r="G982" i="5"/>
  <c r="F982" i="5"/>
  <c r="N982" i="5" s="1"/>
  <c r="O982" i="5" s="1"/>
  <c r="P982" i="5" s="1"/>
  <c r="E982" i="5"/>
  <c r="D982" i="5"/>
  <c r="C982" i="5"/>
  <c r="O979" i="5"/>
  <c r="P979" i="5" s="1"/>
  <c r="N979" i="5"/>
  <c r="M965" i="5"/>
  <c r="K965" i="5"/>
  <c r="J965" i="5"/>
  <c r="I965" i="5"/>
  <c r="G965" i="5"/>
  <c r="E965" i="5"/>
  <c r="C965" i="5"/>
  <c r="P963" i="5"/>
  <c r="O963" i="5"/>
  <c r="N963" i="5"/>
  <c r="P961" i="5"/>
  <c r="N961" i="5"/>
  <c r="O961" i="5" s="1"/>
  <c r="N956" i="5"/>
  <c r="O956" i="5" s="1"/>
  <c r="P956" i="5" s="1"/>
  <c r="N955" i="5"/>
  <c r="O955" i="5" s="1"/>
  <c r="P955" i="5" s="1"/>
  <c r="O954" i="5"/>
  <c r="P954" i="5" s="1"/>
  <c r="N954" i="5"/>
  <c r="O953" i="5"/>
  <c r="P953" i="5" s="1"/>
  <c r="M953" i="5"/>
  <c r="L953" i="5"/>
  <c r="L965" i="5" s="1"/>
  <c r="K953" i="5"/>
  <c r="J953" i="5"/>
  <c r="I953" i="5"/>
  <c r="H953" i="5"/>
  <c r="G953" i="5"/>
  <c r="F953" i="5"/>
  <c r="F965" i="5" s="1"/>
  <c r="E953" i="5"/>
  <c r="D953" i="5"/>
  <c r="N953" i="5" s="1"/>
  <c r="C953" i="5"/>
  <c r="H951" i="5"/>
  <c r="G951" i="5"/>
  <c r="O949" i="5"/>
  <c r="P949" i="5" s="1"/>
  <c r="H949" i="5"/>
  <c r="G949" i="5"/>
  <c r="D949" i="5"/>
  <c r="N949" i="5" s="1"/>
  <c r="M947" i="5"/>
  <c r="L947" i="5"/>
  <c r="K947" i="5"/>
  <c r="J947" i="5"/>
  <c r="I947" i="5"/>
  <c r="H947" i="5"/>
  <c r="G947" i="5"/>
  <c r="F947" i="5"/>
  <c r="E947" i="5"/>
  <c r="D947" i="5"/>
  <c r="C947" i="5"/>
  <c r="N945" i="5"/>
  <c r="O945" i="5" s="1"/>
  <c r="P945" i="5" s="1"/>
  <c r="N944" i="5"/>
  <c r="O944" i="5" s="1"/>
  <c r="P944" i="5" s="1"/>
  <c r="O943" i="5"/>
  <c r="P943" i="5" s="1"/>
  <c r="N943" i="5"/>
  <c r="M930" i="5"/>
  <c r="L930" i="5"/>
  <c r="K930" i="5"/>
  <c r="J930" i="5"/>
  <c r="I930" i="5"/>
  <c r="H930" i="5"/>
  <c r="G930" i="5"/>
  <c r="F930" i="5"/>
  <c r="E930" i="5"/>
  <c r="D930" i="5"/>
  <c r="N930" i="5" s="1"/>
  <c r="O930" i="5" s="1"/>
  <c r="P930" i="5" s="1"/>
  <c r="C930" i="5"/>
  <c r="N929" i="5"/>
  <c r="O929" i="5" s="1"/>
  <c r="P929" i="5" s="1"/>
  <c r="P927" i="5"/>
  <c r="O927" i="5"/>
  <c r="N927" i="5"/>
  <c r="P926" i="5"/>
  <c r="N926" i="5"/>
  <c r="O926" i="5" s="1"/>
  <c r="N920" i="5"/>
  <c r="O920" i="5" s="1"/>
  <c r="P920" i="5" s="1"/>
  <c r="M913" i="5"/>
  <c r="L913" i="5"/>
  <c r="K913" i="5"/>
  <c r="J913" i="5"/>
  <c r="I913" i="5"/>
  <c r="H913" i="5"/>
  <c r="G913" i="5"/>
  <c r="F913" i="5"/>
  <c r="N913" i="5" s="1"/>
  <c r="O913" i="5" s="1"/>
  <c r="P913" i="5" s="1"/>
  <c r="E913" i="5"/>
  <c r="D913" i="5"/>
  <c r="C913" i="5"/>
  <c r="O909" i="5"/>
  <c r="P909" i="5" s="1"/>
  <c r="N909" i="5"/>
  <c r="M896" i="5"/>
  <c r="L896" i="5"/>
  <c r="K896" i="5"/>
  <c r="J896" i="5"/>
  <c r="I896" i="5"/>
  <c r="G896" i="5"/>
  <c r="F896" i="5"/>
  <c r="E896" i="5"/>
  <c r="D896" i="5"/>
  <c r="C896" i="5"/>
  <c r="P887" i="5"/>
  <c r="O887" i="5"/>
  <c r="N887" i="5"/>
  <c r="N885" i="5"/>
  <c r="O885" i="5" s="1"/>
  <c r="P885" i="5" s="1"/>
  <c r="N880" i="5"/>
  <c r="O880" i="5" s="1"/>
  <c r="P880" i="5" s="1"/>
  <c r="H880" i="5"/>
  <c r="H896" i="5" s="1"/>
  <c r="G880" i="5"/>
  <c r="M879" i="5"/>
  <c r="K879" i="5"/>
  <c r="J879" i="5"/>
  <c r="H879" i="5"/>
  <c r="G879" i="5"/>
  <c r="F879" i="5"/>
  <c r="E879" i="5"/>
  <c r="D879" i="5"/>
  <c r="C879" i="5"/>
  <c r="N875" i="5"/>
  <c r="O875" i="5" s="1"/>
  <c r="P875" i="5" s="1"/>
  <c r="O868" i="5"/>
  <c r="P868" i="5" s="1"/>
  <c r="N868" i="5"/>
  <c r="L866" i="5"/>
  <c r="L10" i="6" s="1"/>
  <c r="K866" i="5"/>
  <c r="K10" i="6" s="1"/>
  <c r="J866" i="5"/>
  <c r="J10" i="6" s="1"/>
  <c r="I866" i="5"/>
  <c r="I10" i="6" s="1"/>
  <c r="N863" i="5"/>
  <c r="O863" i="5" s="1"/>
  <c r="P863" i="5" s="1"/>
  <c r="M862" i="5"/>
  <c r="L862" i="5"/>
  <c r="I862" i="5"/>
  <c r="H862" i="5"/>
  <c r="G862" i="5"/>
  <c r="F862" i="5"/>
  <c r="E862" i="5"/>
  <c r="D862" i="5"/>
  <c r="C862" i="5"/>
  <c r="O858" i="5"/>
  <c r="P858" i="5" s="1"/>
  <c r="N858" i="5"/>
  <c r="D858" i="5"/>
  <c r="D13" i="6" s="1"/>
  <c r="N13" i="6" s="1"/>
  <c r="M846" i="5"/>
  <c r="M7" i="6" s="1"/>
  <c r="L846" i="5"/>
  <c r="L7" i="6" s="1"/>
  <c r="K846" i="5"/>
  <c r="J846" i="5"/>
  <c r="J7" i="6" s="1"/>
  <c r="I846" i="5"/>
  <c r="I7" i="6" s="1"/>
  <c r="K845" i="5"/>
  <c r="I845" i="5"/>
  <c r="H845" i="5"/>
  <c r="F845" i="5"/>
  <c r="C845" i="5"/>
  <c r="N841" i="5"/>
  <c r="O841" i="5" s="1"/>
  <c r="P841" i="5" s="1"/>
  <c r="O835" i="5"/>
  <c r="P835" i="5" s="1"/>
  <c r="N835" i="5"/>
  <c r="M830" i="5"/>
  <c r="M845" i="5" s="1"/>
  <c r="L830" i="5"/>
  <c r="L845" i="5" s="1"/>
  <c r="K830" i="5"/>
  <c r="J830" i="5"/>
  <c r="J845" i="5" s="1"/>
  <c r="I830" i="5"/>
  <c r="H830" i="5"/>
  <c r="G830" i="5"/>
  <c r="G845" i="5" s="1"/>
  <c r="E830" i="5"/>
  <c r="E845" i="5" s="1"/>
  <c r="D830" i="5"/>
  <c r="D845" i="5" s="1"/>
  <c r="M828" i="5"/>
  <c r="L828" i="5"/>
  <c r="K828" i="5"/>
  <c r="J828" i="5"/>
  <c r="I828" i="5"/>
  <c r="H828" i="5"/>
  <c r="F828" i="5"/>
  <c r="C828" i="5"/>
  <c r="N813" i="5"/>
  <c r="O813" i="5" s="1"/>
  <c r="P813" i="5" s="1"/>
  <c r="H813" i="5"/>
  <c r="G813" i="5"/>
  <c r="G828" i="5" s="1"/>
  <c r="F813" i="5"/>
  <c r="E813" i="5"/>
  <c r="E828" i="5" s="1"/>
  <c r="D813" i="5"/>
  <c r="D828" i="5" s="1"/>
  <c r="M811" i="5"/>
  <c r="L811" i="5"/>
  <c r="J811" i="5"/>
  <c r="I811" i="5"/>
  <c r="G811" i="5"/>
  <c r="F811" i="5"/>
  <c r="D811" i="5"/>
  <c r="C811" i="5"/>
  <c r="O802" i="5"/>
  <c r="P802" i="5" s="1"/>
  <c r="N802" i="5"/>
  <c r="K796" i="5"/>
  <c r="K811" i="5" s="1"/>
  <c r="J796" i="5"/>
  <c r="I796" i="5"/>
  <c r="H796" i="5"/>
  <c r="H811" i="5" s="1"/>
  <c r="G796" i="5"/>
  <c r="F796" i="5"/>
  <c r="E796" i="5"/>
  <c r="E811" i="5" s="1"/>
  <c r="N811" i="5" s="1"/>
  <c r="O811" i="5" s="1"/>
  <c r="P811" i="5" s="1"/>
  <c r="D796" i="5"/>
  <c r="M794" i="5"/>
  <c r="J794" i="5"/>
  <c r="H794" i="5"/>
  <c r="E794" i="5"/>
  <c r="C794" i="5"/>
  <c r="N790" i="5"/>
  <c r="O790" i="5" s="1"/>
  <c r="P790" i="5" s="1"/>
  <c r="K788" i="5"/>
  <c r="K12" i="6" s="1"/>
  <c r="J788" i="5"/>
  <c r="J12" i="6" s="1"/>
  <c r="I788" i="5"/>
  <c r="I12" i="6" s="1"/>
  <c r="D788" i="5"/>
  <c r="D12" i="6" s="1"/>
  <c r="O787" i="5"/>
  <c r="P787" i="5" s="1"/>
  <c r="N787" i="5"/>
  <c r="N785" i="5"/>
  <c r="O785" i="5" s="1"/>
  <c r="P785" i="5" s="1"/>
  <c r="P784" i="5"/>
  <c r="O784" i="5"/>
  <c r="N784" i="5"/>
  <c r="N783" i="5"/>
  <c r="O783" i="5" s="1"/>
  <c r="P783" i="5" s="1"/>
  <c r="M779" i="5"/>
  <c r="M8" i="6" s="1"/>
  <c r="L779" i="5"/>
  <c r="K779" i="5"/>
  <c r="J779" i="5"/>
  <c r="I779" i="5"/>
  <c r="I8" i="6" s="1"/>
  <c r="H779" i="5"/>
  <c r="G779" i="5"/>
  <c r="F779" i="5"/>
  <c r="E779" i="5"/>
  <c r="M777" i="5"/>
  <c r="L777" i="5"/>
  <c r="K777" i="5"/>
  <c r="J777" i="5"/>
  <c r="I777" i="5"/>
  <c r="H777" i="5"/>
  <c r="G777" i="5"/>
  <c r="E777" i="5"/>
  <c r="C777" i="5"/>
  <c r="P774" i="5"/>
  <c r="O774" i="5"/>
  <c r="N774" i="5"/>
  <c r="P772" i="5"/>
  <c r="N772" i="5"/>
  <c r="O772" i="5" s="1"/>
  <c r="N763" i="5"/>
  <c r="O763" i="5" s="1"/>
  <c r="P763" i="5" s="1"/>
  <c r="F763" i="5"/>
  <c r="F9" i="6" s="1"/>
  <c r="E763" i="5"/>
  <c r="E9" i="6" s="1"/>
  <c r="D763" i="5"/>
  <c r="M759" i="5"/>
  <c r="L759" i="5"/>
  <c r="K759" i="5"/>
  <c r="J759" i="5"/>
  <c r="I759" i="5"/>
  <c r="H759" i="5"/>
  <c r="G759" i="5"/>
  <c r="F759" i="5"/>
  <c r="E759" i="5"/>
  <c r="D759" i="5"/>
  <c r="C759" i="5"/>
  <c r="O758" i="5"/>
  <c r="P758" i="5" s="1"/>
  <c r="N758" i="5"/>
  <c r="N755" i="5"/>
  <c r="O755" i="5" s="1"/>
  <c r="P755" i="5" s="1"/>
  <c r="M742" i="5"/>
  <c r="L742" i="5"/>
  <c r="K742" i="5"/>
  <c r="J742" i="5"/>
  <c r="I742" i="5"/>
  <c r="H742" i="5"/>
  <c r="G742" i="5"/>
  <c r="F742" i="5"/>
  <c r="E742" i="5"/>
  <c r="D742" i="5"/>
  <c r="C742" i="5"/>
  <c r="N741" i="5"/>
  <c r="O741" i="5" s="1"/>
  <c r="P741" i="5" s="1"/>
  <c r="N738" i="5"/>
  <c r="O738" i="5" s="1"/>
  <c r="P738" i="5" s="1"/>
  <c r="O731" i="5"/>
  <c r="P731" i="5" s="1"/>
  <c r="N731" i="5"/>
  <c r="O726" i="5"/>
  <c r="P726" i="5" s="1"/>
  <c r="N726" i="5"/>
  <c r="C725" i="5"/>
  <c r="P724" i="5"/>
  <c r="O724" i="5"/>
  <c r="N724" i="5"/>
  <c r="N723" i="5"/>
  <c r="O723" i="5" s="1"/>
  <c r="P723" i="5" s="1"/>
  <c r="N721" i="5"/>
  <c r="O721" i="5" s="1"/>
  <c r="P721" i="5" s="1"/>
  <c r="N716" i="5"/>
  <c r="O716" i="5" s="1"/>
  <c r="P716" i="5" s="1"/>
  <c r="O715" i="5"/>
  <c r="P715" i="5" s="1"/>
  <c r="N715" i="5"/>
  <c r="O714" i="5"/>
  <c r="P714" i="5" s="1"/>
  <c r="N714" i="5"/>
  <c r="M710" i="5"/>
  <c r="M725" i="5" s="1"/>
  <c r="L710" i="5"/>
  <c r="L725" i="5" s="1"/>
  <c r="K710" i="5"/>
  <c r="K725" i="5" s="1"/>
  <c r="J710" i="5"/>
  <c r="J725" i="5" s="1"/>
  <c r="I710" i="5"/>
  <c r="I725" i="5" s="1"/>
  <c r="H710" i="5"/>
  <c r="H725" i="5" s="1"/>
  <c r="G710" i="5"/>
  <c r="G725" i="5" s="1"/>
  <c r="F710" i="5"/>
  <c r="F725" i="5" s="1"/>
  <c r="E710" i="5"/>
  <c r="E725" i="5" s="1"/>
  <c r="D710" i="5"/>
  <c r="O708" i="5"/>
  <c r="P708" i="5" s="1"/>
  <c r="M708" i="5"/>
  <c r="L708" i="5"/>
  <c r="K708" i="5"/>
  <c r="J708" i="5"/>
  <c r="I708" i="5"/>
  <c r="H708" i="5"/>
  <c r="G708" i="5"/>
  <c r="F708" i="5"/>
  <c r="E708" i="5"/>
  <c r="D708" i="5"/>
  <c r="N708" i="5" s="1"/>
  <c r="C708" i="5"/>
  <c r="N707" i="5"/>
  <c r="O707" i="5" s="1"/>
  <c r="P707" i="5" s="1"/>
  <c r="P705" i="5"/>
  <c r="O705" i="5"/>
  <c r="N705" i="5"/>
  <c r="P704" i="5"/>
  <c r="N704" i="5"/>
  <c r="O704" i="5" s="1"/>
  <c r="N697" i="5"/>
  <c r="O697" i="5" s="1"/>
  <c r="P697" i="5" s="1"/>
  <c r="L691" i="5"/>
  <c r="J691" i="5"/>
  <c r="I691" i="5"/>
  <c r="F691" i="5"/>
  <c r="D691" i="5"/>
  <c r="C691" i="5"/>
  <c r="O690" i="5"/>
  <c r="P690" i="5" s="1"/>
  <c r="N690" i="5"/>
  <c r="O689" i="5"/>
  <c r="P689" i="5" s="1"/>
  <c r="N689" i="5"/>
  <c r="N687" i="5"/>
  <c r="O687" i="5" s="1"/>
  <c r="P687" i="5" s="1"/>
  <c r="M675" i="5"/>
  <c r="M691" i="5" s="1"/>
  <c r="L675" i="5"/>
  <c r="K675" i="5"/>
  <c r="K691" i="5" s="1"/>
  <c r="J675" i="5"/>
  <c r="I675" i="5"/>
  <c r="H675" i="5"/>
  <c r="H691" i="5" s="1"/>
  <c r="G675" i="5"/>
  <c r="G691" i="5" s="1"/>
  <c r="F675" i="5"/>
  <c r="E675" i="5"/>
  <c r="D675" i="5"/>
  <c r="J674" i="5"/>
  <c r="I674" i="5"/>
  <c r="H674" i="5"/>
  <c r="G674" i="5"/>
  <c r="F674" i="5"/>
  <c r="E674" i="5"/>
  <c r="D674" i="5"/>
  <c r="C674" i="5"/>
  <c r="P673" i="5"/>
  <c r="N673" i="5"/>
  <c r="O673" i="5" s="1"/>
  <c r="N672" i="5"/>
  <c r="O672" i="5" s="1"/>
  <c r="P672" i="5" s="1"/>
  <c r="N670" i="5"/>
  <c r="O670" i="5" s="1"/>
  <c r="P670" i="5" s="1"/>
  <c r="O664" i="5"/>
  <c r="P664" i="5" s="1"/>
  <c r="N664" i="5"/>
  <c r="N663" i="5"/>
  <c r="O663" i="5" s="1"/>
  <c r="P663" i="5" s="1"/>
  <c r="O661" i="5"/>
  <c r="P661" i="5" s="1"/>
  <c r="N661" i="5"/>
  <c r="M658" i="5"/>
  <c r="M674" i="5" s="1"/>
  <c r="L658" i="5"/>
  <c r="L674" i="5" s="1"/>
  <c r="K658" i="5"/>
  <c r="K674" i="5" s="1"/>
  <c r="M657" i="5"/>
  <c r="L657" i="5"/>
  <c r="K657" i="5"/>
  <c r="J657" i="5"/>
  <c r="I657" i="5"/>
  <c r="H657" i="5"/>
  <c r="G657" i="5"/>
  <c r="F657" i="5"/>
  <c r="E657" i="5"/>
  <c r="C657" i="5"/>
  <c r="N653" i="5"/>
  <c r="O653" i="5" s="1"/>
  <c r="P653" i="5" s="1"/>
  <c r="O644" i="5"/>
  <c r="P644" i="5" s="1"/>
  <c r="N644" i="5"/>
  <c r="N642" i="5"/>
  <c r="O642" i="5" s="1"/>
  <c r="P642" i="5" s="1"/>
  <c r="J641" i="5"/>
  <c r="I641" i="5"/>
  <c r="D641" i="5"/>
  <c r="N641" i="5" s="1"/>
  <c r="O641" i="5" s="1"/>
  <c r="P641" i="5" s="1"/>
  <c r="K640" i="5"/>
  <c r="H640" i="5"/>
  <c r="G640" i="5"/>
  <c r="E640" i="5"/>
  <c r="D640" i="5"/>
  <c r="C640" i="5"/>
  <c r="K636" i="5"/>
  <c r="J636" i="5"/>
  <c r="I636" i="5"/>
  <c r="I640" i="5" s="1"/>
  <c r="O631" i="5"/>
  <c r="P631" i="5" s="1"/>
  <c r="N631" i="5"/>
  <c r="O626" i="5"/>
  <c r="P626" i="5" s="1"/>
  <c r="N626" i="5"/>
  <c r="P625" i="5"/>
  <c r="O625" i="5"/>
  <c r="N625" i="5"/>
  <c r="M624" i="5"/>
  <c r="M640" i="5" s="1"/>
  <c r="L624" i="5"/>
  <c r="L640" i="5" s="1"/>
  <c r="K624" i="5"/>
  <c r="J624" i="5"/>
  <c r="J640" i="5" s="1"/>
  <c r="I624" i="5"/>
  <c r="F624" i="5"/>
  <c r="F640" i="5" s="1"/>
  <c r="C624" i="5"/>
  <c r="N623" i="5"/>
  <c r="O623" i="5" s="1"/>
  <c r="P623" i="5" s="1"/>
  <c r="M622" i="5"/>
  <c r="L622" i="5"/>
  <c r="K622" i="5"/>
  <c r="J622" i="5"/>
  <c r="I622" i="5"/>
  <c r="H622" i="5"/>
  <c r="G622" i="5"/>
  <c r="F622" i="5"/>
  <c r="E622" i="5"/>
  <c r="D622" i="5"/>
  <c r="C622" i="5"/>
  <c r="N620" i="5"/>
  <c r="O620" i="5" s="1"/>
  <c r="P620" i="5" s="1"/>
  <c r="M605" i="5"/>
  <c r="L605" i="5"/>
  <c r="K605" i="5"/>
  <c r="J605" i="5"/>
  <c r="I605" i="5"/>
  <c r="H605" i="5"/>
  <c r="G605" i="5"/>
  <c r="F605" i="5"/>
  <c r="E605" i="5"/>
  <c r="D605" i="5"/>
  <c r="C605" i="5"/>
  <c r="N595" i="5"/>
  <c r="O595" i="5" s="1"/>
  <c r="P595" i="5" s="1"/>
  <c r="M588" i="5"/>
  <c r="L588" i="5"/>
  <c r="K588" i="5"/>
  <c r="J588" i="5"/>
  <c r="I588" i="5"/>
  <c r="H588" i="5"/>
  <c r="G588" i="5"/>
  <c r="F588" i="5"/>
  <c r="E588" i="5"/>
  <c r="D588" i="5"/>
  <c r="C588" i="5"/>
  <c r="P577" i="5"/>
  <c r="O577" i="5"/>
  <c r="N577" i="5"/>
  <c r="M571" i="5"/>
  <c r="L571" i="5"/>
  <c r="K571" i="5"/>
  <c r="J571" i="5"/>
  <c r="I571" i="5"/>
  <c r="H571" i="5"/>
  <c r="G571" i="5"/>
  <c r="F571" i="5"/>
  <c r="E571" i="5"/>
  <c r="D571" i="5"/>
  <c r="N571" i="5" s="1"/>
  <c r="C571" i="5"/>
  <c r="P570" i="5"/>
  <c r="N570" i="5"/>
  <c r="O570" i="5" s="1"/>
  <c r="N569" i="5"/>
  <c r="O569" i="5" s="1"/>
  <c r="P569" i="5" s="1"/>
  <c r="O567" i="5"/>
  <c r="P567" i="5" s="1"/>
  <c r="N567" i="5"/>
  <c r="O560" i="5"/>
  <c r="P560" i="5" s="1"/>
  <c r="N560" i="5"/>
  <c r="M554" i="5"/>
  <c r="L554" i="5"/>
  <c r="K554" i="5"/>
  <c r="J554" i="5"/>
  <c r="I554" i="5"/>
  <c r="H554" i="5"/>
  <c r="G554" i="5"/>
  <c r="F554" i="5"/>
  <c r="N554" i="5" s="1"/>
  <c r="E554" i="5"/>
  <c r="D554" i="5"/>
  <c r="C554" i="5"/>
  <c r="P553" i="5"/>
  <c r="O553" i="5"/>
  <c r="N553" i="5"/>
  <c r="O550" i="5"/>
  <c r="P550" i="5" s="1"/>
  <c r="N550" i="5"/>
  <c r="N538" i="5"/>
  <c r="O538" i="5" s="1"/>
  <c r="P538" i="5" s="1"/>
  <c r="M537" i="5"/>
  <c r="L537" i="5"/>
  <c r="K537" i="5"/>
  <c r="J537" i="5"/>
  <c r="I537" i="5"/>
  <c r="H537" i="5"/>
  <c r="G537" i="5"/>
  <c r="F537" i="5"/>
  <c r="E537" i="5"/>
  <c r="N537" i="5" s="1"/>
  <c r="O537" i="5" s="1"/>
  <c r="P537" i="5" s="1"/>
  <c r="D537" i="5"/>
  <c r="C537" i="5"/>
  <c r="O534" i="5"/>
  <c r="P534" i="5" s="1"/>
  <c r="N534" i="5"/>
  <c r="N529" i="5"/>
  <c r="O529" i="5" s="1"/>
  <c r="P529" i="5" s="1"/>
  <c r="O528" i="5"/>
  <c r="P528" i="5" s="1"/>
  <c r="N528" i="5"/>
  <c r="P527" i="5"/>
  <c r="O527" i="5"/>
  <c r="N527" i="5"/>
  <c r="M503" i="5"/>
  <c r="L503" i="5"/>
  <c r="K503" i="5"/>
  <c r="J503" i="5"/>
  <c r="I503" i="5"/>
  <c r="H503" i="5"/>
  <c r="G503" i="5"/>
  <c r="C503" i="5"/>
  <c r="P502" i="5"/>
  <c r="O502" i="5"/>
  <c r="N502" i="5"/>
  <c r="N499" i="5"/>
  <c r="O499" i="5" s="1"/>
  <c r="P499" i="5" s="1"/>
  <c r="O492" i="5"/>
  <c r="P492" i="5" s="1"/>
  <c r="N492" i="5"/>
  <c r="N490" i="5"/>
  <c r="O490" i="5" s="1"/>
  <c r="P490" i="5" s="1"/>
  <c r="H490" i="5"/>
  <c r="G490" i="5"/>
  <c r="F490" i="5"/>
  <c r="F503" i="5" s="1"/>
  <c r="E490" i="5"/>
  <c r="E503" i="5" s="1"/>
  <c r="D490" i="5"/>
  <c r="D503" i="5" s="1"/>
  <c r="M486" i="5"/>
  <c r="L486" i="5"/>
  <c r="K486" i="5"/>
  <c r="J486" i="5"/>
  <c r="I486" i="5"/>
  <c r="H486" i="5"/>
  <c r="G486" i="5"/>
  <c r="F486" i="5"/>
  <c r="N486" i="5" s="1"/>
  <c r="E486" i="5"/>
  <c r="D486" i="5"/>
  <c r="C486" i="5"/>
  <c r="P484" i="5"/>
  <c r="O484" i="5"/>
  <c r="N484" i="5"/>
  <c r="O469" i="5"/>
  <c r="P469" i="5" s="1"/>
  <c r="M469" i="5"/>
  <c r="L469" i="5"/>
  <c r="K469" i="5"/>
  <c r="J469" i="5"/>
  <c r="I469" i="5"/>
  <c r="H469" i="5"/>
  <c r="G469" i="5"/>
  <c r="F469" i="5"/>
  <c r="E469" i="5"/>
  <c r="D469" i="5"/>
  <c r="N469" i="5" s="1"/>
  <c r="C469" i="5"/>
  <c r="P453" i="5"/>
  <c r="O453" i="5"/>
  <c r="N453" i="5"/>
  <c r="M452" i="5"/>
  <c r="L452" i="5"/>
  <c r="K452" i="5"/>
  <c r="J452" i="5"/>
  <c r="I452" i="5"/>
  <c r="H452" i="5"/>
  <c r="G452" i="5"/>
  <c r="F452" i="5"/>
  <c r="E452" i="5"/>
  <c r="D452" i="5"/>
  <c r="N450" i="5"/>
  <c r="O450" i="5" s="1"/>
  <c r="P450" i="5" s="1"/>
  <c r="M435" i="5"/>
  <c r="L435" i="5"/>
  <c r="K435" i="5"/>
  <c r="J435" i="5"/>
  <c r="I435" i="5"/>
  <c r="H435" i="5"/>
  <c r="G435" i="5"/>
  <c r="F435" i="5"/>
  <c r="E435" i="5"/>
  <c r="C435" i="5"/>
  <c r="O433" i="5"/>
  <c r="P433" i="5" s="1"/>
  <c r="N433" i="5"/>
  <c r="E433" i="5"/>
  <c r="D433" i="5"/>
  <c r="D435" i="5" s="1"/>
  <c r="P432" i="5"/>
  <c r="N432" i="5"/>
  <c r="O432" i="5" s="1"/>
  <c r="O431" i="5"/>
  <c r="P431" i="5" s="1"/>
  <c r="N431" i="5"/>
  <c r="M418" i="5"/>
  <c r="L418" i="5"/>
  <c r="K418" i="5"/>
  <c r="J418" i="5"/>
  <c r="I418" i="5"/>
  <c r="H418" i="5"/>
  <c r="G418" i="5"/>
  <c r="F418" i="5"/>
  <c r="N418" i="5" s="1"/>
  <c r="E418" i="5"/>
  <c r="D418" i="5"/>
  <c r="C418" i="5"/>
  <c r="P417" i="5"/>
  <c r="O417" i="5"/>
  <c r="N417" i="5"/>
  <c r="O416" i="5"/>
  <c r="P416" i="5" s="1"/>
  <c r="N416" i="5"/>
  <c r="M401" i="5"/>
  <c r="L401" i="5"/>
  <c r="K401" i="5"/>
  <c r="J401" i="5"/>
  <c r="I401" i="5"/>
  <c r="H401" i="5"/>
  <c r="G401" i="5"/>
  <c r="F401" i="5"/>
  <c r="E401" i="5"/>
  <c r="D401" i="5"/>
  <c r="C401" i="5"/>
  <c r="P391" i="5"/>
  <c r="N391" i="5"/>
  <c r="O391" i="5" s="1"/>
  <c r="O390" i="5"/>
  <c r="P390" i="5" s="1"/>
  <c r="N390" i="5"/>
  <c r="N388" i="5"/>
  <c r="O388" i="5" s="1"/>
  <c r="P388" i="5" s="1"/>
  <c r="M384" i="5"/>
  <c r="L384" i="5"/>
  <c r="K384" i="5"/>
  <c r="J384" i="5"/>
  <c r="I384" i="5"/>
  <c r="H384" i="5"/>
  <c r="G384" i="5"/>
  <c r="F384" i="5"/>
  <c r="E384" i="5"/>
  <c r="D384" i="5"/>
  <c r="N384" i="5" s="1"/>
  <c r="C384" i="5"/>
  <c r="O380" i="5"/>
  <c r="P380" i="5" s="1"/>
  <c r="N380" i="5"/>
  <c r="N374" i="5"/>
  <c r="O374" i="5" s="1"/>
  <c r="P374" i="5" s="1"/>
  <c r="M367" i="5"/>
  <c r="L367" i="5"/>
  <c r="K367" i="5"/>
  <c r="J367" i="5"/>
  <c r="I367" i="5"/>
  <c r="G367" i="5"/>
  <c r="E367" i="5"/>
  <c r="C367" i="5"/>
  <c r="O366" i="5"/>
  <c r="P366" i="5" s="1"/>
  <c r="N366" i="5"/>
  <c r="N365" i="5"/>
  <c r="O365" i="5" s="1"/>
  <c r="P365" i="5" s="1"/>
  <c r="O363" i="5"/>
  <c r="P363" i="5" s="1"/>
  <c r="N363" i="5"/>
  <c r="P358" i="5"/>
  <c r="O358" i="5"/>
  <c r="N358" i="5"/>
  <c r="O357" i="5"/>
  <c r="P357" i="5" s="1"/>
  <c r="N357" i="5"/>
  <c r="N356" i="5"/>
  <c r="O356" i="5" s="1"/>
  <c r="P356" i="5" s="1"/>
  <c r="P354" i="5"/>
  <c r="O354" i="5"/>
  <c r="N354" i="5"/>
  <c r="N352" i="5"/>
  <c r="O352" i="5" s="1"/>
  <c r="P352" i="5" s="1"/>
  <c r="D352" i="5"/>
  <c r="P351" i="5"/>
  <c r="O351" i="5"/>
  <c r="N351" i="5"/>
  <c r="H350" i="5"/>
  <c r="G350" i="5"/>
  <c r="E350" i="5"/>
  <c r="N350" i="5" s="1"/>
  <c r="O350" i="5" s="1"/>
  <c r="P350" i="5" s="1"/>
  <c r="H349" i="5"/>
  <c r="H367" i="5" s="1"/>
  <c r="G349" i="5"/>
  <c r="F349" i="5"/>
  <c r="F367" i="5" s="1"/>
  <c r="E349" i="5"/>
  <c r="D349" i="5"/>
  <c r="D367" i="5" s="1"/>
  <c r="M348" i="5"/>
  <c r="H348" i="5"/>
  <c r="G348" i="5"/>
  <c r="E348" i="5"/>
  <c r="C348" i="5"/>
  <c r="O346" i="5"/>
  <c r="P346" i="5" s="1"/>
  <c r="N346" i="5"/>
  <c r="N344" i="5"/>
  <c r="O344" i="5" s="1"/>
  <c r="P344" i="5" s="1"/>
  <c r="O339" i="5"/>
  <c r="P339" i="5" s="1"/>
  <c r="N339" i="5"/>
  <c r="P338" i="5"/>
  <c r="O338" i="5"/>
  <c r="N338" i="5"/>
  <c r="O334" i="5"/>
  <c r="P334" i="5" s="1"/>
  <c r="N334" i="5"/>
  <c r="M333" i="5"/>
  <c r="L333" i="5"/>
  <c r="L348" i="5" s="1"/>
  <c r="J333" i="5"/>
  <c r="J348" i="5" s="1"/>
  <c r="H333" i="5"/>
  <c r="G333" i="5"/>
  <c r="F333" i="5"/>
  <c r="E333" i="5"/>
  <c r="D333" i="5"/>
  <c r="D348" i="5" s="1"/>
  <c r="C333" i="5"/>
  <c r="I333" i="5" s="1"/>
  <c r="I348" i="5" s="1"/>
  <c r="M331" i="5"/>
  <c r="L331" i="5"/>
  <c r="K331" i="5"/>
  <c r="J331" i="5"/>
  <c r="I331" i="5"/>
  <c r="H331" i="5"/>
  <c r="G331" i="5"/>
  <c r="F331" i="5"/>
  <c r="E331" i="5"/>
  <c r="D331" i="5"/>
  <c r="C331" i="5"/>
  <c r="N327" i="5"/>
  <c r="O327" i="5" s="1"/>
  <c r="P327" i="5" s="1"/>
  <c r="O320" i="5"/>
  <c r="P320" i="5" s="1"/>
  <c r="N320" i="5"/>
  <c r="M314" i="5"/>
  <c r="L314" i="5"/>
  <c r="K314" i="5"/>
  <c r="J314" i="5"/>
  <c r="I314" i="5"/>
  <c r="H314" i="5"/>
  <c r="G314" i="5"/>
  <c r="F314" i="5"/>
  <c r="E314" i="5"/>
  <c r="D314" i="5"/>
  <c r="N314" i="5" s="1"/>
  <c r="O314" i="5" s="1"/>
  <c r="P314" i="5" s="1"/>
  <c r="C314" i="5"/>
  <c r="N304" i="5"/>
  <c r="O304" i="5" s="1"/>
  <c r="P304" i="5" s="1"/>
  <c r="P300" i="5"/>
  <c r="O300" i="5"/>
  <c r="N300" i="5"/>
  <c r="M297" i="5"/>
  <c r="L297" i="5"/>
  <c r="K297" i="5"/>
  <c r="J297" i="5"/>
  <c r="I297" i="5"/>
  <c r="H297" i="5"/>
  <c r="G297" i="5"/>
  <c r="F297" i="5"/>
  <c r="E297" i="5"/>
  <c r="D297" i="5"/>
  <c r="N297" i="5" s="1"/>
  <c r="C297" i="5"/>
  <c r="N293" i="5"/>
  <c r="O293" i="5" s="1"/>
  <c r="P293" i="5" s="1"/>
  <c r="O288" i="5"/>
  <c r="P288" i="5" s="1"/>
  <c r="N288" i="5"/>
  <c r="P287" i="5"/>
  <c r="O287" i="5"/>
  <c r="N287" i="5"/>
  <c r="M280" i="5"/>
  <c r="L280" i="5"/>
  <c r="K280" i="5"/>
  <c r="J280" i="5"/>
  <c r="G280" i="5"/>
  <c r="D280" i="5"/>
  <c r="C280" i="5"/>
  <c r="P276" i="5"/>
  <c r="O276" i="5"/>
  <c r="N276" i="5"/>
  <c r="M270" i="5"/>
  <c r="I270" i="5"/>
  <c r="I280" i="5" s="1"/>
  <c r="H270" i="5"/>
  <c r="H280" i="5" s="1"/>
  <c r="G270" i="5"/>
  <c r="F270" i="5"/>
  <c r="F280" i="5" s="1"/>
  <c r="E270" i="5"/>
  <c r="D270" i="5"/>
  <c r="M263" i="5"/>
  <c r="L263" i="5"/>
  <c r="K263" i="5"/>
  <c r="J263" i="5"/>
  <c r="I263" i="5"/>
  <c r="H263" i="5"/>
  <c r="G263" i="5"/>
  <c r="F263" i="5"/>
  <c r="N263" i="5" s="1"/>
  <c r="E263" i="5"/>
  <c r="D263" i="5"/>
  <c r="C263" i="5"/>
  <c r="P262" i="5"/>
  <c r="N262" i="5"/>
  <c r="O262" i="5" s="1"/>
  <c r="M246" i="5"/>
  <c r="K246" i="5"/>
  <c r="H246" i="5"/>
  <c r="G246" i="5"/>
  <c r="F246" i="5"/>
  <c r="E246" i="5"/>
  <c r="D246" i="5"/>
  <c r="C246" i="5"/>
  <c r="O242" i="5"/>
  <c r="P242" i="5" s="1"/>
  <c r="N242" i="5"/>
  <c r="P236" i="5"/>
  <c r="O236" i="5"/>
  <c r="N236" i="5"/>
  <c r="O233" i="5"/>
  <c r="P233" i="5" s="1"/>
  <c r="N233" i="5"/>
  <c r="N232" i="5"/>
  <c r="O232" i="5" s="1"/>
  <c r="P232" i="5" s="1"/>
  <c r="L232" i="5"/>
  <c r="N231" i="5"/>
  <c r="O231" i="5" s="1"/>
  <c r="P231" i="5" s="1"/>
  <c r="M231" i="5"/>
  <c r="L231" i="5"/>
  <c r="L246" i="5" s="1"/>
  <c r="J231" i="5"/>
  <c r="J246" i="5" s="1"/>
  <c r="I231" i="5"/>
  <c r="I246" i="5" s="1"/>
  <c r="M229" i="5"/>
  <c r="L229" i="5"/>
  <c r="K229" i="5"/>
  <c r="J229" i="5"/>
  <c r="I229" i="5"/>
  <c r="H229" i="5"/>
  <c r="G229" i="5"/>
  <c r="F229" i="5"/>
  <c r="E229" i="5"/>
  <c r="D229" i="5"/>
  <c r="C229" i="5"/>
  <c r="O225" i="5"/>
  <c r="P225" i="5" s="1"/>
  <c r="N225" i="5"/>
  <c r="N219" i="5"/>
  <c r="O219" i="5" s="1"/>
  <c r="P219" i="5" s="1"/>
  <c r="O214" i="5"/>
  <c r="P214" i="5" s="1"/>
  <c r="N214" i="5"/>
  <c r="M212" i="5"/>
  <c r="L212" i="5"/>
  <c r="K212" i="5"/>
  <c r="J212" i="5"/>
  <c r="I212" i="5"/>
  <c r="H212" i="5"/>
  <c r="G212" i="5"/>
  <c r="F212" i="5"/>
  <c r="E212" i="5"/>
  <c r="D212" i="5"/>
  <c r="N212" i="5" s="1"/>
  <c r="O212" i="5" s="1"/>
  <c r="P212" i="5" s="1"/>
  <c r="C212" i="5"/>
  <c r="N208" i="5"/>
  <c r="O208" i="5" s="1"/>
  <c r="P208" i="5" s="1"/>
  <c r="P197" i="5"/>
  <c r="O197" i="5"/>
  <c r="N197" i="5"/>
  <c r="M195" i="5"/>
  <c r="L195" i="5"/>
  <c r="K195" i="5"/>
  <c r="J195" i="5"/>
  <c r="I195" i="5"/>
  <c r="H195" i="5"/>
  <c r="G195" i="5"/>
  <c r="F195" i="5"/>
  <c r="E195" i="5"/>
  <c r="D195" i="5"/>
  <c r="N195" i="5" s="1"/>
  <c r="C195" i="5"/>
  <c r="O195" i="5" s="1"/>
  <c r="P195" i="5" s="1"/>
  <c r="N194" i="5"/>
  <c r="O194" i="5" s="1"/>
  <c r="P194" i="5" s="1"/>
  <c r="O191" i="5"/>
  <c r="P191" i="5" s="1"/>
  <c r="N191" i="5"/>
  <c r="P185" i="5"/>
  <c r="O185" i="5"/>
  <c r="N185" i="5"/>
  <c r="O180" i="5"/>
  <c r="P180" i="5" s="1"/>
  <c r="N180" i="5"/>
  <c r="L178" i="5"/>
  <c r="J178" i="5"/>
  <c r="I178" i="5"/>
  <c r="H178" i="5"/>
  <c r="F178" i="5"/>
  <c r="E178" i="5"/>
  <c r="D178" i="5"/>
  <c r="C178" i="5"/>
  <c r="N174" i="5"/>
  <c r="O174" i="5" s="1"/>
  <c r="P174" i="5" s="1"/>
  <c r="M168" i="5"/>
  <c r="M178" i="5" s="1"/>
  <c r="L168" i="5"/>
  <c r="K168" i="5"/>
  <c r="J168" i="5"/>
  <c r="G168" i="5"/>
  <c r="G178" i="5" s="1"/>
  <c r="F168" i="5"/>
  <c r="M161" i="5"/>
  <c r="L161" i="5"/>
  <c r="K161" i="5"/>
  <c r="J161" i="5"/>
  <c r="I161" i="5"/>
  <c r="H161" i="5"/>
  <c r="G161" i="5"/>
  <c r="F161" i="5"/>
  <c r="E161" i="5"/>
  <c r="D161" i="5"/>
  <c r="N161" i="5" s="1"/>
  <c r="O161" i="5" s="1"/>
  <c r="P161" i="5" s="1"/>
  <c r="C161" i="5"/>
  <c r="N159" i="5"/>
  <c r="O159" i="5" s="1"/>
  <c r="P159" i="5" s="1"/>
  <c r="M144" i="5"/>
  <c r="I144" i="5"/>
  <c r="G144" i="5"/>
  <c r="F144" i="5"/>
  <c r="E144" i="5"/>
  <c r="D144" i="5"/>
  <c r="C144" i="5"/>
  <c r="O143" i="5"/>
  <c r="P143" i="5" s="1"/>
  <c r="N143" i="5"/>
  <c r="N140" i="5"/>
  <c r="O140" i="5" s="1"/>
  <c r="P140" i="5" s="1"/>
  <c r="L134" i="5"/>
  <c r="L144" i="5" s="1"/>
  <c r="K134" i="5"/>
  <c r="K144" i="5" s="1"/>
  <c r="J134" i="5"/>
  <c r="J144" i="5" s="1"/>
  <c r="I134" i="5"/>
  <c r="H134" i="5"/>
  <c r="H144" i="5" s="1"/>
  <c r="G134" i="5"/>
  <c r="N134" i="5" s="1"/>
  <c r="O134" i="5" s="1"/>
  <c r="P134" i="5" s="1"/>
  <c r="M127" i="5"/>
  <c r="L127" i="5"/>
  <c r="K127" i="5"/>
  <c r="J127" i="5"/>
  <c r="I127" i="5"/>
  <c r="H127" i="5"/>
  <c r="G127" i="5"/>
  <c r="D127" i="5"/>
  <c r="N125" i="5"/>
  <c r="O125" i="5" s="1"/>
  <c r="P125" i="5" s="1"/>
  <c r="O123" i="5"/>
  <c r="P123" i="5" s="1"/>
  <c r="N123" i="5"/>
  <c r="N118" i="5"/>
  <c r="O118" i="5" s="1"/>
  <c r="P118" i="5" s="1"/>
  <c r="F116" i="5"/>
  <c r="F127" i="5" s="1"/>
  <c r="E116" i="5"/>
  <c r="N116" i="5" s="1"/>
  <c r="C116" i="5"/>
  <c r="O116" i="5" s="1"/>
  <c r="P116" i="5" s="1"/>
  <c r="K92" i="5"/>
  <c r="J92" i="5"/>
  <c r="G92" i="5"/>
  <c r="C92" i="5"/>
  <c r="M75" i="5"/>
  <c r="L75" i="5"/>
  <c r="L92" i="5" s="1"/>
  <c r="K75" i="5"/>
  <c r="J75" i="5"/>
  <c r="I75" i="5"/>
  <c r="I92" i="5" s="1"/>
  <c r="H75" i="5"/>
  <c r="H92" i="5" s="1"/>
  <c r="G75" i="5"/>
  <c r="F75" i="5"/>
  <c r="E75" i="5"/>
  <c r="D75" i="5"/>
  <c r="D92" i="5" s="1"/>
  <c r="C75" i="5"/>
  <c r="O74" i="5"/>
  <c r="P74" i="5" s="1"/>
  <c r="N74" i="5"/>
  <c r="N73" i="5"/>
  <c r="O73" i="5" s="1"/>
  <c r="P73" i="5" s="1"/>
  <c r="O72" i="5"/>
  <c r="P72" i="5" s="1"/>
  <c r="N72" i="5"/>
  <c r="P71" i="5"/>
  <c r="O71" i="5"/>
  <c r="N71" i="5"/>
  <c r="O65" i="5"/>
  <c r="P65" i="5" s="1"/>
  <c r="N65" i="5"/>
  <c r="N64" i="5"/>
  <c r="M57" i="5"/>
  <c r="H57" i="5"/>
  <c r="F57" i="5"/>
  <c r="E57" i="5"/>
  <c r="C57" i="5"/>
  <c r="O56" i="5"/>
  <c r="P56" i="5" s="1"/>
  <c r="N56" i="5"/>
  <c r="N53" i="5"/>
  <c r="O53" i="5" s="1"/>
  <c r="P53" i="5" s="1"/>
  <c r="M48" i="5"/>
  <c r="L48" i="5"/>
  <c r="L57" i="5" s="1"/>
  <c r="K48" i="5"/>
  <c r="K57" i="5" s="1"/>
  <c r="J48" i="5"/>
  <c r="J57" i="5" s="1"/>
  <c r="I48" i="5"/>
  <c r="I57" i="5" s="1"/>
  <c r="H48" i="5"/>
  <c r="G48" i="5"/>
  <c r="G57" i="5" s="1"/>
  <c r="D48" i="5"/>
  <c r="D57" i="5" s="1"/>
  <c r="P47" i="5"/>
  <c r="O47" i="5"/>
  <c r="N47" i="5"/>
  <c r="K40" i="5"/>
  <c r="I40" i="5"/>
  <c r="G40" i="5"/>
  <c r="C40" i="5"/>
  <c r="P36" i="5"/>
  <c r="O36" i="5"/>
  <c r="N36" i="5"/>
  <c r="M30" i="5"/>
  <c r="M40" i="5" s="1"/>
  <c r="L30" i="5"/>
  <c r="L40" i="5" s="1"/>
  <c r="K30" i="5"/>
  <c r="J30" i="5"/>
  <c r="J40" i="5" s="1"/>
  <c r="I30" i="5"/>
  <c r="H30" i="5"/>
  <c r="H40" i="5" s="1"/>
  <c r="G30" i="5"/>
  <c r="F30" i="5"/>
  <c r="F40" i="5" s="1"/>
  <c r="E30" i="5"/>
  <c r="E40" i="5" s="1"/>
  <c r="D30" i="5"/>
  <c r="N30" i="5" s="1"/>
  <c r="O30" i="5" s="1"/>
  <c r="P30" i="5" s="1"/>
  <c r="M23" i="5"/>
  <c r="L23" i="5"/>
  <c r="K23" i="5"/>
  <c r="J23" i="5"/>
  <c r="I23" i="5"/>
  <c r="H23" i="5"/>
  <c r="G23" i="5"/>
  <c r="F23" i="5"/>
  <c r="E23" i="5"/>
  <c r="D23" i="5"/>
  <c r="N23" i="5" s="1"/>
  <c r="C23" i="5"/>
  <c r="O23" i="5" s="1"/>
  <c r="P23" i="5" s="1"/>
  <c r="O19" i="5"/>
  <c r="P19" i="5" s="1"/>
  <c r="N19" i="5"/>
  <c r="N16" i="5"/>
  <c r="O16" i="5" s="1"/>
  <c r="P16" i="5" s="1"/>
  <c r="N15" i="5"/>
  <c r="O15" i="5" s="1"/>
  <c r="P15" i="5" s="1"/>
  <c r="P14" i="5"/>
  <c r="O14" i="5"/>
  <c r="N14" i="5"/>
  <c r="O13" i="5"/>
  <c r="P13" i="5" s="1"/>
  <c r="N13" i="5"/>
  <c r="N12" i="5"/>
  <c r="O12" i="5" s="1"/>
  <c r="P12" i="5" s="1"/>
  <c r="E235" i="4"/>
  <c r="C235" i="4"/>
  <c r="M234" i="4"/>
  <c r="L234" i="4"/>
  <c r="K234" i="4"/>
  <c r="J234" i="4"/>
  <c r="I234" i="4"/>
  <c r="H234" i="4"/>
  <c r="G234" i="4"/>
  <c r="F234" i="4"/>
  <c r="E234" i="4"/>
  <c r="D234" i="4"/>
  <c r="P233" i="4"/>
  <c r="M233" i="4"/>
  <c r="L233" i="4"/>
  <c r="K233" i="4"/>
  <c r="J233" i="4"/>
  <c r="I233" i="4"/>
  <c r="H233" i="4"/>
  <c r="G233" i="4"/>
  <c r="F233" i="4"/>
  <c r="E233" i="4"/>
  <c r="D233" i="4"/>
  <c r="N233" i="4" s="1"/>
  <c r="O233" i="4" s="1"/>
  <c r="M232" i="4"/>
  <c r="M235" i="4" s="1"/>
  <c r="L232" i="4"/>
  <c r="K232" i="4"/>
  <c r="J232" i="4"/>
  <c r="I232" i="4"/>
  <c r="H232" i="4"/>
  <c r="G232" i="4"/>
  <c r="F232" i="4"/>
  <c r="E232" i="4"/>
  <c r="D232" i="4"/>
  <c r="N232" i="4" s="1"/>
  <c r="O232" i="4" s="1"/>
  <c r="P232" i="4" s="1"/>
  <c r="M231" i="4"/>
  <c r="L231" i="4"/>
  <c r="K231" i="4"/>
  <c r="J231" i="4"/>
  <c r="J54" i="3" s="1"/>
  <c r="J27" i="2" s="1"/>
  <c r="I231" i="4"/>
  <c r="H231" i="4"/>
  <c r="G231" i="4"/>
  <c r="F231" i="4"/>
  <c r="E231" i="4"/>
  <c r="D231" i="4"/>
  <c r="M230" i="4"/>
  <c r="L230" i="4"/>
  <c r="K230" i="4"/>
  <c r="J230" i="4"/>
  <c r="I230" i="4"/>
  <c r="H230" i="4"/>
  <c r="G230" i="4"/>
  <c r="F230" i="4"/>
  <c r="E230" i="4"/>
  <c r="D230" i="4"/>
  <c r="N229" i="4"/>
  <c r="O229" i="4" s="1"/>
  <c r="P229" i="4" s="1"/>
  <c r="M228" i="4"/>
  <c r="L228" i="4"/>
  <c r="K228" i="4"/>
  <c r="J228" i="4"/>
  <c r="I228" i="4"/>
  <c r="H228" i="4"/>
  <c r="G228" i="4"/>
  <c r="F228" i="4"/>
  <c r="E228" i="4"/>
  <c r="D228" i="4"/>
  <c r="M226" i="4"/>
  <c r="L226" i="4"/>
  <c r="K226" i="4"/>
  <c r="J226" i="4"/>
  <c r="I226" i="4"/>
  <c r="H226" i="4"/>
  <c r="G226" i="4"/>
  <c r="F226" i="4"/>
  <c r="N226" i="4" s="1"/>
  <c r="O226" i="4" s="1"/>
  <c r="P226" i="4" s="1"/>
  <c r="E226" i="4"/>
  <c r="D226" i="4"/>
  <c r="M225" i="4"/>
  <c r="L225" i="4"/>
  <c r="L235" i="4" s="1"/>
  <c r="K225" i="4"/>
  <c r="J225" i="4"/>
  <c r="I225" i="4"/>
  <c r="H225" i="4"/>
  <c r="H235" i="4" s="1"/>
  <c r="G225" i="4"/>
  <c r="G235" i="4" s="1"/>
  <c r="F225" i="4"/>
  <c r="F235" i="4" s="1"/>
  <c r="E225" i="4"/>
  <c r="D225" i="4"/>
  <c r="D235" i="4" s="1"/>
  <c r="L224" i="4"/>
  <c r="H224" i="4"/>
  <c r="D224" i="4"/>
  <c r="N220" i="4"/>
  <c r="N219" i="4"/>
  <c r="C216" i="4"/>
  <c r="M224" i="4"/>
  <c r="J224" i="4"/>
  <c r="I224" i="4"/>
  <c r="G224" i="4"/>
  <c r="F224" i="4"/>
  <c r="E224" i="4"/>
  <c r="M212" i="4"/>
  <c r="L212" i="4"/>
  <c r="K212" i="4"/>
  <c r="J212" i="4"/>
  <c r="I212" i="4"/>
  <c r="H212" i="4"/>
  <c r="G212" i="4"/>
  <c r="F212" i="4"/>
  <c r="N212" i="4" s="1"/>
  <c r="E212" i="4"/>
  <c r="D212" i="4"/>
  <c r="C212" i="4"/>
  <c r="M211" i="4"/>
  <c r="L211" i="4"/>
  <c r="K211" i="4"/>
  <c r="J211" i="4"/>
  <c r="I211" i="4"/>
  <c r="H211" i="4"/>
  <c r="G211" i="4"/>
  <c r="F211" i="4"/>
  <c r="E211" i="4"/>
  <c r="D211" i="4"/>
  <c r="N211" i="4" s="1"/>
  <c r="C211" i="4"/>
  <c r="O211" i="4" s="1"/>
  <c r="P211" i="4" s="1"/>
  <c r="M210" i="4"/>
  <c r="L210" i="4"/>
  <c r="K210" i="4"/>
  <c r="J210" i="4"/>
  <c r="I210" i="4"/>
  <c r="H210" i="4"/>
  <c r="G210" i="4"/>
  <c r="F210" i="4"/>
  <c r="E210" i="4"/>
  <c r="D210" i="4"/>
  <c r="C210" i="4"/>
  <c r="M209" i="4"/>
  <c r="L209" i="4"/>
  <c r="K209" i="4"/>
  <c r="H209" i="4"/>
  <c r="G209" i="4"/>
  <c r="F209" i="4"/>
  <c r="E209" i="4"/>
  <c r="D209" i="4"/>
  <c r="C209" i="4"/>
  <c r="H208" i="4"/>
  <c r="G208" i="4"/>
  <c r="F208" i="4"/>
  <c r="E208" i="4"/>
  <c r="D208" i="4"/>
  <c r="C208" i="4"/>
  <c r="M207" i="4"/>
  <c r="L207" i="4"/>
  <c r="L41" i="3" s="1"/>
  <c r="K207" i="4"/>
  <c r="I207" i="4"/>
  <c r="H207" i="4"/>
  <c r="G207" i="4"/>
  <c r="E207" i="4"/>
  <c r="D207" i="4"/>
  <c r="C207" i="4"/>
  <c r="G206" i="4"/>
  <c r="E206" i="4"/>
  <c r="C206" i="4"/>
  <c r="K204" i="4"/>
  <c r="G204" i="4"/>
  <c r="F204" i="4"/>
  <c r="C204" i="4"/>
  <c r="M203" i="4"/>
  <c r="L203" i="4"/>
  <c r="K203" i="4"/>
  <c r="J203" i="4"/>
  <c r="J35" i="3" s="1"/>
  <c r="I203" i="4"/>
  <c r="H203" i="4"/>
  <c r="G203" i="4"/>
  <c r="G213" i="4" s="1"/>
  <c r="F203" i="4"/>
  <c r="E203" i="4"/>
  <c r="D203" i="4"/>
  <c r="C203" i="4"/>
  <c r="C213" i="4" s="1"/>
  <c r="L202" i="4"/>
  <c r="H202" i="4"/>
  <c r="D202" i="4"/>
  <c r="M201" i="4"/>
  <c r="L201" i="4"/>
  <c r="K201" i="4"/>
  <c r="J201" i="4"/>
  <c r="I201" i="4"/>
  <c r="H201" i="4"/>
  <c r="G201" i="4"/>
  <c r="F201" i="4"/>
  <c r="N201" i="4" s="1"/>
  <c r="O201" i="4" s="1"/>
  <c r="P201" i="4" s="1"/>
  <c r="E201" i="4"/>
  <c r="D201" i="4"/>
  <c r="C201" i="4"/>
  <c r="M200" i="4"/>
  <c r="L200" i="4"/>
  <c r="K200" i="4"/>
  <c r="J200" i="4"/>
  <c r="I200" i="4"/>
  <c r="H200" i="4"/>
  <c r="G200" i="4"/>
  <c r="F200" i="4"/>
  <c r="E200" i="4"/>
  <c r="D200" i="4"/>
  <c r="N200" i="4" s="1"/>
  <c r="O200" i="4" s="1"/>
  <c r="C200" i="4"/>
  <c r="M199" i="4"/>
  <c r="L199" i="4"/>
  <c r="K199" i="4"/>
  <c r="J199" i="4"/>
  <c r="I199" i="4"/>
  <c r="H199" i="4"/>
  <c r="G199" i="4"/>
  <c r="F199" i="4"/>
  <c r="E199" i="4"/>
  <c r="D199" i="4"/>
  <c r="C199" i="4"/>
  <c r="M198" i="4"/>
  <c r="L198" i="4"/>
  <c r="K198" i="4"/>
  <c r="J198" i="4"/>
  <c r="I198" i="4"/>
  <c r="H198" i="4"/>
  <c r="G198" i="4"/>
  <c r="G43" i="3" s="1"/>
  <c r="F198" i="4"/>
  <c r="E198" i="4"/>
  <c r="D198" i="4"/>
  <c r="C198" i="4"/>
  <c r="M197" i="4"/>
  <c r="L197" i="4"/>
  <c r="K197" i="4"/>
  <c r="J197" i="4"/>
  <c r="I197" i="4"/>
  <c r="H197" i="4"/>
  <c r="G197" i="4"/>
  <c r="F197" i="4"/>
  <c r="E197" i="4"/>
  <c r="D197" i="4"/>
  <c r="N197" i="4" s="1"/>
  <c r="O197" i="4" s="1"/>
  <c r="P197" i="4" s="1"/>
  <c r="C197" i="4"/>
  <c r="O196" i="4"/>
  <c r="P196" i="4" s="1"/>
  <c r="M196" i="4"/>
  <c r="L196" i="4"/>
  <c r="K196" i="4"/>
  <c r="J196" i="4"/>
  <c r="I196" i="4"/>
  <c r="H196" i="4"/>
  <c r="G196" i="4"/>
  <c r="F196" i="4"/>
  <c r="E196" i="4"/>
  <c r="D196" i="4"/>
  <c r="N196" i="4" s="1"/>
  <c r="C196" i="4"/>
  <c r="M195" i="4"/>
  <c r="L195" i="4"/>
  <c r="K195" i="4"/>
  <c r="J195" i="4"/>
  <c r="I195" i="4"/>
  <c r="I37" i="3" s="1"/>
  <c r="H195" i="4"/>
  <c r="G195" i="4"/>
  <c r="F195" i="4"/>
  <c r="E195" i="4"/>
  <c r="D195" i="4"/>
  <c r="C195" i="4"/>
  <c r="M194" i="4"/>
  <c r="L194" i="4"/>
  <c r="K194" i="4"/>
  <c r="J194" i="4"/>
  <c r="I194" i="4"/>
  <c r="H194" i="4"/>
  <c r="G194" i="4"/>
  <c r="F194" i="4"/>
  <c r="E194" i="4"/>
  <c r="D194" i="4"/>
  <c r="C194" i="4"/>
  <c r="M193" i="4"/>
  <c r="L193" i="4"/>
  <c r="K193" i="4"/>
  <c r="J193" i="4"/>
  <c r="I193" i="4"/>
  <c r="H193" i="4"/>
  <c r="G193" i="4"/>
  <c r="F193" i="4"/>
  <c r="E193" i="4"/>
  <c r="D193" i="4"/>
  <c r="N193" i="4" s="1"/>
  <c r="O193" i="4" s="1"/>
  <c r="P193" i="4" s="1"/>
  <c r="C193" i="4"/>
  <c r="M192" i="4"/>
  <c r="L192" i="4"/>
  <c r="K192" i="4"/>
  <c r="J192" i="4"/>
  <c r="J202" i="4" s="1"/>
  <c r="I192" i="4"/>
  <c r="H192" i="4"/>
  <c r="G192" i="4"/>
  <c r="F192" i="4"/>
  <c r="F202" i="4" s="1"/>
  <c r="E192" i="4"/>
  <c r="D192" i="4"/>
  <c r="C192" i="4"/>
  <c r="M190" i="4"/>
  <c r="L190" i="4"/>
  <c r="K190" i="4"/>
  <c r="J190" i="4"/>
  <c r="I190" i="4"/>
  <c r="H190" i="4"/>
  <c r="G190" i="4"/>
  <c r="F190" i="4"/>
  <c r="N190" i="4" s="1"/>
  <c r="O190" i="4" s="1"/>
  <c r="P190" i="4" s="1"/>
  <c r="E190" i="4"/>
  <c r="D190" i="4"/>
  <c r="C190" i="4"/>
  <c r="M189" i="4"/>
  <c r="L189" i="4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F188" i="4"/>
  <c r="N188" i="4" s="1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6" i="4"/>
  <c r="L186" i="4"/>
  <c r="K186" i="4"/>
  <c r="J186" i="4"/>
  <c r="I186" i="4"/>
  <c r="H186" i="4"/>
  <c r="G186" i="4"/>
  <c r="F186" i="4"/>
  <c r="N186" i="4" s="1"/>
  <c r="O186" i="4" s="1"/>
  <c r="P186" i="4" s="1"/>
  <c r="E186" i="4"/>
  <c r="D186" i="4"/>
  <c r="C186" i="4"/>
  <c r="M185" i="4"/>
  <c r="L185" i="4"/>
  <c r="K185" i="4"/>
  <c r="J185" i="4"/>
  <c r="I185" i="4"/>
  <c r="H185" i="4"/>
  <c r="G185" i="4"/>
  <c r="F185" i="4"/>
  <c r="E185" i="4"/>
  <c r="D185" i="4"/>
  <c r="C185" i="4"/>
  <c r="M184" i="4"/>
  <c r="L184" i="4"/>
  <c r="K184" i="4"/>
  <c r="J184" i="4"/>
  <c r="I184" i="4"/>
  <c r="H184" i="4"/>
  <c r="G184" i="4"/>
  <c r="F184" i="4"/>
  <c r="E184" i="4"/>
  <c r="D184" i="4"/>
  <c r="N184" i="4" s="1"/>
  <c r="C184" i="4"/>
  <c r="M182" i="4"/>
  <c r="L182" i="4"/>
  <c r="L191" i="4" s="1"/>
  <c r="K182" i="4"/>
  <c r="J182" i="4"/>
  <c r="I182" i="4"/>
  <c r="H182" i="4"/>
  <c r="G182" i="4"/>
  <c r="F182" i="4"/>
  <c r="E182" i="4"/>
  <c r="D182" i="4"/>
  <c r="C182" i="4"/>
  <c r="M181" i="4"/>
  <c r="M191" i="4" s="1"/>
  <c r="L181" i="4"/>
  <c r="K181" i="4"/>
  <c r="K191" i="4" s="1"/>
  <c r="J181" i="4"/>
  <c r="I181" i="4"/>
  <c r="I191" i="4" s="1"/>
  <c r="H181" i="4"/>
  <c r="G181" i="4"/>
  <c r="F181" i="4"/>
  <c r="E181" i="4"/>
  <c r="E191" i="4" s="1"/>
  <c r="D181" i="4"/>
  <c r="C181" i="4"/>
  <c r="C191" i="4" s="1"/>
  <c r="M180" i="4"/>
  <c r="M179" i="4"/>
  <c r="L179" i="4"/>
  <c r="K179" i="4"/>
  <c r="J179" i="4"/>
  <c r="I179" i="4"/>
  <c r="I33" i="3" s="1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N177" i="4" s="1"/>
  <c r="O177" i="4" s="1"/>
  <c r="P177" i="4" s="1"/>
  <c r="C177" i="4"/>
  <c r="M176" i="4"/>
  <c r="L176" i="4"/>
  <c r="K176" i="4"/>
  <c r="J176" i="4"/>
  <c r="I176" i="4"/>
  <c r="H176" i="4"/>
  <c r="G176" i="4"/>
  <c r="F176" i="4"/>
  <c r="E176" i="4"/>
  <c r="D176" i="4"/>
  <c r="C176" i="4"/>
  <c r="M175" i="4"/>
  <c r="L175" i="4"/>
  <c r="K175" i="4"/>
  <c r="J175" i="4"/>
  <c r="I175" i="4"/>
  <c r="H175" i="4"/>
  <c r="G175" i="4"/>
  <c r="F175" i="4"/>
  <c r="E175" i="4"/>
  <c r="D175" i="4"/>
  <c r="C175" i="4"/>
  <c r="M174" i="4"/>
  <c r="L174" i="4"/>
  <c r="K174" i="4"/>
  <c r="J174" i="4"/>
  <c r="I174" i="4"/>
  <c r="H174" i="4"/>
  <c r="G174" i="4"/>
  <c r="F174" i="4"/>
  <c r="N174" i="4" s="1"/>
  <c r="E174" i="4"/>
  <c r="D174" i="4"/>
  <c r="C174" i="4"/>
  <c r="M173" i="4"/>
  <c r="L173" i="4"/>
  <c r="K173" i="4"/>
  <c r="J173" i="4"/>
  <c r="I173" i="4"/>
  <c r="H173" i="4"/>
  <c r="G173" i="4"/>
  <c r="F173" i="4"/>
  <c r="E173" i="4"/>
  <c r="D173" i="4"/>
  <c r="N173" i="4" s="1"/>
  <c r="O173" i="4" s="1"/>
  <c r="P173" i="4" s="1"/>
  <c r="C173" i="4"/>
  <c r="M172" i="4"/>
  <c r="L172" i="4"/>
  <c r="K172" i="4"/>
  <c r="J172" i="4"/>
  <c r="I172" i="4"/>
  <c r="H172" i="4"/>
  <c r="G172" i="4"/>
  <c r="F172" i="4"/>
  <c r="E172" i="4"/>
  <c r="D172" i="4"/>
  <c r="C172" i="4"/>
  <c r="M171" i="4"/>
  <c r="L171" i="4"/>
  <c r="K171" i="4"/>
  <c r="J171" i="4"/>
  <c r="I171" i="4"/>
  <c r="H171" i="4"/>
  <c r="G171" i="4"/>
  <c r="F171" i="4"/>
  <c r="E171" i="4"/>
  <c r="D171" i="4"/>
  <c r="N171" i="4" s="1"/>
  <c r="C171" i="4"/>
  <c r="O171" i="4" s="1"/>
  <c r="P171" i="4" s="1"/>
  <c r="M170" i="4"/>
  <c r="L170" i="4"/>
  <c r="K170" i="4"/>
  <c r="J170" i="4"/>
  <c r="I170" i="4"/>
  <c r="H170" i="4"/>
  <c r="G170" i="4"/>
  <c r="F170" i="4"/>
  <c r="N170" i="4" s="1"/>
  <c r="E170" i="4"/>
  <c r="D170" i="4"/>
  <c r="C170" i="4"/>
  <c r="M169" i="4"/>
  <c r="L169" i="4"/>
  <c r="K169" i="4"/>
  <c r="K180" i="4" s="1"/>
  <c r="J169" i="4"/>
  <c r="I169" i="4"/>
  <c r="H169" i="4"/>
  <c r="H180" i="4" s="1"/>
  <c r="G169" i="4"/>
  <c r="G180" i="4" s="1"/>
  <c r="F169" i="4"/>
  <c r="F180" i="4" s="1"/>
  <c r="E169" i="4"/>
  <c r="E180" i="4" s="1"/>
  <c r="D169" i="4"/>
  <c r="N169" i="4" s="1"/>
  <c r="O169" i="4" s="1"/>
  <c r="P169" i="4" s="1"/>
  <c r="C169" i="4"/>
  <c r="C180" i="4" s="1"/>
  <c r="J168" i="4"/>
  <c r="M167" i="4"/>
  <c r="L167" i="4"/>
  <c r="K167" i="4"/>
  <c r="J167" i="4"/>
  <c r="I167" i="4"/>
  <c r="H167" i="4"/>
  <c r="G167" i="4"/>
  <c r="F167" i="4"/>
  <c r="E167" i="4"/>
  <c r="D167" i="4"/>
  <c r="C167" i="4"/>
  <c r="M166" i="4"/>
  <c r="L166" i="4"/>
  <c r="K166" i="4"/>
  <c r="J166" i="4"/>
  <c r="I166" i="4"/>
  <c r="H166" i="4"/>
  <c r="G166" i="4"/>
  <c r="F166" i="4"/>
  <c r="N166" i="4" s="1"/>
  <c r="E166" i="4"/>
  <c r="D166" i="4"/>
  <c r="C166" i="4"/>
  <c r="M165" i="4"/>
  <c r="L165" i="4"/>
  <c r="K165" i="4"/>
  <c r="J165" i="4"/>
  <c r="I165" i="4"/>
  <c r="H165" i="4"/>
  <c r="G165" i="4"/>
  <c r="F165" i="4"/>
  <c r="E165" i="4"/>
  <c r="D165" i="4"/>
  <c r="N165" i="4" s="1"/>
  <c r="O165" i="4" s="1"/>
  <c r="P165" i="4" s="1"/>
  <c r="C165" i="4"/>
  <c r="M164" i="4"/>
  <c r="L164" i="4"/>
  <c r="K164" i="4"/>
  <c r="J164" i="4"/>
  <c r="I164" i="4"/>
  <c r="H164" i="4"/>
  <c r="G164" i="4"/>
  <c r="F164" i="4"/>
  <c r="E164" i="4"/>
  <c r="D164" i="4"/>
  <c r="C164" i="4"/>
  <c r="M163" i="4"/>
  <c r="L163" i="4"/>
  <c r="K163" i="4"/>
  <c r="J163" i="4"/>
  <c r="I163" i="4"/>
  <c r="H163" i="4"/>
  <c r="G163" i="4"/>
  <c r="F163" i="4"/>
  <c r="E163" i="4"/>
  <c r="D163" i="4"/>
  <c r="C163" i="4"/>
  <c r="M162" i="4"/>
  <c r="L162" i="4"/>
  <c r="K162" i="4"/>
  <c r="J162" i="4"/>
  <c r="I162" i="4"/>
  <c r="H162" i="4"/>
  <c r="G162" i="4"/>
  <c r="F162" i="4"/>
  <c r="N162" i="4" s="1"/>
  <c r="E162" i="4"/>
  <c r="D162" i="4"/>
  <c r="C162" i="4"/>
  <c r="M161" i="4"/>
  <c r="L161" i="4"/>
  <c r="K161" i="4"/>
  <c r="J161" i="4"/>
  <c r="I161" i="4"/>
  <c r="H161" i="4"/>
  <c r="G161" i="4"/>
  <c r="F161" i="4"/>
  <c r="E161" i="4"/>
  <c r="D161" i="4"/>
  <c r="N161" i="4" s="1"/>
  <c r="O161" i="4" s="1"/>
  <c r="P161" i="4" s="1"/>
  <c r="C161" i="4"/>
  <c r="M160" i="4"/>
  <c r="L160" i="4"/>
  <c r="K160" i="4"/>
  <c r="J160" i="4"/>
  <c r="I160" i="4"/>
  <c r="H160" i="4"/>
  <c r="G160" i="4"/>
  <c r="F160" i="4"/>
  <c r="E160" i="4"/>
  <c r="D160" i="4"/>
  <c r="C160" i="4"/>
  <c r="M159" i="4"/>
  <c r="L159" i="4"/>
  <c r="K159" i="4"/>
  <c r="J159" i="4"/>
  <c r="I159" i="4"/>
  <c r="H159" i="4"/>
  <c r="G159" i="4"/>
  <c r="F159" i="4"/>
  <c r="E159" i="4"/>
  <c r="D159" i="4"/>
  <c r="N159" i="4" s="1"/>
  <c r="C159" i="4"/>
  <c r="O159" i="4" s="1"/>
  <c r="P159" i="4" s="1"/>
  <c r="M158" i="4"/>
  <c r="L158" i="4"/>
  <c r="K158" i="4"/>
  <c r="J158" i="4"/>
  <c r="I158" i="4"/>
  <c r="H158" i="4"/>
  <c r="G158" i="4"/>
  <c r="F158" i="4"/>
  <c r="E158" i="4"/>
  <c r="D158" i="4"/>
  <c r="C158" i="4"/>
  <c r="M157" i="4"/>
  <c r="M168" i="4" s="1"/>
  <c r="L157" i="4"/>
  <c r="K157" i="4"/>
  <c r="K168" i="4" s="1"/>
  <c r="J157" i="4"/>
  <c r="I157" i="4"/>
  <c r="I168" i="4" s="1"/>
  <c r="H157" i="4"/>
  <c r="H168" i="4" s="1"/>
  <c r="G157" i="4"/>
  <c r="G168" i="4" s="1"/>
  <c r="F157" i="4"/>
  <c r="E157" i="4"/>
  <c r="E168" i="4" s="1"/>
  <c r="D157" i="4"/>
  <c r="C157" i="4"/>
  <c r="C168" i="4" s="1"/>
  <c r="J156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N154" i="4" s="1"/>
  <c r="E154" i="4"/>
  <c r="D154" i="4"/>
  <c r="C154" i="4"/>
  <c r="M153" i="4"/>
  <c r="L153" i="4"/>
  <c r="K153" i="4"/>
  <c r="J153" i="4"/>
  <c r="I153" i="4"/>
  <c r="H153" i="4"/>
  <c r="G153" i="4"/>
  <c r="F153" i="4"/>
  <c r="E153" i="4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C151" i="4"/>
  <c r="M149" i="4"/>
  <c r="L149" i="4"/>
  <c r="K149" i="4"/>
  <c r="J149" i="4"/>
  <c r="I149" i="4"/>
  <c r="H149" i="4"/>
  <c r="G149" i="4"/>
  <c r="F149" i="4"/>
  <c r="N149" i="4" s="1"/>
  <c r="E149" i="4"/>
  <c r="D149" i="4"/>
  <c r="C149" i="4"/>
  <c r="M147" i="4"/>
  <c r="L147" i="4"/>
  <c r="K147" i="4"/>
  <c r="J147" i="4"/>
  <c r="I147" i="4"/>
  <c r="H147" i="4"/>
  <c r="G147" i="4"/>
  <c r="F147" i="4"/>
  <c r="E147" i="4"/>
  <c r="D147" i="4"/>
  <c r="N147" i="4" s="1"/>
  <c r="O147" i="4" s="1"/>
  <c r="P147" i="4" s="1"/>
  <c r="C147" i="4"/>
  <c r="M146" i="4"/>
  <c r="M156" i="4" s="1"/>
  <c r="L146" i="4"/>
  <c r="K146" i="4"/>
  <c r="K156" i="4" s="1"/>
  <c r="J146" i="4"/>
  <c r="I146" i="4"/>
  <c r="I156" i="4" s="1"/>
  <c r="H146" i="4"/>
  <c r="H156" i="4" s="1"/>
  <c r="G146" i="4"/>
  <c r="G156" i="4" s="1"/>
  <c r="F146" i="4"/>
  <c r="E146" i="4"/>
  <c r="E156" i="4" s="1"/>
  <c r="D146" i="4"/>
  <c r="C146" i="4"/>
  <c r="C156" i="4" s="1"/>
  <c r="M144" i="4"/>
  <c r="L144" i="4"/>
  <c r="K144" i="4"/>
  <c r="J144" i="4"/>
  <c r="I144" i="4"/>
  <c r="H144" i="4"/>
  <c r="G144" i="4"/>
  <c r="F144" i="4"/>
  <c r="F33" i="3" s="1"/>
  <c r="E144" i="4"/>
  <c r="D144" i="4"/>
  <c r="C144" i="4"/>
  <c r="M143" i="4"/>
  <c r="L143" i="4"/>
  <c r="K143" i="4"/>
  <c r="J143" i="4"/>
  <c r="I143" i="4"/>
  <c r="H143" i="4"/>
  <c r="G143" i="4"/>
  <c r="F143" i="4"/>
  <c r="E143" i="4"/>
  <c r="D143" i="4"/>
  <c r="N143" i="4" s="1"/>
  <c r="O143" i="4" s="1"/>
  <c r="P143" i="4" s="1"/>
  <c r="C143" i="4"/>
  <c r="M141" i="4"/>
  <c r="L141" i="4"/>
  <c r="K141" i="4"/>
  <c r="J141" i="4"/>
  <c r="I141" i="4"/>
  <c r="H141" i="4"/>
  <c r="G141" i="4"/>
  <c r="F141" i="4"/>
  <c r="N141" i="4" s="1"/>
  <c r="E141" i="4"/>
  <c r="D141" i="4"/>
  <c r="C141" i="4"/>
  <c r="O141" i="4" s="1"/>
  <c r="P141" i="4" s="1"/>
  <c r="M139" i="4"/>
  <c r="L139" i="4"/>
  <c r="K139" i="4"/>
  <c r="J139" i="4"/>
  <c r="I139" i="4"/>
  <c r="H139" i="4"/>
  <c r="G139" i="4"/>
  <c r="F139" i="4"/>
  <c r="E139" i="4"/>
  <c r="D139" i="4"/>
  <c r="C139" i="4"/>
  <c r="M138" i="4"/>
  <c r="L138" i="4"/>
  <c r="K138" i="4"/>
  <c r="J138" i="4"/>
  <c r="I138" i="4"/>
  <c r="H138" i="4"/>
  <c r="G138" i="4"/>
  <c r="F138" i="4"/>
  <c r="N138" i="4" s="1"/>
  <c r="E138" i="4"/>
  <c r="D138" i="4"/>
  <c r="C138" i="4"/>
  <c r="M137" i="4"/>
  <c r="L137" i="4"/>
  <c r="L24" i="3" s="1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J23" i="3" s="1"/>
  <c r="I136" i="4"/>
  <c r="H136" i="4"/>
  <c r="G136" i="4"/>
  <c r="F136" i="4"/>
  <c r="E136" i="4"/>
  <c r="D136" i="4"/>
  <c r="C136" i="4"/>
  <c r="M135" i="4"/>
  <c r="L135" i="4"/>
  <c r="K135" i="4"/>
  <c r="J135" i="4"/>
  <c r="I135" i="4"/>
  <c r="H135" i="4"/>
  <c r="H145" i="4" s="1"/>
  <c r="G135" i="4"/>
  <c r="F135" i="4"/>
  <c r="E135" i="4"/>
  <c r="D135" i="4"/>
  <c r="C135" i="4"/>
  <c r="M145" i="4"/>
  <c r="K145" i="4"/>
  <c r="J145" i="4"/>
  <c r="I145" i="4"/>
  <c r="G145" i="4"/>
  <c r="E145" i="4"/>
  <c r="C145" i="4"/>
  <c r="L133" i="4"/>
  <c r="D133" i="4"/>
  <c r="M132" i="4"/>
  <c r="L132" i="4"/>
  <c r="K132" i="4"/>
  <c r="J132" i="4"/>
  <c r="I132" i="4"/>
  <c r="H132" i="4"/>
  <c r="G132" i="4"/>
  <c r="F132" i="4"/>
  <c r="N132" i="4" s="1"/>
  <c r="O132" i="4" s="1"/>
  <c r="P132" i="4" s="1"/>
  <c r="E132" i="4"/>
  <c r="D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N130" i="4" s="1"/>
  <c r="E130" i="4"/>
  <c r="D130" i="4"/>
  <c r="C130" i="4"/>
  <c r="M129" i="4"/>
  <c r="L129" i="4"/>
  <c r="K129" i="4"/>
  <c r="J129" i="4"/>
  <c r="I129" i="4"/>
  <c r="H129" i="4"/>
  <c r="G129" i="4"/>
  <c r="F129" i="4"/>
  <c r="E129" i="4"/>
  <c r="D129" i="4"/>
  <c r="N129" i="4" s="1"/>
  <c r="O129" i="4" s="1"/>
  <c r="P129" i="4" s="1"/>
  <c r="C129" i="4"/>
  <c r="M128" i="4"/>
  <c r="L128" i="4"/>
  <c r="K128" i="4"/>
  <c r="J128" i="4"/>
  <c r="J29" i="3" s="1"/>
  <c r="I128" i="4"/>
  <c r="H128" i="4"/>
  <c r="G128" i="4"/>
  <c r="F128" i="4"/>
  <c r="E128" i="4"/>
  <c r="D128" i="4"/>
  <c r="C128" i="4"/>
  <c r="M127" i="4"/>
  <c r="L127" i="4"/>
  <c r="K127" i="4"/>
  <c r="J127" i="4"/>
  <c r="I127" i="4"/>
  <c r="H127" i="4"/>
  <c r="G127" i="4"/>
  <c r="F127" i="4"/>
  <c r="E127" i="4"/>
  <c r="D127" i="4"/>
  <c r="C127" i="4"/>
  <c r="M126" i="4"/>
  <c r="L126" i="4"/>
  <c r="K126" i="4"/>
  <c r="J126" i="4"/>
  <c r="I126" i="4"/>
  <c r="H126" i="4"/>
  <c r="G126" i="4"/>
  <c r="F126" i="4"/>
  <c r="N126" i="4" s="1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N125" i="4" s="1"/>
  <c r="O125" i="4" s="1"/>
  <c r="P125" i="4" s="1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M133" i="4" s="1"/>
  <c r="L123" i="4"/>
  <c r="K123" i="4"/>
  <c r="K133" i="4" s="1"/>
  <c r="J123" i="4"/>
  <c r="I123" i="4"/>
  <c r="I133" i="4" s="1"/>
  <c r="H123" i="4"/>
  <c r="G123" i="4"/>
  <c r="G133" i="4" s="1"/>
  <c r="F123" i="4"/>
  <c r="F133" i="4" s="1"/>
  <c r="E123" i="4"/>
  <c r="E133" i="4" s="1"/>
  <c r="D123" i="4"/>
  <c r="N123" i="4" s="1"/>
  <c r="C123" i="4"/>
  <c r="C133" i="4" s="1"/>
  <c r="M119" i="4"/>
  <c r="L119" i="4"/>
  <c r="L32" i="3" s="1"/>
  <c r="K119" i="4"/>
  <c r="J119" i="4"/>
  <c r="I119" i="4"/>
  <c r="H119" i="4"/>
  <c r="G119" i="4"/>
  <c r="F119" i="4"/>
  <c r="E119" i="4"/>
  <c r="D119" i="4"/>
  <c r="N119" i="4" s="1"/>
  <c r="O119" i="4" s="1"/>
  <c r="P119" i="4" s="1"/>
  <c r="C119" i="4"/>
  <c r="M118" i="4"/>
  <c r="L118" i="4"/>
  <c r="K118" i="4"/>
  <c r="J118" i="4"/>
  <c r="J31" i="3" s="1"/>
  <c r="I118" i="4"/>
  <c r="H118" i="4"/>
  <c r="G118" i="4"/>
  <c r="F118" i="4"/>
  <c r="N118" i="4" s="1"/>
  <c r="O118" i="4" s="1"/>
  <c r="P118" i="4" s="1"/>
  <c r="E118" i="4"/>
  <c r="D118" i="4"/>
  <c r="C118" i="4"/>
  <c r="M117" i="4"/>
  <c r="L117" i="4"/>
  <c r="K117" i="4"/>
  <c r="J117" i="4"/>
  <c r="I117" i="4"/>
  <c r="H117" i="4"/>
  <c r="H30" i="3" s="1"/>
  <c r="G117" i="4"/>
  <c r="F117" i="4"/>
  <c r="E117" i="4"/>
  <c r="D117" i="4"/>
  <c r="C117" i="4"/>
  <c r="M116" i="4"/>
  <c r="L116" i="4"/>
  <c r="K116" i="4"/>
  <c r="J116" i="4"/>
  <c r="I116" i="4"/>
  <c r="H116" i="4"/>
  <c r="G116" i="4"/>
  <c r="F116" i="4"/>
  <c r="F29" i="3" s="1"/>
  <c r="E116" i="4"/>
  <c r="D116" i="4"/>
  <c r="C116" i="4"/>
  <c r="M115" i="4"/>
  <c r="L115" i="4"/>
  <c r="L28" i="3" s="1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J27" i="3" s="1"/>
  <c r="I114" i="4"/>
  <c r="H114" i="4"/>
  <c r="G114" i="4"/>
  <c r="F114" i="4"/>
  <c r="E114" i="4"/>
  <c r="D114" i="4"/>
  <c r="C114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M121" i="4" s="1"/>
  <c r="L111" i="4"/>
  <c r="L121" i="4" s="1"/>
  <c r="K111" i="4"/>
  <c r="K121" i="4" s="1"/>
  <c r="J111" i="4"/>
  <c r="I111" i="4"/>
  <c r="I121" i="4" s="1"/>
  <c r="H111" i="4"/>
  <c r="G111" i="4"/>
  <c r="G121" i="4" s="1"/>
  <c r="F111" i="4"/>
  <c r="F121" i="4" s="1"/>
  <c r="E111" i="4"/>
  <c r="E121" i="4" s="1"/>
  <c r="D111" i="4"/>
  <c r="D121" i="4" s="1"/>
  <c r="C111" i="4"/>
  <c r="C121" i="4" s="1"/>
  <c r="L110" i="4"/>
  <c r="M109" i="4"/>
  <c r="L109" i="4"/>
  <c r="K109" i="4"/>
  <c r="J109" i="4"/>
  <c r="I109" i="4"/>
  <c r="H109" i="4"/>
  <c r="G109" i="4"/>
  <c r="F109" i="4"/>
  <c r="E109" i="4"/>
  <c r="D109" i="4"/>
  <c r="C109" i="4"/>
  <c r="M108" i="4"/>
  <c r="L108" i="4"/>
  <c r="K108" i="4"/>
  <c r="J108" i="4"/>
  <c r="I108" i="4"/>
  <c r="H108" i="4"/>
  <c r="G108" i="4"/>
  <c r="F108" i="4"/>
  <c r="E108" i="4"/>
  <c r="D108" i="4"/>
  <c r="C108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L106" i="4"/>
  <c r="L30" i="3" s="1"/>
  <c r="K106" i="4"/>
  <c r="J106" i="4"/>
  <c r="I106" i="4"/>
  <c r="H106" i="4"/>
  <c r="G106" i="4"/>
  <c r="F106" i="4"/>
  <c r="E106" i="4"/>
  <c r="D106" i="4"/>
  <c r="N106" i="4" s="1"/>
  <c r="O106" i="4" s="1"/>
  <c r="P106" i="4" s="1"/>
  <c r="C106" i="4"/>
  <c r="M105" i="4"/>
  <c r="L105" i="4"/>
  <c r="K105" i="4"/>
  <c r="J105" i="4"/>
  <c r="I105" i="4"/>
  <c r="H105" i="4"/>
  <c r="G105" i="4"/>
  <c r="F105" i="4"/>
  <c r="E105" i="4"/>
  <c r="D105" i="4"/>
  <c r="C105" i="4"/>
  <c r="M104" i="4"/>
  <c r="L104" i="4"/>
  <c r="K104" i="4"/>
  <c r="J104" i="4"/>
  <c r="I104" i="4"/>
  <c r="H104" i="4"/>
  <c r="G104" i="4"/>
  <c r="F104" i="4"/>
  <c r="E104" i="4"/>
  <c r="D104" i="4"/>
  <c r="N104" i="4" s="1"/>
  <c r="C104" i="4"/>
  <c r="O104" i="4" s="1"/>
  <c r="P104" i="4" s="1"/>
  <c r="M103" i="4"/>
  <c r="L103" i="4"/>
  <c r="K103" i="4"/>
  <c r="J103" i="4"/>
  <c r="I103" i="4"/>
  <c r="H103" i="4"/>
  <c r="G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N102" i="4" s="1"/>
  <c r="O102" i="4" s="1"/>
  <c r="P102" i="4" s="1"/>
  <c r="C102" i="4"/>
  <c r="M101" i="4"/>
  <c r="L101" i="4"/>
  <c r="K101" i="4"/>
  <c r="J101" i="4"/>
  <c r="I101" i="4"/>
  <c r="H101" i="4"/>
  <c r="G101" i="4"/>
  <c r="F101" i="4"/>
  <c r="N101" i="4" s="1"/>
  <c r="O101" i="4" s="1"/>
  <c r="P101" i="4" s="1"/>
  <c r="E101" i="4"/>
  <c r="D101" i="4"/>
  <c r="C101" i="4"/>
  <c r="M100" i="4"/>
  <c r="L100" i="4"/>
  <c r="J100" i="4"/>
  <c r="H100" i="4"/>
  <c r="H110" i="4" s="1"/>
  <c r="G100" i="4"/>
  <c r="F100" i="4"/>
  <c r="E100" i="4"/>
  <c r="D100" i="4"/>
  <c r="C100" i="4"/>
  <c r="M99" i="4"/>
  <c r="M110" i="4" s="1"/>
  <c r="L99" i="4"/>
  <c r="K99" i="4"/>
  <c r="J99" i="4"/>
  <c r="I99" i="4"/>
  <c r="H99" i="4"/>
  <c r="G99" i="4"/>
  <c r="F99" i="4"/>
  <c r="E99" i="4"/>
  <c r="D99" i="4"/>
  <c r="C99" i="4"/>
  <c r="C110" i="4" s="1"/>
  <c r="D98" i="4"/>
  <c r="M97" i="4"/>
  <c r="L97" i="4"/>
  <c r="K97" i="4"/>
  <c r="J97" i="4"/>
  <c r="I97" i="4"/>
  <c r="H97" i="4"/>
  <c r="G97" i="4"/>
  <c r="F97" i="4"/>
  <c r="N97" i="4" s="1"/>
  <c r="O97" i="4" s="1"/>
  <c r="P97" i="4" s="1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N96" i="4" s="1"/>
  <c r="C96" i="4"/>
  <c r="M94" i="4"/>
  <c r="L94" i="4"/>
  <c r="K94" i="4"/>
  <c r="J94" i="4"/>
  <c r="I94" i="4"/>
  <c r="H94" i="4"/>
  <c r="G94" i="4"/>
  <c r="F94" i="4"/>
  <c r="F30" i="3" s="1"/>
  <c r="E94" i="4"/>
  <c r="D94" i="4"/>
  <c r="C94" i="4"/>
  <c r="M93" i="4"/>
  <c r="L93" i="4"/>
  <c r="K93" i="4"/>
  <c r="J93" i="4"/>
  <c r="I93" i="4"/>
  <c r="H93" i="4"/>
  <c r="G93" i="4"/>
  <c r="F93" i="4"/>
  <c r="E93" i="4"/>
  <c r="D93" i="4"/>
  <c r="N93" i="4" s="1"/>
  <c r="O93" i="4" s="1"/>
  <c r="P93" i="4" s="1"/>
  <c r="C93" i="4"/>
  <c r="M92" i="4"/>
  <c r="L92" i="4"/>
  <c r="K92" i="4"/>
  <c r="J92" i="4"/>
  <c r="I92" i="4"/>
  <c r="H92" i="4"/>
  <c r="G92" i="4"/>
  <c r="F92" i="4"/>
  <c r="N92" i="4" s="1"/>
  <c r="O92" i="4" s="1"/>
  <c r="P92" i="4" s="1"/>
  <c r="E92" i="4"/>
  <c r="D92" i="4"/>
  <c r="C92" i="4"/>
  <c r="M91" i="4"/>
  <c r="L91" i="4"/>
  <c r="K91" i="4"/>
  <c r="J91" i="4"/>
  <c r="I91" i="4"/>
  <c r="H91" i="4"/>
  <c r="H27" i="3" s="1"/>
  <c r="G91" i="4"/>
  <c r="F91" i="4"/>
  <c r="E91" i="4"/>
  <c r="D91" i="4"/>
  <c r="C91" i="4"/>
  <c r="M89" i="4"/>
  <c r="L89" i="4"/>
  <c r="K89" i="4"/>
  <c r="J89" i="4"/>
  <c r="I89" i="4"/>
  <c r="H89" i="4"/>
  <c r="G89" i="4"/>
  <c r="F89" i="4"/>
  <c r="N89" i="4" s="1"/>
  <c r="E89" i="4"/>
  <c r="D89" i="4"/>
  <c r="C89" i="4"/>
  <c r="M88" i="4"/>
  <c r="M98" i="4" s="1"/>
  <c r="L88" i="4"/>
  <c r="L98" i="4" s="1"/>
  <c r="K88" i="4"/>
  <c r="K98" i="4" s="1"/>
  <c r="J88" i="4"/>
  <c r="J98" i="4" s="1"/>
  <c r="I88" i="4"/>
  <c r="I98" i="4" s="1"/>
  <c r="H88" i="4"/>
  <c r="G88" i="4"/>
  <c r="G98" i="4" s="1"/>
  <c r="F88" i="4"/>
  <c r="E88" i="4"/>
  <c r="E98" i="4" s="1"/>
  <c r="D88" i="4"/>
  <c r="N88" i="4" s="1"/>
  <c r="O88" i="4" s="1"/>
  <c r="P88" i="4" s="1"/>
  <c r="C88" i="4"/>
  <c r="C98" i="4" s="1"/>
  <c r="J87" i="4"/>
  <c r="M86" i="4"/>
  <c r="L86" i="4"/>
  <c r="K86" i="4"/>
  <c r="J86" i="4"/>
  <c r="I86" i="4"/>
  <c r="H86" i="4"/>
  <c r="G86" i="4"/>
  <c r="F86" i="4"/>
  <c r="E86" i="4"/>
  <c r="C86" i="4"/>
  <c r="F87" i="4"/>
  <c r="C85" i="4"/>
  <c r="M83" i="4"/>
  <c r="L83" i="4"/>
  <c r="K83" i="4"/>
  <c r="J83" i="4"/>
  <c r="I83" i="4"/>
  <c r="H83" i="4"/>
  <c r="G83" i="4"/>
  <c r="F83" i="4"/>
  <c r="E83" i="4"/>
  <c r="D83" i="4"/>
  <c r="C83" i="4"/>
  <c r="M82" i="4"/>
  <c r="L82" i="4"/>
  <c r="K82" i="4"/>
  <c r="J82" i="4"/>
  <c r="I82" i="4"/>
  <c r="H82" i="4"/>
  <c r="G82" i="4"/>
  <c r="F82" i="4"/>
  <c r="E82" i="4"/>
  <c r="D82" i="4"/>
  <c r="C82" i="4"/>
  <c r="M81" i="4"/>
  <c r="L81" i="4"/>
  <c r="K81" i="4"/>
  <c r="J81" i="4"/>
  <c r="I81" i="4"/>
  <c r="H81" i="4"/>
  <c r="G81" i="4"/>
  <c r="F81" i="4"/>
  <c r="E81" i="4"/>
  <c r="D81" i="4"/>
  <c r="N81" i="4" s="1"/>
  <c r="C81" i="4"/>
  <c r="M80" i="4"/>
  <c r="L80" i="4"/>
  <c r="K80" i="4"/>
  <c r="J80" i="4"/>
  <c r="I80" i="4"/>
  <c r="H80" i="4"/>
  <c r="G80" i="4"/>
  <c r="F80" i="4"/>
  <c r="E80" i="4"/>
  <c r="D80" i="4"/>
  <c r="C80" i="4"/>
  <c r="M78" i="4"/>
  <c r="L78" i="4"/>
  <c r="K78" i="4"/>
  <c r="J78" i="4"/>
  <c r="I78" i="4"/>
  <c r="H78" i="4"/>
  <c r="G78" i="4"/>
  <c r="F78" i="4"/>
  <c r="E78" i="4"/>
  <c r="D78" i="4"/>
  <c r="N78" i="4" s="1"/>
  <c r="O78" i="4" s="1"/>
  <c r="P78" i="4" s="1"/>
  <c r="C78" i="4"/>
  <c r="M77" i="4"/>
  <c r="L77" i="4"/>
  <c r="K77" i="4"/>
  <c r="J77" i="4"/>
  <c r="I77" i="4"/>
  <c r="H77" i="4"/>
  <c r="G77" i="4"/>
  <c r="F77" i="4"/>
  <c r="E77" i="4"/>
  <c r="D77" i="4"/>
  <c r="N77" i="4" s="1"/>
  <c r="O77" i="4" s="1"/>
  <c r="P77" i="4" s="1"/>
  <c r="C77" i="4"/>
  <c r="M76" i="4"/>
  <c r="L76" i="4"/>
  <c r="K76" i="4"/>
  <c r="J76" i="4"/>
  <c r="I76" i="4"/>
  <c r="I22" i="3" s="1"/>
  <c r="H76" i="4"/>
  <c r="G76" i="4"/>
  <c r="F76" i="4"/>
  <c r="E76" i="4"/>
  <c r="D76" i="4"/>
  <c r="C76" i="4"/>
  <c r="M75" i="4"/>
  <c r="L75" i="4"/>
  <c r="L87" i="4" s="1"/>
  <c r="K75" i="4"/>
  <c r="J75" i="4"/>
  <c r="I75" i="4"/>
  <c r="H75" i="4"/>
  <c r="H87" i="4" s="1"/>
  <c r="G75" i="4"/>
  <c r="F75" i="4"/>
  <c r="N75" i="4" s="1"/>
  <c r="E75" i="4"/>
  <c r="D75" i="4"/>
  <c r="C75" i="4"/>
  <c r="I74" i="4"/>
  <c r="M73" i="4"/>
  <c r="L73" i="4"/>
  <c r="K73" i="4"/>
  <c r="K33" i="3" s="1"/>
  <c r="J73" i="4"/>
  <c r="I73" i="4"/>
  <c r="H73" i="4"/>
  <c r="G73" i="4"/>
  <c r="G33" i="3" s="1"/>
  <c r="G19" i="2" s="1"/>
  <c r="G18" i="1" s="1"/>
  <c r="F73" i="4"/>
  <c r="E73" i="4"/>
  <c r="D73" i="4"/>
  <c r="C73" i="4"/>
  <c r="C33" i="3" s="1"/>
  <c r="M72" i="4"/>
  <c r="M32" i="3" s="1"/>
  <c r="L72" i="4"/>
  <c r="K72" i="4"/>
  <c r="J72" i="4"/>
  <c r="I72" i="4"/>
  <c r="I32" i="3" s="1"/>
  <c r="H72" i="4"/>
  <c r="G72" i="4"/>
  <c r="F72" i="4"/>
  <c r="E72" i="4"/>
  <c r="E32" i="3" s="1"/>
  <c r="D72" i="4"/>
  <c r="N72" i="4" s="1"/>
  <c r="C72" i="4"/>
  <c r="M71" i="4"/>
  <c r="L71" i="4"/>
  <c r="K71" i="4"/>
  <c r="K31" i="3" s="1"/>
  <c r="J71" i="4"/>
  <c r="I71" i="4"/>
  <c r="H71" i="4"/>
  <c r="G71" i="4"/>
  <c r="G31" i="3" s="1"/>
  <c r="G17" i="2" s="1"/>
  <c r="G16" i="1" s="1"/>
  <c r="F71" i="4"/>
  <c r="E71" i="4"/>
  <c r="D71" i="4"/>
  <c r="C71" i="4"/>
  <c r="M70" i="4"/>
  <c r="M30" i="3" s="1"/>
  <c r="L70" i="4"/>
  <c r="K70" i="4"/>
  <c r="J70" i="4"/>
  <c r="I70" i="4"/>
  <c r="H70" i="4"/>
  <c r="G70" i="4"/>
  <c r="F70" i="4"/>
  <c r="E70" i="4"/>
  <c r="E30" i="3" s="1"/>
  <c r="D70" i="4"/>
  <c r="N70" i="4" s="1"/>
  <c r="O70" i="4" s="1"/>
  <c r="P70" i="4" s="1"/>
  <c r="C70" i="4"/>
  <c r="M69" i="4"/>
  <c r="L69" i="4"/>
  <c r="K69" i="4"/>
  <c r="J69" i="4"/>
  <c r="I69" i="4"/>
  <c r="H69" i="4"/>
  <c r="G69" i="4"/>
  <c r="F69" i="4"/>
  <c r="E69" i="4"/>
  <c r="D69" i="4"/>
  <c r="N69" i="4" s="1"/>
  <c r="O69" i="4" s="1"/>
  <c r="P69" i="4" s="1"/>
  <c r="C69" i="4"/>
  <c r="M68" i="4"/>
  <c r="L68" i="4"/>
  <c r="K68" i="4"/>
  <c r="J68" i="4"/>
  <c r="I68" i="4"/>
  <c r="I28" i="3" s="1"/>
  <c r="H68" i="4"/>
  <c r="G68" i="4"/>
  <c r="F68" i="4"/>
  <c r="E68" i="4"/>
  <c r="D68" i="4"/>
  <c r="C68" i="4"/>
  <c r="M67" i="4"/>
  <c r="L67" i="4"/>
  <c r="K67" i="4"/>
  <c r="K27" i="3" s="1"/>
  <c r="J67" i="4"/>
  <c r="I67" i="4"/>
  <c r="H67" i="4"/>
  <c r="G67" i="4"/>
  <c r="G27" i="3" s="1"/>
  <c r="F67" i="4"/>
  <c r="E67" i="4"/>
  <c r="D67" i="4"/>
  <c r="C67" i="4"/>
  <c r="M66" i="4"/>
  <c r="M24" i="3" s="1"/>
  <c r="L66" i="4"/>
  <c r="K66" i="4"/>
  <c r="J66" i="4"/>
  <c r="I66" i="4"/>
  <c r="I24" i="3" s="1"/>
  <c r="H66" i="4"/>
  <c r="G66" i="4"/>
  <c r="F66" i="4"/>
  <c r="E66" i="4"/>
  <c r="E24" i="3" s="1"/>
  <c r="D66" i="4"/>
  <c r="C66" i="4"/>
  <c r="M65" i="4"/>
  <c r="L65" i="4"/>
  <c r="J65" i="4"/>
  <c r="I65" i="4"/>
  <c r="H65" i="4"/>
  <c r="G65" i="4"/>
  <c r="F65" i="4"/>
  <c r="E65" i="4"/>
  <c r="D65" i="4"/>
  <c r="C65" i="4"/>
  <c r="C23" i="3" s="1"/>
  <c r="M64" i="4"/>
  <c r="M19" i="3" s="1"/>
  <c r="L64" i="4"/>
  <c r="K64" i="4"/>
  <c r="J64" i="4"/>
  <c r="I64" i="4"/>
  <c r="I19" i="3" s="1"/>
  <c r="H64" i="4"/>
  <c r="G64" i="4"/>
  <c r="F64" i="4"/>
  <c r="E64" i="4"/>
  <c r="E19" i="3" s="1"/>
  <c r="N19" i="3" s="1"/>
  <c r="D64" i="4"/>
  <c r="C64" i="4"/>
  <c r="M63" i="4"/>
  <c r="L63" i="4"/>
  <c r="K63" i="4"/>
  <c r="K22" i="3" s="1"/>
  <c r="J63" i="4"/>
  <c r="I63" i="4"/>
  <c r="H63" i="4"/>
  <c r="G63" i="4"/>
  <c r="G22" i="3" s="1"/>
  <c r="F63" i="4"/>
  <c r="E63" i="4"/>
  <c r="D63" i="4"/>
  <c r="C63" i="4"/>
  <c r="M62" i="4"/>
  <c r="L62" i="4"/>
  <c r="L74" i="4" s="1"/>
  <c r="K62" i="4"/>
  <c r="J62" i="4"/>
  <c r="J74" i="4" s="1"/>
  <c r="I62" i="4"/>
  <c r="I18" i="3" s="1"/>
  <c r="H62" i="4"/>
  <c r="H74" i="4" s="1"/>
  <c r="G62" i="4"/>
  <c r="F62" i="4"/>
  <c r="F74" i="4" s="1"/>
  <c r="E62" i="4"/>
  <c r="D62" i="4"/>
  <c r="N62" i="4" s="1"/>
  <c r="O62" i="4" s="1"/>
  <c r="P62" i="4" s="1"/>
  <c r="C62" i="4"/>
  <c r="L61" i="4"/>
  <c r="G61" i="4"/>
  <c r="D61" i="4"/>
  <c r="M57" i="4"/>
  <c r="M61" i="4" s="1"/>
  <c r="L57" i="4"/>
  <c r="K57" i="4"/>
  <c r="J57" i="4"/>
  <c r="J61" i="4" s="1"/>
  <c r="I57" i="4"/>
  <c r="H57" i="4"/>
  <c r="G57" i="4"/>
  <c r="F57" i="4"/>
  <c r="E57" i="4"/>
  <c r="E61" i="4" s="1"/>
  <c r="D57" i="4"/>
  <c r="C57" i="4"/>
  <c r="M56" i="4"/>
  <c r="L56" i="4"/>
  <c r="K56" i="4"/>
  <c r="K29" i="3" s="1"/>
  <c r="J56" i="4"/>
  <c r="I56" i="4"/>
  <c r="I61" i="4" s="1"/>
  <c r="H56" i="4"/>
  <c r="H61" i="4" s="1"/>
  <c r="G56" i="4"/>
  <c r="F56" i="4"/>
  <c r="F61" i="4" s="1"/>
  <c r="E56" i="4"/>
  <c r="D56" i="4"/>
  <c r="C56" i="4"/>
  <c r="C29" i="3" s="1"/>
  <c r="I50" i="4"/>
  <c r="M46" i="4"/>
  <c r="L46" i="4"/>
  <c r="L50" i="4" s="1"/>
  <c r="K46" i="4"/>
  <c r="J46" i="4"/>
  <c r="I46" i="4"/>
  <c r="H46" i="4"/>
  <c r="G46" i="4"/>
  <c r="F46" i="4"/>
  <c r="E46" i="4"/>
  <c r="D46" i="4"/>
  <c r="C46" i="4"/>
  <c r="M45" i="4"/>
  <c r="M50" i="4" s="1"/>
  <c r="L45" i="4"/>
  <c r="K45" i="4"/>
  <c r="J45" i="4"/>
  <c r="I45" i="4"/>
  <c r="H45" i="4"/>
  <c r="G45" i="4"/>
  <c r="F45" i="4"/>
  <c r="E45" i="4"/>
  <c r="E50" i="4" s="1"/>
  <c r="D45" i="4"/>
  <c r="C45" i="4"/>
  <c r="M42" i="4"/>
  <c r="L42" i="4"/>
  <c r="K42" i="4"/>
  <c r="J42" i="4"/>
  <c r="J50" i="4" s="1"/>
  <c r="I42" i="4"/>
  <c r="H42" i="4"/>
  <c r="H50" i="4" s="1"/>
  <c r="G42" i="4"/>
  <c r="G50" i="4" s="1"/>
  <c r="F42" i="4"/>
  <c r="F50" i="4" s="1"/>
  <c r="E42" i="4"/>
  <c r="D42" i="4"/>
  <c r="C42" i="4"/>
  <c r="M39" i="4"/>
  <c r="O38" i="4"/>
  <c r="P38" i="4" s="1"/>
  <c r="M38" i="4"/>
  <c r="L38" i="4"/>
  <c r="K38" i="4"/>
  <c r="K16" i="3" s="1"/>
  <c r="J38" i="4"/>
  <c r="I38" i="4"/>
  <c r="H38" i="4"/>
  <c r="G38" i="4"/>
  <c r="F38" i="4"/>
  <c r="E38" i="4"/>
  <c r="D38" i="4"/>
  <c r="N38" i="4" s="1"/>
  <c r="C38" i="4"/>
  <c r="C16" i="3" s="1"/>
  <c r="M35" i="4"/>
  <c r="L35" i="4"/>
  <c r="K35" i="4"/>
  <c r="J35" i="4"/>
  <c r="I35" i="4"/>
  <c r="I13" i="3" s="1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2" i="4"/>
  <c r="M10" i="3" s="1"/>
  <c r="L32" i="4"/>
  <c r="K32" i="4"/>
  <c r="J32" i="4"/>
  <c r="I32" i="4"/>
  <c r="I10" i="3" s="1"/>
  <c r="H32" i="4"/>
  <c r="G32" i="4"/>
  <c r="F32" i="4"/>
  <c r="F39" i="4" s="1"/>
  <c r="E32" i="4"/>
  <c r="E10" i="3" s="1"/>
  <c r="E13" i="2" s="1"/>
  <c r="D32" i="4"/>
  <c r="C32" i="4"/>
  <c r="M31" i="4"/>
  <c r="L31" i="4"/>
  <c r="L39" i="4" s="1"/>
  <c r="K31" i="4"/>
  <c r="K9" i="3" s="1"/>
  <c r="J31" i="4"/>
  <c r="I31" i="4"/>
  <c r="H31" i="4"/>
  <c r="G31" i="4"/>
  <c r="F31" i="4"/>
  <c r="E31" i="4"/>
  <c r="D31" i="4"/>
  <c r="N31" i="4" s="1"/>
  <c r="O31" i="4" s="1"/>
  <c r="P31" i="4" s="1"/>
  <c r="C31" i="4"/>
  <c r="C9" i="3" s="1"/>
  <c r="M30" i="4"/>
  <c r="L30" i="4"/>
  <c r="K30" i="4"/>
  <c r="J30" i="4"/>
  <c r="J39" i="4" s="1"/>
  <c r="I30" i="4"/>
  <c r="H30" i="4"/>
  <c r="H39" i="4" s="1"/>
  <c r="G30" i="4"/>
  <c r="F30" i="4"/>
  <c r="E30" i="4"/>
  <c r="E39" i="4" s="1"/>
  <c r="D30" i="4"/>
  <c r="C30" i="4"/>
  <c r="C28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N26" i="4" s="1"/>
  <c r="O26" i="4" s="1"/>
  <c r="P26" i="4" s="1"/>
  <c r="C26" i="4"/>
  <c r="M24" i="4"/>
  <c r="M13" i="3" s="1"/>
  <c r="L24" i="4"/>
  <c r="K24" i="4"/>
  <c r="J24" i="4"/>
  <c r="I24" i="4"/>
  <c r="H24" i="4"/>
  <c r="G24" i="4"/>
  <c r="F24" i="4"/>
  <c r="E24" i="4"/>
  <c r="E13" i="3" s="1"/>
  <c r="D24" i="4"/>
  <c r="C24" i="4"/>
  <c r="M23" i="4"/>
  <c r="L23" i="4"/>
  <c r="K23" i="4"/>
  <c r="K12" i="3" s="1"/>
  <c r="J23" i="4"/>
  <c r="I23" i="4"/>
  <c r="H23" i="4"/>
  <c r="H28" i="4" s="1"/>
  <c r="G23" i="4"/>
  <c r="G28" i="4" s="1"/>
  <c r="F23" i="4"/>
  <c r="E23" i="4"/>
  <c r="D23" i="4"/>
  <c r="C23" i="4"/>
  <c r="C12" i="3" s="1"/>
  <c r="M19" i="4"/>
  <c r="L19" i="4"/>
  <c r="L28" i="4" s="1"/>
  <c r="K19" i="4"/>
  <c r="J19" i="4"/>
  <c r="J28" i="4" s="1"/>
  <c r="I19" i="4"/>
  <c r="H19" i="4"/>
  <c r="G19" i="4"/>
  <c r="F19" i="4"/>
  <c r="F28" i="4" s="1"/>
  <c r="E19" i="4"/>
  <c r="D19" i="4"/>
  <c r="D28" i="4" s="1"/>
  <c r="C19" i="4"/>
  <c r="C17" i="4"/>
  <c r="M16" i="4"/>
  <c r="M16" i="3" s="1"/>
  <c r="M19" i="2" s="1"/>
  <c r="L16" i="4"/>
  <c r="K16" i="4"/>
  <c r="J16" i="4"/>
  <c r="I16" i="4"/>
  <c r="H16" i="4"/>
  <c r="G16" i="4"/>
  <c r="F16" i="4"/>
  <c r="E16" i="4"/>
  <c r="E16" i="3" s="1"/>
  <c r="E19" i="2" s="1"/>
  <c r="D16" i="4"/>
  <c r="C16" i="4"/>
  <c r="M15" i="4"/>
  <c r="L15" i="4"/>
  <c r="K15" i="4"/>
  <c r="K15" i="3" s="1"/>
  <c r="J15" i="4"/>
  <c r="I15" i="4"/>
  <c r="H15" i="4"/>
  <c r="G15" i="4"/>
  <c r="G15" i="3" s="1"/>
  <c r="F15" i="4"/>
  <c r="E15" i="4"/>
  <c r="D15" i="4"/>
  <c r="C15" i="4"/>
  <c r="C15" i="3" s="1"/>
  <c r="M14" i="4"/>
  <c r="M14" i="3" s="1"/>
  <c r="L14" i="4"/>
  <c r="K14" i="4"/>
  <c r="J14" i="4"/>
  <c r="I14" i="4"/>
  <c r="I14" i="3" s="1"/>
  <c r="H14" i="4"/>
  <c r="G14" i="4"/>
  <c r="F14" i="4"/>
  <c r="E14" i="4"/>
  <c r="E14" i="3" s="1"/>
  <c r="D14" i="4"/>
  <c r="N14" i="4" s="1"/>
  <c r="O14" i="4" s="1"/>
  <c r="P14" i="4" s="1"/>
  <c r="C14" i="4"/>
  <c r="O13" i="4"/>
  <c r="P13" i="4" s="1"/>
  <c r="M13" i="4"/>
  <c r="L13" i="4"/>
  <c r="L17" i="4" s="1"/>
  <c r="K13" i="4"/>
  <c r="J13" i="4"/>
  <c r="I13" i="4"/>
  <c r="H13" i="4"/>
  <c r="G13" i="4"/>
  <c r="F13" i="4"/>
  <c r="E13" i="4"/>
  <c r="D13" i="4"/>
  <c r="N13" i="4" s="1"/>
  <c r="C13" i="4"/>
  <c r="C13" i="3" s="1"/>
  <c r="M12" i="4"/>
  <c r="L12" i="4"/>
  <c r="K12" i="4"/>
  <c r="J12" i="4"/>
  <c r="J17" i="4" s="1"/>
  <c r="I12" i="4"/>
  <c r="I12" i="3" s="1"/>
  <c r="H12" i="4"/>
  <c r="G12" i="4"/>
  <c r="F12" i="4"/>
  <c r="E12" i="4"/>
  <c r="D12" i="4"/>
  <c r="C12" i="4"/>
  <c r="M11" i="4"/>
  <c r="L11" i="4"/>
  <c r="K11" i="4"/>
  <c r="K11" i="3" s="1"/>
  <c r="J11" i="4"/>
  <c r="I11" i="4"/>
  <c r="H11" i="4"/>
  <c r="H17" i="4" s="1"/>
  <c r="G11" i="4"/>
  <c r="F11" i="4"/>
  <c r="F17" i="4" s="1"/>
  <c r="E11" i="4"/>
  <c r="D11" i="4"/>
  <c r="C11" i="4"/>
  <c r="C11" i="3" s="1"/>
  <c r="O57" i="3"/>
  <c r="P57" i="3" s="1"/>
  <c r="M57" i="3"/>
  <c r="L57" i="3"/>
  <c r="K57" i="3"/>
  <c r="J57" i="3"/>
  <c r="I57" i="3"/>
  <c r="H57" i="3"/>
  <c r="G57" i="3"/>
  <c r="F57" i="3"/>
  <c r="E57" i="3"/>
  <c r="D57" i="3"/>
  <c r="N57" i="3" s="1"/>
  <c r="C57" i="3"/>
  <c r="M56" i="3"/>
  <c r="L56" i="3"/>
  <c r="K56" i="3"/>
  <c r="J56" i="3"/>
  <c r="I56" i="3"/>
  <c r="I29" i="2" s="1"/>
  <c r="H56" i="3"/>
  <c r="G56" i="3"/>
  <c r="F56" i="3"/>
  <c r="E56" i="3"/>
  <c r="D56" i="3"/>
  <c r="C56" i="3"/>
  <c r="M55" i="3"/>
  <c r="L55" i="3"/>
  <c r="K55" i="3"/>
  <c r="J55" i="3"/>
  <c r="I55" i="3"/>
  <c r="H55" i="3"/>
  <c r="G55" i="3"/>
  <c r="F55" i="3"/>
  <c r="E55" i="3"/>
  <c r="D55" i="3"/>
  <c r="C55" i="3"/>
  <c r="M54" i="3"/>
  <c r="L54" i="3"/>
  <c r="K54" i="3"/>
  <c r="I54" i="3"/>
  <c r="H54" i="3"/>
  <c r="G54" i="3"/>
  <c r="F54" i="3"/>
  <c r="E54" i="3"/>
  <c r="N54" i="3" s="1"/>
  <c r="O54" i="3" s="1"/>
  <c r="P54" i="3" s="1"/>
  <c r="D54" i="3"/>
  <c r="C54" i="3"/>
  <c r="M53" i="3"/>
  <c r="L53" i="3"/>
  <c r="K53" i="3"/>
  <c r="K26" i="2" s="1"/>
  <c r="J53" i="3"/>
  <c r="I53" i="3"/>
  <c r="H53" i="3"/>
  <c r="G53" i="3"/>
  <c r="F53" i="3"/>
  <c r="E53" i="3"/>
  <c r="D53" i="3"/>
  <c r="C53" i="3"/>
  <c r="M52" i="3"/>
  <c r="L52" i="3"/>
  <c r="K52" i="3"/>
  <c r="K25" i="2" s="1"/>
  <c r="K13" i="1" s="1"/>
  <c r="J52" i="3"/>
  <c r="I52" i="3"/>
  <c r="H52" i="3"/>
  <c r="H25" i="2" s="1"/>
  <c r="G52" i="3"/>
  <c r="G25" i="2" s="1"/>
  <c r="F52" i="3"/>
  <c r="E52" i="3"/>
  <c r="D52" i="3"/>
  <c r="C52" i="3"/>
  <c r="M51" i="3"/>
  <c r="L51" i="3"/>
  <c r="K51" i="3"/>
  <c r="J51" i="3"/>
  <c r="H51" i="3"/>
  <c r="G51" i="3"/>
  <c r="G24" i="2" s="1"/>
  <c r="F51" i="3"/>
  <c r="E51" i="3"/>
  <c r="D51" i="3"/>
  <c r="C51" i="3"/>
  <c r="M49" i="3"/>
  <c r="M58" i="3" s="1"/>
  <c r="L49" i="3"/>
  <c r="K49" i="3"/>
  <c r="J49" i="3"/>
  <c r="I49" i="3"/>
  <c r="H49" i="3"/>
  <c r="G49" i="3"/>
  <c r="F49" i="3"/>
  <c r="F58" i="3" s="1"/>
  <c r="E49" i="3"/>
  <c r="N49" i="3" s="1"/>
  <c r="O49" i="3" s="1"/>
  <c r="P49" i="3" s="1"/>
  <c r="D49" i="3"/>
  <c r="C49" i="3"/>
  <c r="O48" i="3"/>
  <c r="P48" i="3" s="1"/>
  <c r="M48" i="3"/>
  <c r="L48" i="3"/>
  <c r="L58" i="3" s="1"/>
  <c r="K48" i="3"/>
  <c r="J48" i="3"/>
  <c r="J58" i="3" s="1"/>
  <c r="I48" i="3"/>
  <c r="H48" i="3"/>
  <c r="H58" i="3" s="1"/>
  <c r="G48" i="3"/>
  <c r="F48" i="3"/>
  <c r="E48" i="3"/>
  <c r="D48" i="3"/>
  <c r="N48" i="3" s="1"/>
  <c r="C48" i="3"/>
  <c r="M46" i="3"/>
  <c r="L46" i="3"/>
  <c r="K46" i="3"/>
  <c r="J46" i="3"/>
  <c r="I46" i="3"/>
  <c r="H46" i="3"/>
  <c r="G46" i="3"/>
  <c r="F46" i="3"/>
  <c r="E46" i="3"/>
  <c r="D46" i="3"/>
  <c r="C46" i="3"/>
  <c r="M45" i="3"/>
  <c r="L45" i="3"/>
  <c r="K45" i="3"/>
  <c r="J45" i="3"/>
  <c r="I45" i="3"/>
  <c r="H45" i="3"/>
  <c r="G45" i="3"/>
  <c r="F45" i="3"/>
  <c r="E45" i="3"/>
  <c r="N45" i="3" s="1"/>
  <c r="O45" i="3" s="1"/>
  <c r="P45" i="3" s="1"/>
  <c r="D45" i="3"/>
  <c r="C45" i="3"/>
  <c r="M44" i="3"/>
  <c r="L44" i="3"/>
  <c r="K44" i="3"/>
  <c r="J44" i="3"/>
  <c r="I44" i="3"/>
  <c r="H44" i="3"/>
  <c r="G44" i="3"/>
  <c r="F44" i="3"/>
  <c r="E44" i="3"/>
  <c r="D44" i="3"/>
  <c r="N44" i="3" s="1"/>
  <c r="O44" i="3" s="1"/>
  <c r="P44" i="3" s="1"/>
  <c r="C44" i="3"/>
  <c r="M43" i="3"/>
  <c r="L43" i="3"/>
  <c r="K43" i="3"/>
  <c r="H43" i="3"/>
  <c r="F43" i="3"/>
  <c r="E43" i="3"/>
  <c r="D43" i="3"/>
  <c r="C43" i="3"/>
  <c r="H42" i="3"/>
  <c r="G42" i="3"/>
  <c r="F42" i="3"/>
  <c r="E42" i="3"/>
  <c r="D42" i="3"/>
  <c r="C42" i="3"/>
  <c r="M41" i="3"/>
  <c r="K41" i="3"/>
  <c r="I41" i="3"/>
  <c r="H41" i="3"/>
  <c r="G41" i="3"/>
  <c r="E41" i="3"/>
  <c r="D41" i="3"/>
  <c r="C41" i="3"/>
  <c r="G40" i="3"/>
  <c r="G13" i="2" s="1"/>
  <c r="G12" i="1" s="1"/>
  <c r="E40" i="3"/>
  <c r="C40" i="3"/>
  <c r="C39" i="3"/>
  <c r="M38" i="3"/>
  <c r="L38" i="3"/>
  <c r="K38" i="3"/>
  <c r="J38" i="3"/>
  <c r="I38" i="3"/>
  <c r="H38" i="3"/>
  <c r="G38" i="3"/>
  <c r="F38" i="3"/>
  <c r="N38" i="3" s="1"/>
  <c r="E38" i="3"/>
  <c r="D38" i="3"/>
  <c r="C38" i="3"/>
  <c r="M37" i="3"/>
  <c r="L37" i="3"/>
  <c r="K37" i="3"/>
  <c r="J37" i="3"/>
  <c r="H37" i="3"/>
  <c r="G37" i="3"/>
  <c r="F37" i="3"/>
  <c r="E37" i="3"/>
  <c r="D37" i="3"/>
  <c r="N37" i="3" s="1"/>
  <c r="O37" i="3" s="1"/>
  <c r="P37" i="3" s="1"/>
  <c r="C37" i="3"/>
  <c r="K36" i="3"/>
  <c r="G36" i="3"/>
  <c r="F36" i="3"/>
  <c r="C36" i="3"/>
  <c r="M35" i="3"/>
  <c r="L35" i="3"/>
  <c r="K35" i="3"/>
  <c r="I35" i="3"/>
  <c r="H35" i="3"/>
  <c r="G35" i="3"/>
  <c r="F35" i="3"/>
  <c r="E35" i="3"/>
  <c r="D35" i="3"/>
  <c r="C35" i="3"/>
  <c r="M33" i="3"/>
  <c r="L33" i="3"/>
  <c r="L19" i="2" s="1"/>
  <c r="H33" i="3"/>
  <c r="H19" i="2" s="1"/>
  <c r="E33" i="3"/>
  <c r="K32" i="3"/>
  <c r="J32" i="3"/>
  <c r="J18" i="2" s="1"/>
  <c r="J17" i="1" s="1"/>
  <c r="G32" i="3"/>
  <c r="F32" i="3"/>
  <c r="C32" i="3"/>
  <c r="M31" i="3"/>
  <c r="I31" i="3"/>
  <c r="H31" i="3"/>
  <c r="H17" i="2" s="1"/>
  <c r="H16" i="1" s="1"/>
  <c r="E31" i="3"/>
  <c r="K30" i="3"/>
  <c r="J30" i="3"/>
  <c r="G30" i="3"/>
  <c r="D30" i="3"/>
  <c r="C30" i="3"/>
  <c r="M29" i="3"/>
  <c r="L29" i="3"/>
  <c r="I29" i="3"/>
  <c r="H29" i="3"/>
  <c r="E29" i="3"/>
  <c r="D29" i="3"/>
  <c r="K28" i="3"/>
  <c r="J28" i="3"/>
  <c r="H28" i="3"/>
  <c r="G28" i="3"/>
  <c r="F28" i="3"/>
  <c r="C28" i="3"/>
  <c r="M27" i="3"/>
  <c r="L27" i="3"/>
  <c r="I27" i="3"/>
  <c r="E27" i="3"/>
  <c r="D27" i="3"/>
  <c r="M26" i="3"/>
  <c r="L26" i="3"/>
  <c r="L12" i="2" s="1"/>
  <c r="K26" i="3"/>
  <c r="K12" i="2" s="1"/>
  <c r="J26" i="3"/>
  <c r="I26" i="3"/>
  <c r="H26" i="3"/>
  <c r="G26" i="3"/>
  <c r="F26" i="3"/>
  <c r="F12" i="2" s="1"/>
  <c r="E26" i="3"/>
  <c r="D26" i="3"/>
  <c r="C26" i="3"/>
  <c r="C12" i="2" s="1"/>
  <c r="M25" i="3"/>
  <c r="L25" i="3"/>
  <c r="L11" i="2" s="1"/>
  <c r="L10" i="1" s="1"/>
  <c r="K25" i="3"/>
  <c r="J25" i="3"/>
  <c r="J11" i="2" s="1"/>
  <c r="J10" i="1" s="1"/>
  <c r="I25" i="3"/>
  <c r="I11" i="2" s="1"/>
  <c r="H25" i="3"/>
  <c r="G25" i="3"/>
  <c r="F25" i="3"/>
  <c r="E25" i="3"/>
  <c r="D25" i="3"/>
  <c r="C25" i="3"/>
  <c r="K24" i="3"/>
  <c r="J24" i="3"/>
  <c r="H24" i="3"/>
  <c r="G24" i="3"/>
  <c r="F24" i="3"/>
  <c r="F10" i="2" s="1"/>
  <c r="F9" i="1" s="1"/>
  <c r="C24" i="3"/>
  <c r="M23" i="3"/>
  <c r="L23" i="3"/>
  <c r="H23" i="3"/>
  <c r="F23" i="3"/>
  <c r="E23" i="3"/>
  <c r="D23" i="3"/>
  <c r="L22" i="3"/>
  <c r="J22" i="3"/>
  <c r="H22" i="3"/>
  <c r="F22" i="3"/>
  <c r="D22" i="3"/>
  <c r="M21" i="3"/>
  <c r="L21" i="3"/>
  <c r="K21" i="3"/>
  <c r="J21" i="3"/>
  <c r="I21" i="3"/>
  <c r="H21" i="3"/>
  <c r="G21" i="3"/>
  <c r="F21" i="3"/>
  <c r="E21" i="3"/>
  <c r="D21" i="3"/>
  <c r="C21" i="3"/>
  <c r="M20" i="3"/>
  <c r="L20" i="3"/>
  <c r="K20" i="3"/>
  <c r="J20" i="3"/>
  <c r="I20" i="3"/>
  <c r="H20" i="3"/>
  <c r="G20" i="3"/>
  <c r="F20" i="3"/>
  <c r="N20" i="3" s="1"/>
  <c r="O20" i="3" s="1"/>
  <c r="P20" i="3" s="1"/>
  <c r="E20" i="3"/>
  <c r="D20" i="3"/>
  <c r="C20" i="3"/>
  <c r="L19" i="3"/>
  <c r="K19" i="3"/>
  <c r="J19" i="3"/>
  <c r="H19" i="3"/>
  <c r="G19" i="3"/>
  <c r="F19" i="3"/>
  <c r="D19" i="3"/>
  <c r="C19" i="3"/>
  <c r="L18" i="3"/>
  <c r="K18" i="3"/>
  <c r="J18" i="3"/>
  <c r="H18" i="3"/>
  <c r="H7" i="2" s="1"/>
  <c r="H7" i="1" s="1"/>
  <c r="F18" i="3"/>
  <c r="D18" i="3"/>
  <c r="C18" i="3"/>
  <c r="C7" i="2" s="1"/>
  <c r="J17" i="3"/>
  <c r="L16" i="3"/>
  <c r="J16" i="3"/>
  <c r="H16" i="3"/>
  <c r="G16" i="3"/>
  <c r="F16" i="3"/>
  <c r="D16" i="3"/>
  <c r="N15" i="3"/>
  <c r="M15" i="3"/>
  <c r="L15" i="3"/>
  <c r="L18" i="2" s="1"/>
  <c r="L17" i="1" s="1"/>
  <c r="J15" i="3"/>
  <c r="I15" i="3"/>
  <c r="H15" i="3"/>
  <c r="F15" i="3"/>
  <c r="E15" i="3"/>
  <c r="E18" i="2" s="1"/>
  <c r="E17" i="1" s="1"/>
  <c r="D15" i="3"/>
  <c r="L14" i="3"/>
  <c r="K14" i="3"/>
  <c r="J14" i="3"/>
  <c r="H14" i="3"/>
  <c r="G14" i="3"/>
  <c r="F14" i="3"/>
  <c r="D14" i="3"/>
  <c r="C14" i="3"/>
  <c r="L13" i="3"/>
  <c r="J13" i="3"/>
  <c r="H13" i="3"/>
  <c r="F13" i="3"/>
  <c r="D13" i="3"/>
  <c r="L12" i="3"/>
  <c r="J12" i="3"/>
  <c r="H12" i="3"/>
  <c r="H15" i="2" s="1"/>
  <c r="G12" i="3"/>
  <c r="F12" i="3"/>
  <c r="F15" i="2" s="1"/>
  <c r="F14" i="1" s="1"/>
  <c r="D12" i="3"/>
  <c r="M11" i="3"/>
  <c r="L11" i="3"/>
  <c r="J11" i="3"/>
  <c r="I11" i="3"/>
  <c r="H11" i="3"/>
  <c r="H14" i="2" s="1"/>
  <c r="F11" i="3"/>
  <c r="E11" i="3"/>
  <c r="D11" i="3"/>
  <c r="L10" i="3"/>
  <c r="K10" i="3"/>
  <c r="J10" i="3"/>
  <c r="H10" i="3"/>
  <c r="G10" i="3"/>
  <c r="F10" i="3"/>
  <c r="D10" i="3"/>
  <c r="C10" i="3"/>
  <c r="M9" i="3"/>
  <c r="L9" i="3"/>
  <c r="L17" i="3" s="1"/>
  <c r="J9" i="3"/>
  <c r="J10" i="2" s="1"/>
  <c r="J9" i="1" s="1"/>
  <c r="I9" i="3"/>
  <c r="H9" i="3"/>
  <c r="F9" i="3"/>
  <c r="E9" i="3"/>
  <c r="D9" i="3"/>
  <c r="L8" i="3"/>
  <c r="K8" i="3"/>
  <c r="J8" i="3"/>
  <c r="H8" i="3"/>
  <c r="G8" i="3"/>
  <c r="F8" i="3"/>
  <c r="F8" i="2" s="1"/>
  <c r="F8" i="1" s="1"/>
  <c r="D8" i="3"/>
  <c r="C8" i="3"/>
  <c r="M30" i="2"/>
  <c r="L30" i="2"/>
  <c r="L18" i="1" s="1"/>
  <c r="K30" i="2"/>
  <c r="J30" i="2"/>
  <c r="I30" i="2"/>
  <c r="H30" i="2"/>
  <c r="G30" i="2"/>
  <c r="F30" i="2"/>
  <c r="E30" i="2"/>
  <c r="D30" i="2"/>
  <c r="N30" i="2" s="1"/>
  <c r="O30" i="2" s="1"/>
  <c r="P30" i="2" s="1"/>
  <c r="C30" i="2"/>
  <c r="M29" i="2"/>
  <c r="L29" i="2"/>
  <c r="K29" i="2"/>
  <c r="J29" i="2"/>
  <c r="H29" i="2"/>
  <c r="G29" i="2"/>
  <c r="F29" i="2"/>
  <c r="E29" i="2"/>
  <c r="D29" i="2"/>
  <c r="C29" i="2"/>
  <c r="M28" i="2"/>
  <c r="L28" i="2"/>
  <c r="K28" i="2"/>
  <c r="J28" i="2"/>
  <c r="I28" i="2"/>
  <c r="H28" i="2"/>
  <c r="G28" i="2"/>
  <c r="F28" i="2"/>
  <c r="N28" i="2" s="1"/>
  <c r="E28" i="2"/>
  <c r="D28" i="2"/>
  <c r="C28" i="2"/>
  <c r="M27" i="2"/>
  <c r="L27" i="2"/>
  <c r="K27" i="2"/>
  <c r="I27" i="2"/>
  <c r="H27" i="2"/>
  <c r="G27" i="2"/>
  <c r="F27" i="2"/>
  <c r="E27" i="2"/>
  <c r="D27" i="2"/>
  <c r="C27" i="2"/>
  <c r="M26" i="2"/>
  <c r="L26" i="2"/>
  <c r="J26" i="2"/>
  <c r="I26" i="2"/>
  <c r="H26" i="2"/>
  <c r="G26" i="2"/>
  <c r="F26" i="2"/>
  <c r="E26" i="2"/>
  <c r="D26" i="2"/>
  <c r="M25" i="2"/>
  <c r="L25" i="2"/>
  <c r="J25" i="2"/>
  <c r="I25" i="2"/>
  <c r="F25" i="2"/>
  <c r="E25" i="2"/>
  <c r="D25" i="2"/>
  <c r="C25" i="2"/>
  <c r="C13" i="1" s="1"/>
  <c r="M24" i="2"/>
  <c r="L24" i="2"/>
  <c r="K24" i="2"/>
  <c r="J24" i="2"/>
  <c r="H24" i="2"/>
  <c r="F24" i="2"/>
  <c r="E24" i="2"/>
  <c r="D24" i="2"/>
  <c r="C24" i="2"/>
  <c r="M22" i="2"/>
  <c r="L22" i="2"/>
  <c r="K22" i="2"/>
  <c r="J22" i="2"/>
  <c r="I22" i="2"/>
  <c r="H22" i="2"/>
  <c r="G22" i="2"/>
  <c r="F22" i="2"/>
  <c r="E22" i="2"/>
  <c r="D22" i="2"/>
  <c r="N22" i="2" s="1"/>
  <c r="C22" i="2"/>
  <c r="N21" i="2"/>
  <c r="M21" i="2"/>
  <c r="L21" i="2"/>
  <c r="K21" i="2"/>
  <c r="J21" i="2"/>
  <c r="I21" i="2"/>
  <c r="H21" i="2"/>
  <c r="G21" i="2"/>
  <c r="F21" i="2"/>
  <c r="E21" i="2"/>
  <c r="D21" i="2"/>
  <c r="C21" i="2"/>
  <c r="K19" i="2"/>
  <c r="F19" i="2"/>
  <c r="F18" i="1" s="1"/>
  <c r="C19" i="2"/>
  <c r="M18" i="2"/>
  <c r="K18" i="2"/>
  <c r="K17" i="1" s="1"/>
  <c r="I18" i="2"/>
  <c r="F18" i="2"/>
  <c r="F17" i="1" s="1"/>
  <c r="C18" i="2"/>
  <c r="K17" i="2"/>
  <c r="J17" i="2"/>
  <c r="J16" i="1" s="1"/>
  <c r="I17" i="2"/>
  <c r="I16" i="1" s="1"/>
  <c r="M16" i="2"/>
  <c r="M15" i="1" s="1"/>
  <c r="L16" i="2"/>
  <c r="E16" i="2"/>
  <c r="E15" i="1" s="1"/>
  <c r="L14" i="2"/>
  <c r="L13" i="1" s="1"/>
  <c r="K14" i="2"/>
  <c r="I14" i="2"/>
  <c r="C14" i="2"/>
  <c r="M12" i="2"/>
  <c r="J12" i="2"/>
  <c r="I12" i="2"/>
  <c r="H12" i="2"/>
  <c r="G12" i="2"/>
  <c r="E12" i="2"/>
  <c r="D12" i="2"/>
  <c r="M11" i="2"/>
  <c r="K11" i="2"/>
  <c r="K10" i="1" s="1"/>
  <c r="H11" i="2"/>
  <c r="G11" i="2"/>
  <c r="F11" i="2"/>
  <c r="F10" i="1" s="1"/>
  <c r="E11" i="2"/>
  <c r="C11" i="2"/>
  <c r="M10" i="2"/>
  <c r="K10" i="2"/>
  <c r="I10" i="2"/>
  <c r="H10" i="2"/>
  <c r="H9" i="1" s="1"/>
  <c r="E10" i="2"/>
  <c r="C10" i="2"/>
  <c r="M9" i="2"/>
  <c r="L9" i="2"/>
  <c r="L11" i="1" s="1"/>
  <c r="K9" i="2"/>
  <c r="J9" i="2"/>
  <c r="J11" i="1" s="1"/>
  <c r="I9" i="2"/>
  <c r="H9" i="2"/>
  <c r="H11" i="1" s="1"/>
  <c r="G9" i="2"/>
  <c r="F9" i="2"/>
  <c r="F11" i="1" s="1"/>
  <c r="E9" i="2"/>
  <c r="D9" i="2"/>
  <c r="C9" i="2"/>
  <c r="L7" i="2"/>
  <c r="F7" i="2"/>
  <c r="M18" i="1"/>
  <c r="K18" i="1"/>
  <c r="H18" i="1"/>
  <c r="E18" i="1"/>
  <c r="M17" i="1"/>
  <c r="C17" i="1"/>
  <c r="K16" i="1"/>
  <c r="L15" i="1"/>
  <c r="H14" i="1"/>
  <c r="E12" i="1"/>
  <c r="M11" i="1"/>
  <c r="K11" i="1"/>
  <c r="I11" i="1"/>
  <c r="G11" i="1"/>
  <c r="E11" i="1"/>
  <c r="C11" i="1"/>
  <c r="M10" i="1"/>
  <c r="I10" i="1"/>
  <c r="H10" i="1"/>
  <c r="G10" i="1"/>
  <c r="E10" i="1"/>
  <c r="M9" i="1"/>
  <c r="K9" i="1"/>
  <c r="I9" i="1"/>
  <c r="E9" i="1"/>
  <c r="C9" i="1"/>
  <c r="E31" i="2" l="1"/>
  <c r="F31" i="2"/>
  <c r="N52" i="3"/>
  <c r="H13" i="1"/>
  <c r="H31" i="2"/>
  <c r="F16" i="2"/>
  <c r="F15" i="1" s="1"/>
  <c r="H16" i="2"/>
  <c r="H15" i="1" s="1"/>
  <c r="C15" i="2"/>
  <c r="C14" i="1" s="1"/>
  <c r="J7" i="2"/>
  <c r="J7" i="1" s="1"/>
  <c r="G18" i="2"/>
  <c r="G17" i="1" s="1"/>
  <c r="E17" i="2"/>
  <c r="E16" i="1" s="1"/>
  <c r="M17" i="2"/>
  <c r="M16" i="1" s="1"/>
  <c r="L83" i="6"/>
  <c r="K7" i="2"/>
  <c r="K7" i="1" s="1"/>
  <c r="I7" i="2"/>
  <c r="I7" i="1" s="1"/>
  <c r="G23" i="3"/>
  <c r="G8" i="2" s="1"/>
  <c r="G8" i="1" s="1"/>
  <c r="G110" i="4"/>
  <c r="E110" i="4"/>
  <c r="I13" i="1"/>
  <c r="O22" i="2"/>
  <c r="P22" i="2" s="1"/>
  <c r="C17" i="3"/>
  <c r="C8" i="2"/>
  <c r="N14" i="3"/>
  <c r="E34" i="3"/>
  <c r="N94" i="4"/>
  <c r="N9" i="2"/>
  <c r="O9" i="2" s="1"/>
  <c r="P9" i="2" s="1"/>
  <c r="D11" i="1"/>
  <c r="N11" i="1" s="1"/>
  <c r="O11" i="1" s="1"/>
  <c r="P11" i="1" s="1"/>
  <c r="N26" i="2"/>
  <c r="D16" i="2"/>
  <c r="D15" i="2"/>
  <c r="O53" i="3"/>
  <c r="P53" i="3" s="1"/>
  <c r="C26" i="2"/>
  <c r="O26" i="2" s="1"/>
  <c r="P26" i="2" s="1"/>
  <c r="C27" i="3"/>
  <c r="I17" i="1"/>
  <c r="M31" i="2"/>
  <c r="D7" i="2"/>
  <c r="I39" i="4"/>
  <c r="N26" i="3"/>
  <c r="N35" i="3"/>
  <c r="O35" i="3" s="1"/>
  <c r="P35" i="3" s="1"/>
  <c r="O17" i="4"/>
  <c r="P17" i="4" s="1"/>
  <c r="N137" i="4"/>
  <c r="O137" i="4" s="1"/>
  <c r="P137" i="4" s="1"/>
  <c r="D24" i="3"/>
  <c r="O163" i="4"/>
  <c r="P163" i="4" s="1"/>
  <c r="N12" i="2"/>
  <c r="O12" i="2" s="1"/>
  <c r="P12" i="2" s="1"/>
  <c r="O21" i="2"/>
  <c r="P21" i="2" s="1"/>
  <c r="N27" i="2"/>
  <c r="O27" i="2" s="1"/>
  <c r="P27" i="2" s="1"/>
  <c r="G11" i="3"/>
  <c r="G14" i="2" s="1"/>
  <c r="G13" i="1" s="1"/>
  <c r="G17" i="4"/>
  <c r="N153" i="4"/>
  <c r="O153" i="4" s="1"/>
  <c r="P153" i="4" s="1"/>
  <c r="D31" i="3"/>
  <c r="D17" i="2" s="1"/>
  <c r="L31" i="3"/>
  <c r="L17" i="2" s="1"/>
  <c r="L16" i="1" s="1"/>
  <c r="N10" i="3"/>
  <c r="O10" i="3" s="1"/>
  <c r="P10" i="3" s="1"/>
  <c r="C18" i="1"/>
  <c r="D31" i="2"/>
  <c r="L31" i="2"/>
  <c r="O28" i="2"/>
  <c r="P28" i="2" s="1"/>
  <c r="O34" i="4"/>
  <c r="P34" i="4" s="1"/>
  <c r="L7" i="1"/>
  <c r="C7" i="1"/>
  <c r="N25" i="3"/>
  <c r="O25" i="3" s="1"/>
  <c r="P25" i="3" s="1"/>
  <c r="D11" i="2"/>
  <c r="N41" i="3"/>
  <c r="O41" i="3" s="1"/>
  <c r="P41" i="3" s="1"/>
  <c r="J121" i="4"/>
  <c r="C10" i="1"/>
  <c r="H17" i="3"/>
  <c r="N21" i="3"/>
  <c r="O21" i="3" s="1"/>
  <c r="P21" i="3" s="1"/>
  <c r="I16" i="3"/>
  <c r="G29" i="3"/>
  <c r="G15" i="2" s="1"/>
  <c r="G14" i="1" s="1"/>
  <c r="O64" i="4"/>
  <c r="P64" i="4" s="1"/>
  <c r="N66" i="4"/>
  <c r="O66" i="4" s="1"/>
  <c r="P66" i="4" s="1"/>
  <c r="E28" i="3"/>
  <c r="E14" i="2" s="1"/>
  <c r="E13" i="1" s="1"/>
  <c r="M28" i="3"/>
  <c r="M14" i="2" s="1"/>
  <c r="M13" i="1" s="1"/>
  <c r="O71" i="4"/>
  <c r="P71" i="4" s="1"/>
  <c r="C31" i="3"/>
  <c r="C34" i="3" s="1"/>
  <c r="E22" i="3"/>
  <c r="N22" i="3" s="1"/>
  <c r="E87" i="4"/>
  <c r="M22" i="3"/>
  <c r="M87" i="4"/>
  <c r="H32" i="3"/>
  <c r="H18" i="2" s="1"/>
  <c r="H17" i="1" s="1"/>
  <c r="H121" i="4"/>
  <c r="N121" i="4" s="1"/>
  <c r="O121" i="4" s="1"/>
  <c r="P121" i="4" s="1"/>
  <c r="N112" i="4"/>
  <c r="J133" i="4"/>
  <c r="N124" i="4"/>
  <c r="O124" i="4" s="1"/>
  <c r="P124" i="4" s="1"/>
  <c r="N127" i="4"/>
  <c r="O139" i="4"/>
  <c r="P139" i="4" s="1"/>
  <c r="O170" i="4"/>
  <c r="P170" i="4" s="1"/>
  <c r="N503" i="5"/>
  <c r="O503" i="5" s="1"/>
  <c r="P503" i="5" s="1"/>
  <c r="D86" i="4"/>
  <c r="F7" i="1"/>
  <c r="L10" i="2"/>
  <c r="L9" i="1" s="1"/>
  <c r="O52" i="3"/>
  <c r="P52" i="3" s="1"/>
  <c r="N15" i="4"/>
  <c r="O15" i="4"/>
  <c r="P15" i="4" s="1"/>
  <c r="N24" i="4"/>
  <c r="O24" i="4" s="1"/>
  <c r="P24" i="4" s="1"/>
  <c r="N27" i="4"/>
  <c r="O27" i="4" s="1"/>
  <c r="P27" i="4" s="1"/>
  <c r="N57" i="4"/>
  <c r="O57" i="4" s="1"/>
  <c r="P57" i="4" s="1"/>
  <c r="C74" i="4"/>
  <c r="N64" i="4"/>
  <c r="I87" i="4"/>
  <c r="F98" i="4"/>
  <c r="N98" i="4" s="1"/>
  <c r="O98" i="4" s="1"/>
  <c r="P98" i="4" s="1"/>
  <c r="O89" i="4"/>
  <c r="P89" i="4" s="1"/>
  <c r="F31" i="3"/>
  <c r="F17" i="2" s="1"/>
  <c r="F16" i="1" s="1"/>
  <c r="N107" i="4"/>
  <c r="N109" i="4"/>
  <c r="O109" i="4" s="1"/>
  <c r="P109" i="4" s="1"/>
  <c r="D110" i="4"/>
  <c r="O130" i="4"/>
  <c r="P130" i="4" s="1"/>
  <c r="F145" i="4"/>
  <c r="N134" i="4"/>
  <c r="O134" i="4" s="1"/>
  <c r="P134" i="4" s="1"/>
  <c r="N136" i="4"/>
  <c r="O136" i="4" s="1"/>
  <c r="P136" i="4" s="1"/>
  <c r="N139" i="4"/>
  <c r="D156" i="4"/>
  <c r="L156" i="4"/>
  <c r="N152" i="4"/>
  <c r="O152" i="4" s="1"/>
  <c r="P152" i="4" s="1"/>
  <c r="N155" i="4"/>
  <c r="O155" i="4" s="1"/>
  <c r="P155" i="4" s="1"/>
  <c r="N164" i="4"/>
  <c r="N167" i="4"/>
  <c r="O167" i="4" s="1"/>
  <c r="P167" i="4" s="1"/>
  <c r="N176" i="4"/>
  <c r="N179" i="4"/>
  <c r="O179" i="4" s="1"/>
  <c r="P179" i="4" s="1"/>
  <c r="G191" i="4"/>
  <c r="G18" i="3"/>
  <c r="G7" i="2" s="1"/>
  <c r="K8" i="6"/>
  <c r="K794" i="5"/>
  <c r="K100" i="4"/>
  <c r="N862" i="5"/>
  <c r="O862" i="5" s="1"/>
  <c r="P862" i="5" s="1"/>
  <c r="G31" i="2"/>
  <c r="N29" i="2"/>
  <c r="O29" i="2" s="1"/>
  <c r="P29" i="2" s="1"/>
  <c r="O14" i="3"/>
  <c r="P14" i="3" s="1"/>
  <c r="C22" i="3"/>
  <c r="C47" i="3"/>
  <c r="N46" i="3"/>
  <c r="O46" i="3" s="1"/>
  <c r="P46" i="3" s="1"/>
  <c r="G58" i="3"/>
  <c r="G13" i="3"/>
  <c r="G16" i="2" s="1"/>
  <c r="G15" i="1" s="1"/>
  <c r="N16" i="4"/>
  <c r="O16" i="4" s="1"/>
  <c r="P16" i="4" s="1"/>
  <c r="N19" i="4"/>
  <c r="O19" i="4" s="1"/>
  <c r="P19" i="4" s="1"/>
  <c r="E8" i="3"/>
  <c r="E28" i="4"/>
  <c r="N28" i="4" s="1"/>
  <c r="O28" i="4" s="1"/>
  <c r="P28" i="4" s="1"/>
  <c r="M8" i="3"/>
  <c r="M28" i="4"/>
  <c r="N34" i="4"/>
  <c r="N45" i="4"/>
  <c r="O45" i="4" s="1"/>
  <c r="P45" i="4" s="1"/>
  <c r="C61" i="4"/>
  <c r="E18" i="3"/>
  <c r="E74" i="4"/>
  <c r="M18" i="3"/>
  <c r="M7" i="2" s="1"/>
  <c r="M74" i="4"/>
  <c r="I30" i="3"/>
  <c r="N30" i="3" s="1"/>
  <c r="O30" i="3" s="1"/>
  <c r="P30" i="3" s="1"/>
  <c r="N71" i="4"/>
  <c r="O72" i="4"/>
  <c r="P72" i="4" s="1"/>
  <c r="O75" i="4"/>
  <c r="P75" i="4" s="1"/>
  <c r="C87" i="4"/>
  <c r="K87" i="4"/>
  <c r="N80" i="4"/>
  <c r="O80" i="4" s="1"/>
  <c r="P80" i="4" s="1"/>
  <c r="O81" i="4"/>
  <c r="P81" i="4" s="1"/>
  <c r="N83" i="4"/>
  <c r="O83" i="4" s="1"/>
  <c r="P83" i="4" s="1"/>
  <c r="H98" i="4"/>
  <c r="O96" i="4"/>
  <c r="P96" i="4" s="1"/>
  <c r="J110" i="4"/>
  <c r="N105" i="4"/>
  <c r="O105" i="4" s="1"/>
  <c r="P105" i="4" s="1"/>
  <c r="N108" i="4"/>
  <c r="O108" i="4" s="1"/>
  <c r="P108" i="4" s="1"/>
  <c r="O126" i="4"/>
  <c r="P126" i="4" s="1"/>
  <c r="N135" i="4"/>
  <c r="O135" i="4" s="1"/>
  <c r="P135" i="4" s="1"/>
  <c r="L145" i="4"/>
  <c r="F156" i="4"/>
  <c r="N151" i="4"/>
  <c r="O151" i="4" s="1"/>
  <c r="P151" i="4" s="1"/>
  <c r="F168" i="4"/>
  <c r="N158" i="4"/>
  <c r="O158" i="4" s="1"/>
  <c r="P158" i="4" s="1"/>
  <c r="N160" i="4"/>
  <c r="O160" i="4" s="1"/>
  <c r="P160" i="4" s="1"/>
  <c r="N163" i="4"/>
  <c r="I180" i="4"/>
  <c r="N172" i="4"/>
  <c r="O172" i="4" s="1"/>
  <c r="P172" i="4" s="1"/>
  <c r="N175" i="4"/>
  <c r="O175" i="4" s="1"/>
  <c r="P175" i="4" s="1"/>
  <c r="D180" i="4"/>
  <c r="K28" i="4"/>
  <c r="K110" i="4"/>
  <c r="N116" i="4"/>
  <c r="O116" i="4" s="1"/>
  <c r="P116" i="4" s="1"/>
  <c r="O138" i="4"/>
  <c r="P138" i="4" s="1"/>
  <c r="O154" i="4"/>
  <c r="P154" i="4" s="1"/>
  <c r="O166" i="4"/>
  <c r="P166" i="4" s="1"/>
  <c r="H191" i="4"/>
  <c r="O19" i="3"/>
  <c r="P19" i="3" s="1"/>
  <c r="G47" i="3"/>
  <c r="N53" i="3"/>
  <c r="N55" i="3"/>
  <c r="O55" i="3" s="1"/>
  <c r="P55" i="3" s="1"/>
  <c r="E58" i="3"/>
  <c r="N12" i="4"/>
  <c r="O12" i="4" s="1"/>
  <c r="P12" i="4" s="1"/>
  <c r="G39" i="4"/>
  <c r="G9" i="3"/>
  <c r="G10" i="2" s="1"/>
  <c r="G9" i="1" s="1"/>
  <c r="N35" i="4"/>
  <c r="O35" i="4" s="1"/>
  <c r="P35" i="4" s="1"/>
  <c r="G74" i="4"/>
  <c r="N67" i="4"/>
  <c r="O67" i="4" s="1"/>
  <c r="P67" i="4" s="1"/>
  <c r="O131" i="4"/>
  <c r="P131" i="4" s="1"/>
  <c r="N144" i="4"/>
  <c r="O144" i="4" s="1"/>
  <c r="P144" i="4" s="1"/>
  <c r="C13" i="2"/>
  <c r="J31" i="2"/>
  <c r="F17" i="3"/>
  <c r="O38" i="3"/>
  <c r="P38" i="3" s="1"/>
  <c r="O56" i="3"/>
  <c r="P56" i="3" s="1"/>
  <c r="I17" i="4"/>
  <c r="E17" i="4"/>
  <c r="E12" i="3"/>
  <c r="M17" i="4"/>
  <c r="M12" i="3"/>
  <c r="O15" i="3"/>
  <c r="P15" i="3" s="1"/>
  <c r="C39" i="4"/>
  <c r="K39" i="4"/>
  <c r="N32" i="4"/>
  <c r="O32" i="4" s="1"/>
  <c r="P32" i="4" s="1"/>
  <c r="C50" i="4"/>
  <c r="K50" i="4"/>
  <c r="N46" i="4"/>
  <c r="O46" i="4" s="1"/>
  <c r="P46" i="4" s="1"/>
  <c r="K61" i="4"/>
  <c r="N61" i="4" s="1"/>
  <c r="O76" i="4"/>
  <c r="P76" i="4" s="1"/>
  <c r="N91" i="4"/>
  <c r="O91" i="4" s="1"/>
  <c r="P91" i="4" s="1"/>
  <c r="J33" i="3"/>
  <c r="J34" i="3" s="1"/>
  <c r="O107" i="4"/>
  <c r="P107" i="4" s="1"/>
  <c r="N111" i="4"/>
  <c r="O111" i="4" s="1"/>
  <c r="P111" i="4" s="1"/>
  <c r="N114" i="4"/>
  <c r="O114" i="4" s="1"/>
  <c r="P114" i="4" s="1"/>
  <c r="N117" i="4"/>
  <c r="O117" i="4" s="1"/>
  <c r="P117" i="4" s="1"/>
  <c r="H133" i="4"/>
  <c r="N133" i="4" s="1"/>
  <c r="O133" i="4" s="1"/>
  <c r="P133" i="4" s="1"/>
  <c r="N128" i="4"/>
  <c r="O128" i="4" s="1"/>
  <c r="P128" i="4" s="1"/>
  <c r="N131" i="4"/>
  <c r="O149" i="4"/>
  <c r="P149" i="4" s="1"/>
  <c r="D168" i="4"/>
  <c r="N157" i="4"/>
  <c r="O157" i="4" s="1"/>
  <c r="P157" i="4" s="1"/>
  <c r="L168" i="4"/>
  <c r="O162" i="4"/>
  <c r="P162" i="4" s="1"/>
  <c r="O164" i="4"/>
  <c r="P164" i="4" s="1"/>
  <c r="L180" i="4"/>
  <c r="O174" i="4"/>
  <c r="P174" i="4" s="1"/>
  <c r="O176" i="4"/>
  <c r="P176" i="4" s="1"/>
  <c r="I235" i="4"/>
  <c r="I51" i="3"/>
  <c r="C31" i="2"/>
  <c r="K31" i="2"/>
  <c r="N25" i="2"/>
  <c r="O25" i="2" s="1"/>
  <c r="P25" i="2" s="1"/>
  <c r="N9" i="3"/>
  <c r="O9" i="3" s="1"/>
  <c r="P9" i="3" s="1"/>
  <c r="D17" i="3"/>
  <c r="C58" i="3"/>
  <c r="K58" i="3"/>
  <c r="N56" i="3"/>
  <c r="C16" i="2"/>
  <c r="K13" i="3"/>
  <c r="K16" i="2" s="1"/>
  <c r="K15" i="1" s="1"/>
  <c r="K17" i="4"/>
  <c r="I8" i="3"/>
  <c r="I28" i="4"/>
  <c r="N23" i="4"/>
  <c r="O23" i="4" s="1"/>
  <c r="P23" i="4" s="1"/>
  <c r="N30" i="4"/>
  <c r="O30" i="4" s="1"/>
  <c r="P30" i="4" s="1"/>
  <c r="O56" i="4"/>
  <c r="P56" i="4" s="1"/>
  <c r="N63" i="4"/>
  <c r="O63" i="4" s="1"/>
  <c r="P63" i="4" s="1"/>
  <c r="G34" i="3"/>
  <c r="N68" i="4"/>
  <c r="O68" i="4" s="1"/>
  <c r="P68" i="4" s="1"/>
  <c r="N73" i="4"/>
  <c r="O73" i="4" s="1"/>
  <c r="P73" i="4" s="1"/>
  <c r="G87" i="4"/>
  <c r="N76" i="4"/>
  <c r="N82" i="4"/>
  <c r="O82" i="4" s="1"/>
  <c r="P82" i="4" s="1"/>
  <c r="O94" i="4"/>
  <c r="P94" i="4" s="1"/>
  <c r="N99" i="4"/>
  <c r="O99" i="4" s="1"/>
  <c r="P99" i="4" s="1"/>
  <c r="O112" i="4"/>
  <c r="P112" i="4" s="1"/>
  <c r="N115" i="4"/>
  <c r="O115" i="4" s="1"/>
  <c r="P115" i="4" s="1"/>
  <c r="D28" i="3"/>
  <c r="O127" i="4"/>
  <c r="P127" i="4" s="1"/>
  <c r="O194" i="4"/>
  <c r="P194" i="4" s="1"/>
  <c r="O199" i="4"/>
  <c r="P199" i="4" s="1"/>
  <c r="O26" i="3"/>
  <c r="P26" i="3" s="1"/>
  <c r="E202" i="4"/>
  <c r="M202" i="4"/>
  <c r="N194" i="4"/>
  <c r="N199" i="4"/>
  <c r="O212" i="4"/>
  <c r="P212" i="4" s="1"/>
  <c r="N234" i="4"/>
  <c r="O234" i="4" s="1"/>
  <c r="P234" i="4" s="1"/>
  <c r="N57" i="5"/>
  <c r="O57" i="5" s="1"/>
  <c r="P57" i="5" s="1"/>
  <c r="N229" i="5"/>
  <c r="O229" i="5" s="1"/>
  <c r="P229" i="5" s="1"/>
  <c r="O246" i="5"/>
  <c r="P246" i="5" s="1"/>
  <c r="N367" i="5"/>
  <c r="O367" i="5" s="1"/>
  <c r="P367" i="5" s="1"/>
  <c r="O384" i="5"/>
  <c r="P384" i="5" s="1"/>
  <c r="O418" i="5"/>
  <c r="P418" i="5" s="1"/>
  <c r="N435" i="5"/>
  <c r="O435" i="5" s="1"/>
  <c r="P435" i="5" s="1"/>
  <c r="O622" i="5"/>
  <c r="P622" i="5" s="1"/>
  <c r="F51" i="6"/>
  <c r="F1648" i="5"/>
  <c r="N1632" i="5"/>
  <c r="O1632" i="5" s="1"/>
  <c r="P1632" i="5" s="1"/>
  <c r="N192" i="4"/>
  <c r="N203" i="4"/>
  <c r="N209" i="4"/>
  <c r="O209" i="4" s="1"/>
  <c r="P209" i="4" s="1"/>
  <c r="D58" i="3"/>
  <c r="N11" i="4"/>
  <c r="O11" i="4" s="1"/>
  <c r="P11" i="4" s="1"/>
  <c r="D39" i="4"/>
  <c r="N42" i="4"/>
  <c r="O42" i="4" s="1"/>
  <c r="P42" i="4" s="1"/>
  <c r="D50" i="4"/>
  <c r="N50" i="4" s="1"/>
  <c r="N56" i="4"/>
  <c r="D74" i="4"/>
  <c r="J191" i="4"/>
  <c r="N182" i="4"/>
  <c r="O182" i="4" s="1"/>
  <c r="P182" i="4" s="1"/>
  <c r="O185" i="4"/>
  <c r="P185" i="4" s="1"/>
  <c r="D191" i="4"/>
  <c r="N191" i="4" s="1"/>
  <c r="O191" i="4" s="1"/>
  <c r="P191" i="4" s="1"/>
  <c r="G202" i="4"/>
  <c r="N195" i="4"/>
  <c r="O195" i="4" s="1"/>
  <c r="P195" i="4" s="1"/>
  <c r="O219" i="4"/>
  <c r="N228" i="4"/>
  <c r="O228" i="4" s="1"/>
  <c r="P228" i="4" s="1"/>
  <c r="N168" i="5"/>
  <c r="O168" i="5" s="1"/>
  <c r="P168" i="5" s="1"/>
  <c r="K178" i="5"/>
  <c r="N178" i="5"/>
  <c r="O178" i="5" s="1"/>
  <c r="P178" i="5" s="1"/>
  <c r="O263" i="5"/>
  <c r="P263" i="5" s="1"/>
  <c r="J20" i="6"/>
  <c r="J1033" i="5"/>
  <c r="D145" i="4"/>
  <c r="N146" i="4"/>
  <c r="O146" i="4" s="1"/>
  <c r="P146" i="4" s="1"/>
  <c r="N185" i="4"/>
  <c r="N187" i="4"/>
  <c r="O187" i="4" s="1"/>
  <c r="P187" i="4" s="1"/>
  <c r="N189" i="4"/>
  <c r="O189" i="4" s="1"/>
  <c r="P189" i="4" s="1"/>
  <c r="J235" i="4"/>
  <c r="N231" i="4"/>
  <c r="O231" i="4" s="1"/>
  <c r="P231" i="4" s="1"/>
  <c r="O75" i="5"/>
  <c r="P75" i="5" s="1"/>
  <c r="N246" i="5"/>
  <c r="N333" i="5"/>
  <c r="O333" i="5" s="1"/>
  <c r="P333" i="5" s="1"/>
  <c r="N401" i="5"/>
  <c r="O401" i="5" s="1"/>
  <c r="P401" i="5" s="1"/>
  <c r="O486" i="5"/>
  <c r="P486" i="5" s="1"/>
  <c r="D17" i="4"/>
  <c r="N17" i="4" s="1"/>
  <c r="I202" i="4"/>
  <c r="N202" i="4" s="1"/>
  <c r="K235" i="4"/>
  <c r="N235" i="4" s="1"/>
  <c r="O235" i="4" s="1"/>
  <c r="P235" i="4" s="1"/>
  <c r="M999" i="5"/>
  <c r="N984" i="5"/>
  <c r="O984" i="5" s="1"/>
  <c r="P984" i="5" s="1"/>
  <c r="J180" i="4"/>
  <c r="N178" i="4"/>
  <c r="O178" i="4" s="1"/>
  <c r="P178" i="4" s="1"/>
  <c r="N210" i="4"/>
  <c r="O210" i="4" s="1"/>
  <c r="P210" i="4" s="1"/>
  <c r="O220" i="4"/>
  <c r="P220" i="4" s="1"/>
  <c r="E92" i="5"/>
  <c r="N92" i="5" s="1"/>
  <c r="M92" i="5"/>
  <c r="N144" i="5"/>
  <c r="O144" i="5" s="1"/>
  <c r="P144" i="5" s="1"/>
  <c r="N331" i="5"/>
  <c r="O331" i="5" s="1"/>
  <c r="P331" i="5" s="1"/>
  <c r="N605" i="5"/>
  <c r="O123" i="4"/>
  <c r="P123" i="4" s="1"/>
  <c r="F191" i="4"/>
  <c r="N181" i="4"/>
  <c r="O181" i="4" s="1"/>
  <c r="P181" i="4" s="1"/>
  <c r="O184" i="4"/>
  <c r="P184" i="4" s="1"/>
  <c r="O188" i="4"/>
  <c r="P188" i="4" s="1"/>
  <c r="C202" i="4"/>
  <c r="K202" i="4"/>
  <c r="N198" i="4"/>
  <c r="O198" i="4" s="1"/>
  <c r="P198" i="4" s="1"/>
  <c r="K224" i="4"/>
  <c r="N224" i="4" s="1"/>
  <c r="N230" i="4"/>
  <c r="O230" i="4" s="1"/>
  <c r="P230" i="4" s="1"/>
  <c r="E280" i="5"/>
  <c r="N280" i="5" s="1"/>
  <c r="O280" i="5" s="1"/>
  <c r="P280" i="5" s="1"/>
  <c r="N270" i="5"/>
  <c r="O270" i="5" s="1"/>
  <c r="P270" i="5" s="1"/>
  <c r="O297" i="5"/>
  <c r="P297" i="5" s="1"/>
  <c r="O554" i="5"/>
  <c r="P554" i="5" s="1"/>
  <c r="O192" i="4"/>
  <c r="O203" i="4"/>
  <c r="P203" i="4" s="1"/>
  <c r="N75" i="5"/>
  <c r="C127" i="5"/>
  <c r="O127" i="5" s="1"/>
  <c r="P127" i="5" s="1"/>
  <c r="K333" i="5"/>
  <c r="F348" i="5"/>
  <c r="N349" i="5"/>
  <c r="O349" i="5" s="1"/>
  <c r="P349" i="5" s="1"/>
  <c r="O828" i="5"/>
  <c r="P828" i="5" s="1"/>
  <c r="H965" i="5"/>
  <c r="O1152" i="5"/>
  <c r="P1152" i="5" s="1"/>
  <c r="N624" i="5"/>
  <c r="O624" i="5" s="1"/>
  <c r="P624" i="5" s="1"/>
  <c r="N674" i="5"/>
  <c r="O674" i="5" s="1"/>
  <c r="P674" i="5" s="1"/>
  <c r="N845" i="5"/>
  <c r="O845" i="5" s="1"/>
  <c r="P845" i="5" s="1"/>
  <c r="N1019" i="5"/>
  <c r="O1019" i="5" s="1"/>
  <c r="P1019" i="5" s="1"/>
  <c r="N1067" i="5"/>
  <c r="O1067" i="5" s="1"/>
  <c r="P1067" i="5" s="1"/>
  <c r="I30" i="6"/>
  <c r="I39" i="6" s="1"/>
  <c r="I1118" i="5"/>
  <c r="N1238" i="5"/>
  <c r="O1238" i="5" s="1"/>
  <c r="P1238" i="5" s="1"/>
  <c r="C224" i="4"/>
  <c r="N225" i="4"/>
  <c r="O225" i="4" s="1"/>
  <c r="P225" i="4" s="1"/>
  <c r="E127" i="5"/>
  <c r="N127" i="5" s="1"/>
  <c r="O605" i="5"/>
  <c r="P605" i="5" s="1"/>
  <c r="N640" i="5"/>
  <c r="O640" i="5" s="1"/>
  <c r="P640" i="5" s="1"/>
  <c r="N658" i="5"/>
  <c r="O658" i="5" s="1"/>
  <c r="P658" i="5" s="1"/>
  <c r="F8" i="6"/>
  <c r="F17" i="6" s="1"/>
  <c r="F794" i="5"/>
  <c r="N779" i="5"/>
  <c r="O779" i="5" s="1"/>
  <c r="P779" i="5" s="1"/>
  <c r="N828" i="5"/>
  <c r="O947" i="5"/>
  <c r="P947" i="5" s="1"/>
  <c r="N951" i="5"/>
  <c r="O951" i="5" s="1"/>
  <c r="P951" i="5" s="1"/>
  <c r="O1169" i="5"/>
  <c r="P1169" i="5" s="1"/>
  <c r="N215" i="4"/>
  <c r="O215" i="4" s="1"/>
  <c r="P215" i="4" s="1"/>
  <c r="O571" i="5"/>
  <c r="P571" i="5" s="1"/>
  <c r="N622" i="5"/>
  <c r="E691" i="5"/>
  <c r="N691" i="5" s="1"/>
  <c r="O691" i="5" s="1"/>
  <c r="P691" i="5" s="1"/>
  <c r="N675" i="5"/>
  <c r="O675" i="5" s="1"/>
  <c r="P675" i="5" s="1"/>
  <c r="O759" i="5"/>
  <c r="P759" i="5" s="1"/>
  <c r="N896" i="5"/>
  <c r="O896" i="5" s="1"/>
  <c r="P896" i="5" s="1"/>
  <c r="N999" i="5"/>
  <c r="O999" i="5" s="1"/>
  <c r="P999" i="5" s="1"/>
  <c r="K19" i="6"/>
  <c r="K28" i="6" s="1"/>
  <c r="K1050" i="5"/>
  <c r="N1035" i="5"/>
  <c r="O1035" i="5" s="1"/>
  <c r="P1035" i="5" s="1"/>
  <c r="D40" i="5"/>
  <c r="N40" i="5" s="1"/>
  <c r="O40" i="5" s="1"/>
  <c r="P40" i="5" s="1"/>
  <c r="N48" i="5"/>
  <c r="O48" i="5" s="1"/>
  <c r="P48" i="5" s="1"/>
  <c r="O64" i="5"/>
  <c r="N588" i="5"/>
  <c r="O588" i="5" s="1"/>
  <c r="P588" i="5" s="1"/>
  <c r="N710" i="5"/>
  <c r="O710" i="5" s="1"/>
  <c r="P710" i="5" s="1"/>
  <c r="N759" i="5"/>
  <c r="N947" i="5"/>
  <c r="D20" i="6"/>
  <c r="D1016" i="5"/>
  <c r="N1016" i="5" s="1"/>
  <c r="O1016" i="5" s="1"/>
  <c r="P1016" i="5" s="1"/>
  <c r="N1002" i="5"/>
  <c r="O1002" i="5" s="1"/>
  <c r="P1002" i="5" s="1"/>
  <c r="H21" i="6"/>
  <c r="H1101" i="5"/>
  <c r="O1135" i="5"/>
  <c r="P1135" i="5" s="1"/>
  <c r="N1169" i="5"/>
  <c r="N2146" i="5"/>
  <c r="O2146" i="5" s="1"/>
  <c r="P2146" i="5" s="1"/>
  <c r="N1135" i="5"/>
  <c r="O1323" i="5"/>
  <c r="P1323" i="5" s="1"/>
  <c r="F92" i="5"/>
  <c r="N636" i="5"/>
  <c r="O636" i="5" s="1"/>
  <c r="P636" i="5" s="1"/>
  <c r="N742" i="5"/>
  <c r="O742" i="5" s="1"/>
  <c r="P742" i="5" s="1"/>
  <c r="D9" i="6"/>
  <c r="N9" i="6" s="1"/>
  <c r="D777" i="5"/>
  <c r="N777" i="5" s="1"/>
  <c r="O777" i="5" s="1"/>
  <c r="P777" i="5" s="1"/>
  <c r="K7" i="6"/>
  <c r="K17" i="6" s="1"/>
  <c r="N846" i="5"/>
  <c r="O846" i="5" s="1"/>
  <c r="P846" i="5" s="1"/>
  <c r="K862" i="5"/>
  <c r="N1036" i="5"/>
  <c r="O1036" i="5" s="1"/>
  <c r="P1036" i="5" s="1"/>
  <c r="O1289" i="5"/>
  <c r="P1289" i="5" s="1"/>
  <c r="L8" i="6"/>
  <c r="I17" i="6"/>
  <c r="I879" i="5"/>
  <c r="N879" i="5" s="1"/>
  <c r="O879" i="5" s="1"/>
  <c r="P879" i="5" s="1"/>
  <c r="L19" i="6"/>
  <c r="L28" i="6" s="1"/>
  <c r="D28" i="6"/>
  <c r="N18" i="6"/>
  <c r="O18" i="6" s="1"/>
  <c r="P18" i="6" s="1"/>
  <c r="G1084" i="5"/>
  <c r="K30" i="6"/>
  <c r="K39" i="6" s="1"/>
  <c r="O1784" i="5"/>
  <c r="P1784" i="5" s="1"/>
  <c r="E8" i="6"/>
  <c r="N12" i="6"/>
  <c r="O12" i="6" s="1"/>
  <c r="P12" i="6" s="1"/>
  <c r="D794" i="5"/>
  <c r="L794" i="5"/>
  <c r="L3354" i="5" s="1"/>
  <c r="N830" i="5"/>
  <c r="O830" i="5" s="1"/>
  <c r="P830" i="5" s="1"/>
  <c r="J17" i="6"/>
  <c r="N866" i="5"/>
  <c r="O866" i="5" s="1"/>
  <c r="P866" i="5" s="1"/>
  <c r="M19" i="6"/>
  <c r="M28" i="6" s="1"/>
  <c r="O1459" i="5"/>
  <c r="P1459" i="5" s="1"/>
  <c r="I3268" i="5"/>
  <c r="N3257" i="5"/>
  <c r="O3257" i="5" s="1"/>
  <c r="P3257" i="5" s="1"/>
  <c r="M20" i="6"/>
  <c r="D39" i="6"/>
  <c r="N1103" i="5"/>
  <c r="O1103" i="5" s="1"/>
  <c r="P1103" i="5" s="1"/>
  <c r="N1120" i="5"/>
  <c r="O1120" i="5" s="1"/>
  <c r="P1120" i="5" s="1"/>
  <c r="N1173" i="5"/>
  <c r="O1173" i="5" s="1"/>
  <c r="P1173" i="5" s="1"/>
  <c r="D1391" i="5"/>
  <c r="N1391" i="5" s="1"/>
  <c r="O1391" i="5" s="1"/>
  <c r="P1391" i="5" s="1"/>
  <c r="N1376" i="5"/>
  <c r="O1376" i="5" s="1"/>
  <c r="P1376" i="5" s="1"/>
  <c r="K52" i="6"/>
  <c r="K1682" i="5"/>
  <c r="N1667" i="5"/>
  <c r="O1667" i="5" s="1"/>
  <c r="P1667" i="5" s="1"/>
  <c r="J1924" i="5"/>
  <c r="N1923" i="5"/>
  <c r="O1923" i="5" s="1"/>
  <c r="P1923" i="5" s="1"/>
  <c r="N2138" i="5"/>
  <c r="O2138" i="5" s="1"/>
  <c r="P2138" i="5" s="1"/>
  <c r="E2146" i="5"/>
  <c r="D657" i="5"/>
  <c r="N657" i="5" s="1"/>
  <c r="O657" i="5" s="1"/>
  <c r="P657" i="5" s="1"/>
  <c r="G8" i="6"/>
  <c r="L17" i="6"/>
  <c r="J862" i="5"/>
  <c r="J3354" i="5" s="1"/>
  <c r="L879" i="5"/>
  <c r="E1033" i="5"/>
  <c r="N1033" i="5" s="1"/>
  <c r="O1033" i="5" s="1"/>
  <c r="P1033" i="5" s="1"/>
  <c r="M1033" i="5"/>
  <c r="M3354" i="5" s="1"/>
  <c r="J28" i="6"/>
  <c r="I1069" i="5"/>
  <c r="J1084" i="5"/>
  <c r="K1118" i="5"/>
  <c r="N1425" i="5"/>
  <c r="O1425" i="5" s="1"/>
  <c r="P1425" i="5" s="1"/>
  <c r="N1510" i="5"/>
  <c r="O1510" i="5" s="1"/>
  <c r="P1510" i="5" s="1"/>
  <c r="F1801" i="5"/>
  <c r="N1801" i="5" s="1"/>
  <c r="O1801" i="5" s="1"/>
  <c r="P1801" i="5" s="1"/>
  <c r="N1798" i="5"/>
  <c r="O1798" i="5" s="1"/>
  <c r="P1798" i="5" s="1"/>
  <c r="I1924" i="5"/>
  <c r="N1924" i="5" s="1"/>
  <c r="O1924" i="5" s="1"/>
  <c r="P1924" i="5" s="1"/>
  <c r="N1909" i="5"/>
  <c r="O1909" i="5" s="1"/>
  <c r="P1909" i="5" s="1"/>
  <c r="O2077" i="5"/>
  <c r="P2077" i="5" s="1"/>
  <c r="N2131" i="5"/>
  <c r="O2131" i="5" s="1"/>
  <c r="P2131" i="5" s="1"/>
  <c r="D725" i="5"/>
  <c r="N725" i="5" s="1"/>
  <c r="O725" i="5" s="1"/>
  <c r="P725" i="5" s="1"/>
  <c r="H8" i="6"/>
  <c r="G794" i="5"/>
  <c r="G3354" i="5" s="1"/>
  <c r="M17" i="6"/>
  <c r="D965" i="5"/>
  <c r="N965" i="5" s="1"/>
  <c r="O965" i="5" s="1"/>
  <c r="P965" i="5" s="1"/>
  <c r="F1033" i="5"/>
  <c r="L1050" i="5"/>
  <c r="N1050" i="5" s="1"/>
  <c r="O1050" i="5" s="1"/>
  <c r="P1050" i="5" s="1"/>
  <c r="C1084" i="5"/>
  <c r="K1084" i="5"/>
  <c r="C1101" i="5"/>
  <c r="K1101" i="5"/>
  <c r="F30" i="6"/>
  <c r="F39" i="6" s="1"/>
  <c r="D1118" i="5"/>
  <c r="N1323" i="5"/>
  <c r="O1442" i="5"/>
  <c r="P1442" i="5" s="1"/>
  <c r="N1578" i="5"/>
  <c r="O1578" i="5" s="1"/>
  <c r="P1578" i="5" s="1"/>
  <c r="J54" i="6"/>
  <c r="J61" i="6" s="1"/>
  <c r="J1614" i="5"/>
  <c r="N1614" i="5"/>
  <c r="O1614" i="5" s="1"/>
  <c r="P1614" i="5" s="1"/>
  <c r="N1920" i="5"/>
  <c r="O1920" i="5" s="1"/>
  <c r="P1920" i="5" s="1"/>
  <c r="O1958" i="5"/>
  <c r="P1958" i="5" s="1"/>
  <c r="N2077" i="5"/>
  <c r="N2149" i="5"/>
  <c r="O2149" i="5" s="1"/>
  <c r="P2149" i="5" s="1"/>
  <c r="J101" i="6"/>
  <c r="J209" i="4" s="1"/>
  <c r="J43" i="3" s="1"/>
  <c r="J16" i="2" s="1"/>
  <c r="J15" i="1" s="1"/>
  <c r="J2350" i="5"/>
  <c r="N2346" i="5"/>
  <c r="O2346" i="5" s="1"/>
  <c r="P2346" i="5" s="1"/>
  <c r="M1050" i="5"/>
  <c r="L1084" i="5"/>
  <c r="L1101" i="5"/>
  <c r="E1118" i="5"/>
  <c r="M1118" i="5"/>
  <c r="N1442" i="5"/>
  <c r="N1493" i="5"/>
  <c r="O1493" i="5" s="1"/>
  <c r="P1493" i="5" s="1"/>
  <c r="G54" i="6"/>
  <c r="G61" i="6" s="1"/>
  <c r="G1631" i="5"/>
  <c r="N1631" i="5" s="1"/>
  <c r="O1631" i="5" s="1"/>
  <c r="P1631" i="5" s="1"/>
  <c r="N1618" i="5"/>
  <c r="O1618" i="5" s="1"/>
  <c r="P1618" i="5" s="1"/>
  <c r="O1665" i="5"/>
  <c r="P1665" i="5" s="1"/>
  <c r="O1767" i="5"/>
  <c r="P1767" i="5" s="1"/>
  <c r="N2026" i="5"/>
  <c r="O2026" i="5" s="1"/>
  <c r="P2026" i="5" s="1"/>
  <c r="F2146" i="5"/>
  <c r="J77" i="6"/>
  <c r="J207" i="4" s="1"/>
  <c r="J41" i="3" s="1"/>
  <c r="J14" i="2" s="1"/>
  <c r="J13" i="1" s="1"/>
  <c r="J2231" i="5"/>
  <c r="F777" i="5"/>
  <c r="J8" i="6"/>
  <c r="I794" i="5"/>
  <c r="D8" i="6"/>
  <c r="N8" i="6" s="1"/>
  <c r="O8" i="6" s="1"/>
  <c r="P8" i="6" s="1"/>
  <c r="N796" i="5"/>
  <c r="O796" i="5" s="1"/>
  <c r="P796" i="5" s="1"/>
  <c r="H1033" i="5"/>
  <c r="H3354" i="5" s="1"/>
  <c r="M1084" i="5"/>
  <c r="F1088" i="5"/>
  <c r="O1374" i="5"/>
  <c r="P1374" i="5" s="1"/>
  <c r="O1476" i="5"/>
  <c r="P1476" i="5" s="1"/>
  <c r="N1561" i="5"/>
  <c r="O1561" i="5" s="1"/>
  <c r="P1561" i="5" s="1"/>
  <c r="N1665" i="5"/>
  <c r="O1835" i="5"/>
  <c r="P1835" i="5" s="1"/>
  <c r="N1941" i="5"/>
  <c r="O1941" i="5" s="1"/>
  <c r="P1941" i="5" s="1"/>
  <c r="O2043" i="5"/>
  <c r="P2043" i="5" s="1"/>
  <c r="H1905" i="5"/>
  <c r="N1905" i="5" s="1"/>
  <c r="O1905" i="5" s="1"/>
  <c r="P1905" i="5" s="1"/>
  <c r="O2214" i="5"/>
  <c r="P2214" i="5" s="1"/>
  <c r="O2486" i="5"/>
  <c r="P2486" i="5" s="1"/>
  <c r="O2826" i="5"/>
  <c r="P2826" i="5" s="1"/>
  <c r="O2894" i="5"/>
  <c r="P2894" i="5" s="1"/>
  <c r="H61" i="6"/>
  <c r="I1648" i="5"/>
  <c r="N1648" i="5" s="1"/>
  <c r="O1648" i="5" s="1"/>
  <c r="P1648" i="5" s="1"/>
  <c r="M61" i="6"/>
  <c r="N2214" i="5"/>
  <c r="N2316" i="5"/>
  <c r="O2316" i="5" s="1"/>
  <c r="P2316" i="5" s="1"/>
  <c r="H98" i="6"/>
  <c r="H206" i="4" s="1"/>
  <c r="H40" i="3" s="1"/>
  <c r="H13" i="2" s="1"/>
  <c r="H12" i="1" s="1"/>
  <c r="H2367" i="5"/>
  <c r="O2520" i="5"/>
  <c r="P2520" i="5" s="1"/>
  <c r="O2656" i="5"/>
  <c r="P2656" i="5" s="1"/>
  <c r="I61" i="6"/>
  <c r="J1648" i="5"/>
  <c r="N1926" i="5"/>
  <c r="O1926" i="5" s="1"/>
  <c r="P1926" i="5" s="1"/>
  <c r="D2333" i="5"/>
  <c r="N2320" i="5"/>
  <c r="O2320" i="5" s="1"/>
  <c r="P2320" i="5" s="1"/>
  <c r="N2605" i="5"/>
  <c r="O2605" i="5" s="1"/>
  <c r="P2605" i="5" s="1"/>
  <c r="O2622" i="5"/>
  <c r="P2622" i="5" s="1"/>
  <c r="O2860" i="5"/>
  <c r="P2860" i="5" s="1"/>
  <c r="H129" i="6"/>
  <c r="H138" i="6" s="1"/>
  <c r="H2962" i="5"/>
  <c r="O2979" i="5"/>
  <c r="P2979" i="5" s="1"/>
  <c r="F77" i="6"/>
  <c r="F207" i="4" s="1"/>
  <c r="F41" i="3" s="1"/>
  <c r="F14" i="2" s="1"/>
  <c r="F13" i="1" s="1"/>
  <c r="F2231" i="5"/>
  <c r="I90" i="6"/>
  <c r="I209" i="4" s="1"/>
  <c r="I43" i="3" s="1"/>
  <c r="I2333" i="5"/>
  <c r="N2329" i="5"/>
  <c r="O2329" i="5" s="1"/>
  <c r="P2329" i="5" s="1"/>
  <c r="N2486" i="5"/>
  <c r="J107" i="6"/>
  <c r="J2673" i="5"/>
  <c r="N2809" i="5"/>
  <c r="O2809" i="5" s="1"/>
  <c r="P2809" i="5" s="1"/>
  <c r="L117" i="6"/>
  <c r="L127" i="6" s="1"/>
  <c r="L2928" i="5"/>
  <c r="N2928" i="5" s="1"/>
  <c r="N2912" i="5"/>
  <c r="O2912" i="5" s="1"/>
  <c r="P2912" i="5" s="1"/>
  <c r="N3013" i="5"/>
  <c r="O3013" i="5" s="1"/>
  <c r="P3013" i="5" s="1"/>
  <c r="K54" i="6"/>
  <c r="I1614" i="5"/>
  <c r="K61" i="6"/>
  <c r="J1682" i="5"/>
  <c r="N1682" i="5" s="1"/>
  <c r="O1682" i="5" s="1"/>
  <c r="P1682" i="5" s="1"/>
  <c r="J87" i="6"/>
  <c r="J206" i="4" s="1"/>
  <c r="J40" i="3" s="1"/>
  <c r="J13" i="2" s="1"/>
  <c r="J12" i="1" s="1"/>
  <c r="J89" i="6"/>
  <c r="J208" i="4" s="1"/>
  <c r="J42" i="3" s="1"/>
  <c r="J15" i="2" s="1"/>
  <c r="J14" i="1" s="1"/>
  <c r="J2265" i="5"/>
  <c r="N2265" i="5" s="1"/>
  <c r="O2265" i="5" s="1"/>
  <c r="P2265" i="5" s="1"/>
  <c r="N2299" i="5"/>
  <c r="O2299" i="5" s="1"/>
  <c r="P2299" i="5" s="1"/>
  <c r="N2707" i="5"/>
  <c r="O2707" i="5" s="1"/>
  <c r="P2707" i="5" s="1"/>
  <c r="N2758" i="5"/>
  <c r="O2758" i="5" s="1"/>
  <c r="P2758" i="5" s="1"/>
  <c r="N2877" i="5"/>
  <c r="O2877" i="5" s="1"/>
  <c r="P2877" i="5" s="1"/>
  <c r="N1582" i="5"/>
  <c r="O1582" i="5" s="1"/>
  <c r="P1582" i="5" s="1"/>
  <c r="L54" i="6"/>
  <c r="L61" i="6" s="1"/>
  <c r="N2163" i="5"/>
  <c r="O2163" i="5" s="1"/>
  <c r="P2163" i="5" s="1"/>
  <c r="D98" i="6"/>
  <c r="N2354" i="5"/>
  <c r="O2354" i="5" s="1"/>
  <c r="P2354" i="5" s="1"/>
  <c r="D2367" i="5"/>
  <c r="L98" i="6"/>
  <c r="L2367" i="5"/>
  <c r="J120" i="6"/>
  <c r="J127" i="6" s="1"/>
  <c r="J2775" i="5"/>
  <c r="N2860" i="5"/>
  <c r="O2928" i="5"/>
  <c r="P2928" i="5" s="1"/>
  <c r="N2979" i="5"/>
  <c r="E1595" i="5"/>
  <c r="N1595" i="5" s="1"/>
  <c r="O1595" i="5" s="1"/>
  <c r="P1595" i="5" s="1"/>
  <c r="N1599" i="5"/>
  <c r="O1599" i="5" s="1"/>
  <c r="P1599" i="5" s="1"/>
  <c r="K1614" i="5"/>
  <c r="H1631" i="5"/>
  <c r="L1682" i="5"/>
  <c r="F87" i="6"/>
  <c r="F2282" i="5"/>
  <c r="O2384" i="5"/>
  <c r="P2384" i="5" s="1"/>
  <c r="M96" i="6"/>
  <c r="M204" i="4" s="1"/>
  <c r="M36" i="3" s="1"/>
  <c r="M2435" i="5"/>
  <c r="N2554" i="5"/>
  <c r="O2554" i="5" s="1"/>
  <c r="P2554" i="5" s="1"/>
  <c r="O2690" i="5"/>
  <c r="P2690" i="5" s="1"/>
  <c r="N2741" i="5"/>
  <c r="O2741" i="5" s="1"/>
  <c r="P2741" i="5" s="1"/>
  <c r="D2231" i="5"/>
  <c r="L2231" i="5"/>
  <c r="K89" i="6"/>
  <c r="K208" i="4" s="1"/>
  <c r="K42" i="3" s="1"/>
  <c r="K15" i="2" s="1"/>
  <c r="K14" i="1" s="1"/>
  <c r="I2350" i="5"/>
  <c r="F2418" i="5"/>
  <c r="N2420" i="5"/>
  <c r="O2420" i="5" s="1"/>
  <c r="P2420" i="5" s="1"/>
  <c r="L2435" i="5"/>
  <c r="C116" i="6"/>
  <c r="N2762" i="5"/>
  <c r="O2762" i="5" s="1"/>
  <c r="P2762" i="5" s="1"/>
  <c r="N2929" i="5"/>
  <c r="O2929" i="5" s="1"/>
  <c r="P2929" i="5" s="1"/>
  <c r="I2962" i="5"/>
  <c r="I129" i="6"/>
  <c r="I138" i="6" s="1"/>
  <c r="I3234" i="5"/>
  <c r="N3223" i="5"/>
  <c r="O3223" i="5" s="1"/>
  <c r="P3223" i="5" s="1"/>
  <c r="E2231" i="5"/>
  <c r="M2231" i="5"/>
  <c r="L87" i="6"/>
  <c r="L206" i="4" s="1"/>
  <c r="L40" i="3" s="1"/>
  <c r="L13" i="2" s="1"/>
  <c r="L12" i="1" s="1"/>
  <c r="L89" i="6"/>
  <c r="L208" i="4" s="1"/>
  <c r="L42" i="3" s="1"/>
  <c r="L15" i="2" s="1"/>
  <c r="L14" i="1" s="1"/>
  <c r="L2333" i="5"/>
  <c r="I2367" i="5"/>
  <c r="G2418" i="5"/>
  <c r="E2435" i="5"/>
  <c r="N2435" i="5" s="1"/>
  <c r="O2435" i="5" s="1"/>
  <c r="P2435" i="5" s="1"/>
  <c r="D107" i="6"/>
  <c r="L107" i="6"/>
  <c r="I2775" i="5"/>
  <c r="N2775" i="5" s="1"/>
  <c r="O2775" i="5" s="1"/>
  <c r="P2775" i="5" s="1"/>
  <c r="F2945" i="5"/>
  <c r="J129" i="6"/>
  <c r="J138" i="6" s="1"/>
  <c r="J2962" i="5"/>
  <c r="O3030" i="5"/>
  <c r="P3030" i="5" s="1"/>
  <c r="N3251" i="5"/>
  <c r="O3251" i="5" s="1"/>
  <c r="P3251" i="5" s="1"/>
  <c r="N7" i="6"/>
  <c r="O7" i="6" s="1"/>
  <c r="P7" i="6" s="1"/>
  <c r="O9" i="6"/>
  <c r="P9" i="6" s="1"/>
  <c r="M89" i="6"/>
  <c r="M208" i="4" s="1"/>
  <c r="M42" i="3" s="1"/>
  <c r="M87" i="6"/>
  <c r="M206" i="4" s="1"/>
  <c r="M40" i="3" s="1"/>
  <c r="M13" i="2" s="1"/>
  <c r="M12" i="1" s="1"/>
  <c r="I2269" i="5"/>
  <c r="I87" i="6" s="1"/>
  <c r="C2282" i="5"/>
  <c r="K2350" i="5"/>
  <c r="H2418" i="5"/>
  <c r="E107" i="6"/>
  <c r="M107" i="6"/>
  <c r="M116" i="6" s="1"/>
  <c r="M117" i="6"/>
  <c r="M127" i="6" s="1"/>
  <c r="N117" i="6"/>
  <c r="O117" i="6" s="1"/>
  <c r="P117" i="6" s="1"/>
  <c r="F127" i="6"/>
  <c r="G2945" i="5"/>
  <c r="N2945" i="5" s="1"/>
  <c r="O2945" i="5" s="1"/>
  <c r="P2945" i="5" s="1"/>
  <c r="K2962" i="5"/>
  <c r="N2996" i="5"/>
  <c r="O2996" i="5" s="1"/>
  <c r="P2996" i="5" s="1"/>
  <c r="E17" i="6"/>
  <c r="O11" i="6"/>
  <c r="P11" i="6" s="1"/>
  <c r="D2571" i="5"/>
  <c r="N2571" i="5" s="1"/>
  <c r="O2571" i="5" s="1"/>
  <c r="P2571" i="5" s="1"/>
  <c r="D2656" i="5"/>
  <c r="N2656" i="5" s="1"/>
  <c r="N2658" i="5"/>
  <c r="L2962" i="5"/>
  <c r="O3098" i="5"/>
  <c r="P3098" i="5" s="1"/>
  <c r="N3115" i="5"/>
  <c r="O3115" i="5" s="1"/>
  <c r="P3115" i="5" s="1"/>
  <c r="G3149" i="5"/>
  <c r="G144" i="6"/>
  <c r="G149" i="6" s="1"/>
  <c r="N3150" i="5"/>
  <c r="O3150" i="5" s="1"/>
  <c r="P3150" i="5" s="1"/>
  <c r="J3166" i="5"/>
  <c r="J139" i="6"/>
  <c r="J149" i="6" s="1"/>
  <c r="N10" i="6"/>
  <c r="O10" i="6" s="1"/>
  <c r="P10" i="6" s="1"/>
  <c r="N11" i="6"/>
  <c r="K2269" i="5"/>
  <c r="K2282" i="5" s="1"/>
  <c r="M2350" i="5"/>
  <c r="N2350" i="5" s="1"/>
  <c r="O2350" i="5" s="1"/>
  <c r="P2350" i="5" s="1"/>
  <c r="N2425" i="5"/>
  <c r="O2425" i="5" s="1"/>
  <c r="P2425" i="5" s="1"/>
  <c r="O2658" i="5"/>
  <c r="P2658" i="5" s="1"/>
  <c r="D2673" i="5"/>
  <c r="N2675" i="5"/>
  <c r="O2675" i="5" s="1"/>
  <c r="P2675" i="5" s="1"/>
  <c r="D138" i="6"/>
  <c r="M129" i="6"/>
  <c r="M138" i="6" s="1"/>
  <c r="D2962" i="5"/>
  <c r="N2962" i="5" s="1"/>
  <c r="O2962" i="5" s="1"/>
  <c r="P2962" i="5" s="1"/>
  <c r="M2962" i="5"/>
  <c r="N2981" i="5"/>
  <c r="O2981" i="5" s="1"/>
  <c r="P2981" i="5" s="1"/>
  <c r="K139" i="6"/>
  <c r="K149" i="6" s="1"/>
  <c r="K3166" i="5"/>
  <c r="N3287" i="5"/>
  <c r="O3287" i="5" s="1"/>
  <c r="P3287" i="5" s="1"/>
  <c r="G17" i="6"/>
  <c r="N54" i="6"/>
  <c r="O54" i="6" s="1"/>
  <c r="P54" i="6" s="1"/>
  <c r="N120" i="6"/>
  <c r="O120" i="6" s="1"/>
  <c r="P120" i="6" s="1"/>
  <c r="N77" i="6"/>
  <c r="O77" i="6" s="1"/>
  <c r="P77" i="6" s="1"/>
  <c r="I2231" i="5"/>
  <c r="D87" i="6"/>
  <c r="L2269" i="5"/>
  <c r="L2282" i="5" s="1"/>
  <c r="E2367" i="5"/>
  <c r="M2367" i="5"/>
  <c r="I2435" i="5"/>
  <c r="H107" i="6"/>
  <c r="E2673" i="5"/>
  <c r="M2673" i="5"/>
  <c r="N2796" i="5"/>
  <c r="O2796" i="5" s="1"/>
  <c r="P2796" i="5" s="1"/>
  <c r="I127" i="6"/>
  <c r="E129" i="6"/>
  <c r="E138" i="6" s="1"/>
  <c r="N2947" i="5"/>
  <c r="O2947" i="5" s="1"/>
  <c r="P2947" i="5" s="1"/>
  <c r="E2962" i="5"/>
  <c r="N3015" i="5"/>
  <c r="O3015" i="5" s="1"/>
  <c r="P3015" i="5" s="1"/>
  <c r="N3151" i="5"/>
  <c r="O3151" i="5" s="1"/>
  <c r="P3151" i="5" s="1"/>
  <c r="N3234" i="5"/>
  <c r="O3234" i="5" s="1"/>
  <c r="P3234" i="5" s="1"/>
  <c r="N3258" i="5"/>
  <c r="O3258" i="5" s="1"/>
  <c r="P3258" i="5" s="1"/>
  <c r="H17" i="6"/>
  <c r="O13" i="6"/>
  <c r="P13" i="6" s="1"/>
  <c r="N35" i="6"/>
  <c r="N74" i="6"/>
  <c r="O74" i="6" s="1"/>
  <c r="P74" i="6" s="1"/>
  <c r="D83" i="6"/>
  <c r="N2220" i="5"/>
  <c r="O2220" i="5" s="1"/>
  <c r="P2220" i="5" s="1"/>
  <c r="I89" i="6"/>
  <c r="I208" i="4" s="1"/>
  <c r="M2269" i="5"/>
  <c r="M2282" i="5" s="1"/>
  <c r="D2418" i="5"/>
  <c r="I107" i="6"/>
  <c r="F2673" i="5"/>
  <c r="F2962" i="5"/>
  <c r="N3268" i="5"/>
  <c r="O3268" i="5" s="1"/>
  <c r="P3268" i="5" s="1"/>
  <c r="O3302" i="5"/>
  <c r="P3302" i="5" s="1"/>
  <c r="J83" i="6"/>
  <c r="O52" i="6"/>
  <c r="P52" i="6" s="1"/>
  <c r="H83" i="6"/>
  <c r="E94" i="6"/>
  <c r="M94" i="6"/>
  <c r="N101" i="6"/>
  <c r="O101" i="6" s="1"/>
  <c r="P101" i="6" s="1"/>
  <c r="I149" i="6"/>
  <c r="D87" i="7"/>
  <c r="N71" i="7"/>
  <c r="O71" i="7" s="1"/>
  <c r="P71" i="7" s="1"/>
  <c r="C17" i="6"/>
  <c r="N46" i="6"/>
  <c r="O46" i="6" s="1"/>
  <c r="P46" i="6" s="1"/>
  <c r="F50" i="6"/>
  <c r="N52" i="6"/>
  <c r="N56" i="6"/>
  <c r="I72" i="6"/>
  <c r="O63" i="6"/>
  <c r="P63" i="6" s="1"/>
  <c r="I83" i="6"/>
  <c r="N84" i="6"/>
  <c r="O84" i="6" s="1"/>
  <c r="P84" i="6" s="1"/>
  <c r="N95" i="6"/>
  <c r="O95" i="6" s="1"/>
  <c r="P95" i="6" s="1"/>
  <c r="K127" i="6"/>
  <c r="N43" i="7"/>
  <c r="O43" i="7" s="1"/>
  <c r="P43" i="7" s="1"/>
  <c r="N3304" i="5"/>
  <c r="O3304" i="5" s="1"/>
  <c r="P3304" i="5" s="1"/>
  <c r="O35" i="6"/>
  <c r="P35" i="6" s="1"/>
  <c r="D50" i="6"/>
  <c r="N42" i="6"/>
  <c r="O42" i="6" s="1"/>
  <c r="P42" i="6" s="1"/>
  <c r="L50" i="6"/>
  <c r="O48" i="6"/>
  <c r="P48" i="6" s="1"/>
  <c r="O57" i="6"/>
  <c r="P57" i="6" s="1"/>
  <c r="J72" i="6"/>
  <c r="N121" i="6"/>
  <c r="L149" i="6"/>
  <c r="E12" i="7"/>
  <c r="E53" i="7"/>
  <c r="L70" i="7"/>
  <c r="N70" i="7" s="1"/>
  <c r="O70" i="7" s="1"/>
  <c r="P70" i="7" s="1"/>
  <c r="L8" i="7"/>
  <c r="D3030" i="5"/>
  <c r="N3030" i="5" s="1"/>
  <c r="H28" i="6"/>
  <c r="O25" i="6"/>
  <c r="P25" i="6" s="1"/>
  <c r="I50" i="6"/>
  <c r="O73" i="6"/>
  <c r="P73" i="6" s="1"/>
  <c r="O122" i="6"/>
  <c r="P122" i="6" s="1"/>
  <c r="D149" i="6"/>
  <c r="O145" i="6"/>
  <c r="P145" i="6" s="1"/>
  <c r="D7" i="7"/>
  <c r="E36" i="7"/>
  <c r="N36" i="7" s="1"/>
  <c r="O36" i="7" s="1"/>
  <c r="P36" i="7" s="1"/>
  <c r="N22" i="7"/>
  <c r="O22" i="7" s="1"/>
  <c r="P22" i="7" s="1"/>
  <c r="E9" i="7"/>
  <c r="M36" i="7"/>
  <c r="M9" i="7"/>
  <c r="O14" i="6"/>
  <c r="P14" i="6" s="1"/>
  <c r="N25" i="6"/>
  <c r="O32" i="6"/>
  <c r="P32" i="6" s="1"/>
  <c r="J50" i="6"/>
  <c r="N63" i="6"/>
  <c r="O100" i="6"/>
  <c r="P100" i="6" s="1"/>
  <c r="O140" i="6"/>
  <c r="P140" i="6" s="1"/>
  <c r="E3166" i="5"/>
  <c r="N3166" i="5" s="1"/>
  <c r="O3166" i="5" s="1"/>
  <c r="P3166" i="5" s="1"/>
  <c r="M3166" i="5"/>
  <c r="H3217" i="5"/>
  <c r="N3217" i="5" s="1"/>
  <c r="O3217" i="5" s="1"/>
  <c r="P3217" i="5" s="1"/>
  <c r="N32" i="6"/>
  <c r="D61" i="6"/>
  <c r="E72" i="6"/>
  <c r="M72" i="6"/>
  <c r="O64" i="6"/>
  <c r="P64" i="6" s="1"/>
  <c r="N68" i="6"/>
  <c r="O68" i="6" s="1"/>
  <c r="P68" i="6" s="1"/>
  <c r="F72" i="6"/>
  <c r="O79" i="6"/>
  <c r="P79" i="6" s="1"/>
  <c r="J94" i="6"/>
  <c r="D127" i="6"/>
  <c r="O133" i="6"/>
  <c r="P133" i="6" s="1"/>
  <c r="N139" i="6"/>
  <c r="O139" i="6" s="1"/>
  <c r="P139" i="6" s="1"/>
  <c r="C28" i="6"/>
  <c r="O24" i="6"/>
  <c r="P24" i="6" s="1"/>
  <c r="C39" i="6"/>
  <c r="O56" i="6"/>
  <c r="P56" i="6" s="1"/>
  <c r="N64" i="6"/>
  <c r="N73" i="6"/>
  <c r="C94" i="6"/>
  <c r="N112" i="6"/>
  <c r="O112" i="6" s="1"/>
  <c r="P112" i="6" s="1"/>
  <c r="E127" i="6"/>
  <c r="N133" i="6"/>
  <c r="N145" i="6"/>
  <c r="G129" i="6"/>
  <c r="G138" i="6" s="1"/>
  <c r="H3149" i="5"/>
  <c r="N3149" i="5" s="1"/>
  <c r="O3149" i="5" s="1"/>
  <c r="P3149" i="5" s="1"/>
  <c r="O31" i="6"/>
  <c r="P31" i="6" s="1"/>
  <c r="O36" i="6"/>
  <c r="P36" i="6" s="1"/>
  <c r="E50" i="6"/>
  <c r="M50" i="6"/>
  <c r="C61" i="6"/>
  <c r="N69" i="6"/>
  <c r="O69" i="6" s="1"/>
  <c r="P69" i="6" s="1"/>
  <c r="G83" i="6"/>
  <c r="E83" i="6"/>
  <c r="D94" i="6"/>
  <c r="L94" i="6"/>
  <c r="O121" i="6"/>
  <c r="P121" i="6" s="1"/>
  <c r="H149" i="6"/>
  <c r="C149" i="6"/>
  <c r="H104" i="7"/>
  <c r="N104" i="7" s="1"/>
  <c r="O104" i="7" s="1"/>
  <c r="P104" i="7" s="1"/>
  <c r="H8" i="7"/>
  <c r="O41" i="6"/>
  <c r="P41" i="6" s="1"/>
  <c r="H9" i="7"/>
  <c r="N55" i="7"/>
  <c r="O55" i="7" s="1"/>
  <c r="P55" i="7" s="1"/>
  <c r="N89" i="7"/>
  <c r="O89" i="7" s="1"/>
  <c r="P89" i="7" s="1"/>
  <c r="D8" i="7"/>
  <c r="I9" i="7"/>
  <c r="F53" i="7"/>
  <c r="N53" i="7" s="1"/>
  <c r="O53" i="7" s="1"/>
  <c r="P53" i="7" s="1"/>
  <c r="F83" i="6"/>
  <c r="F149" i="6"/>
  <c r="M8" i="7"/>
  <c r="D12" i="7"/>
  <c r="I87" i="7"/>
  <c r="N43" i="3" l="1"/>
  <c r="O43" i="3" s="1"/>
  <c r="P43" i="3" s="1"/>
  <c r="N145" i="4"/>
  <c r="O145" i="4" s="1"/>
  <c r="P145" i="4" s="1"/>
  <c r="H34" i="3"/>
  <c r="L34" i="3"/>
  <c r="M213" i="4"/>
  <c r="M47" i="3"/>
  <c r="O92" i="5"/>
  <c r="P92" i="5" s="1"/>
  <c r="I94" i="6"/>
  <c r="I206" i="4"/>
  <c r="I40" i="3" s="1"/>
  <c r="I13" i="2" s="1"/>
  <c r="N2282" i="5"/>
  <c r="O2282" i="5" s="1"/>
  <c r="P2282" i="5" s="1"/>
  <c r="F3354" i="5"/>
  <c r="N17" i="2"/>
  <c r="D16" i="1"/>
  <c r="N16" i="1" s="1"/>
  <c r="D32" i="3"/>
  <c r="N85" i="4"/>
  <c r="O85" i="4" s="1"/>
  <c r="P85" i="4" s="1"/>
  <c r="I19" i="2"/>
  <c r="I18" i="1" s="1"/>
  <c r="N16" i="3"/>
  <c r="O16" i="3" s="1"/>
  <c r="P16" i="3" s="1"/>
  <c r="N96" i="6"/>
  <c r="O96" i="6" s="1"/>
  <c r="P96" i="6" s="1"/>
  <c r="L116" i="6"/>
  <c r="L204" i="4"/>
  <c r="N39" i="4"/>
  <c r="O39" i="4"/>
  <c r="P39" i="4" s="1"/>
  <c r="N180" i="4"/>
  <c r="O180" i="4" s="1"/>
  <c r="P180" i="4" s="1"/>
  <c r="M7" i="1"/>
  <c r="O10" i="1"/>
  <c r="P10" i="1" s="1"/>
  <c r="N11" i="2"/>
  <c r="O11" i="2" s="1"/>
  <c r="P11" i="2" s="1"/>
  <c r="D10" i="1"/>
  <c r="N10" i="1" s="1"/>
  <c r="M17" i="3"/>
  <c r="M8" i="2"/>
  <c r="M8" i="1" s="1"/>
  <c r="N127" i="6"/>
  <c r="O127" i="6" s="1"/>
  <c r="P127" i="6" s="1"/>
  <c r="N50" i="6"/>
  <c r="O50" i="6" s="1"/>
  <c r="P50" i="6" s="1"/>
  <c r="N129" i="6"/>
  <c r="O129" i="6" s="1"/>
  <c r="P129" i="6" s="1"/>
  <c r="N107" i="6"/>
  <c r="O107" i="6" s="1"/>
  <c r="P107" i="6" s="1"/>
  <c r="D116" i="6"/>
  <c r="D204" i="4"/>
  <c r="N2333" i="5"/>
  <c r="O2333" i="5" s="1"/>
  <c r="P2333" i="5" s="1"/>
  <c r="N1118" i="5"/>
  <c r="O1118" i="5" s="1"/>
  <c r="P1118" i="5" s="1"/>
  <c r="N207" i="4"/>
  <c r="O207" i="4" s="1"/>
  <c r="P207" i="4" s="1"/>
  <c r="N51" i="6"/>
  <c r="O51" i="6" s="1"/>
  <c r="P51" i="6" s="1"/>
  <c r="F61" i="6"/>
  <c r="N61" i="6" s="1"/>
  <c r="O61" i="6" s="1"/>
  <c r="P61" i="6" s="1"/>
  <c r="I17" i="3"/>
  <c r="I24" i="2"/>
  <c r="I58" i="3"/>
  <c r="E17" i="3"/>
  <c r="N17" i="3" s="1"/>
  <c r="O17" i="3" s="1"/>
  <c r="P17" i="3" s="1"/>
  <c r="N8" i="3"/>
  <c r="O8" i="3" s="1"/>
  <c r="P8" i="3" s="1"/>
  <c r="J19" i="2"/>
  <c r="J18" i="1" s="1"/>
  <c r="D14" i="1"/>
  <c r="J116" i="6"/>
  <c r="J204" i="4"/>
  <c r="O202" i="4"/>
  <c r="P202" i="4" s="1"/>
  <c r="N89" i="6"/>
  <c r="O89" i="6" s="1"/>
  <c r="P89" i="6" s="1"/>
  <c r="N72" i="6"/>
  <c r="O72" i="6" s="1"/>
  <c r="P72" i="6" s="1"/>
  <c r="N149" i="6"/>
  <c r="N83" i="6"/>
  <c r="O83" i="6" s="1"/>
  <c r="P83" i="6" s="1"/>
  <c r="N87" i="6"/>
  <c r="O87" i="6" s="1"/>
  <c r="P87" i="6" s="1"/>
  <c r="D206" i="4"/>
  <c r="N138" i="6"/>
  <c r="O138" i="6" s="1"/>
  <c r="P138" i="6" s="1"/>
  <c r="N144" i="6"/>
  <c r="O144" i="6" s="1"/>
  <c r="P144" i="6" s="1"/>
  <c r="F21" i="6"/>
  <c r="N1088" i="5"/>
  <c r="O1088" i="5" s="1"/>
  <c r="P1088" i="5" s="1"/>
  <c r="F1101" i="5"/>
  <c r="N1101" i="5" s="1"/>
  <c r="F103" i="4"/>
  <c r="P64" i="5"/>
  <c r="N58" i="3"/>
  <c r="O58" i="3" s="1"/>
  <c r="P58" i="3" s="1"/>
  <c r="N168" i="4"/>
  <c r="O168" i="4" s="1"/>
  <c r="P168" i="4" s="1"/>
  <c r="M15" i="2"/>
  <c r="M14" i="1" s="1"/>
  <c r="D87" i="4"/>
  <c r="N87" i="4" s="1"/>
  <c r="O87" i="4" s="1"/>
  <c r="P87" i="4" s="1"/>
  <c r="E7" i="2"/>
  <c r="N7" i="2" s="1"/>
  <c r="O7" i="2" s="1"/>
  <c r="P7" i="2" s="1"/>
  <c r="N18" i="3"/>
  <c r="O18" i="3" s="1"/>
  <c r="P18" i="3" s="1"/>
  <c r="M34" i="3"/>
  <c r="N24" i="3"/>
  <c r="O24" i="3" s="1"/>
  <c r="P24" i="3" s="1"/>
  <c r="D10" i="2"/>
  <c r="N29" i="3"/>
  <c r="O29" i="3" s="1"/>
  <c r="P29" i="3" s="1"/>
  <c r="D7" i="1"/>
  <c r="O224" i="4"/>
  <c r="P224" i="4" s="1"/>
  <c r="O61" i="4"/>
  <c r="P61" i="4" s="1"/>
  <c r="O22" i="3"/>
  <c r="P22" i="3" s="1"/>
  <c r="G20" i="2"/>
  <c r="G7" i="1"/>
  <c r="G19" i="1" s="1"/>
  <c r="N31" i="3"/>
  <c r="O31" i="3" s="1"/>
  <c r="P31" i="3" s="1"/>
  <c r="D17" i="6"/>
  <c r="N17" i="6" s="1"/>
  <c r="O17" i="6" s="1"/>
  <c r="P17" i="6" s="1"/>
  <c r="I2282" i="5"/>
  <c r="N2269" i="5"/>
  <c r="O2269" i="5" s="1"/>
  <c r="P2269" i="5" s="1"/>
  <c r="I116" i="6"/>
  <c r="I204" i="4"/>
  <c r="N2673" i="5"/>
  <c r="O2673" i="5" s="1"/>
  <c r="P2673" i="5" s="1"/>
  <c r="K87" i="6"/>
  <c r="N2367" i="5"/>
  <c r="O2367" i="5" s="1"/>
  <c r="P2367" i="5" s="1"/>
  <c r="O1101" i="5"/>
  <c r="P1101" i="5" s="1"/>
  <c r="N30" i="6"/>
  <c r="O30" i="6" s="1"/>
  <c r="P30" i="6" s="1"/>
  <c r="C3354" i="5"/>
  <c r="N20" i="6"/>
  <c r="O20" i="6" s="1"/>
  <c r="P20" i="6" s="1"/>
  <c r="E3354" i="5"/>
  <c r="G17" i="3"/>
  <c r="N12" i="3"/>
  <c r="O12" i="3" s="1"/>
  <c r="P12" i="3" s="1"/>
  <c r="E15" i="2"/>
  <c r="E14" i="1" s="1"/>
  <c r="N156" i="4"/>
  <c r="O156" i="4" s="1"/>
  <c r="P156" i="4" s="1"/>
  <c r="N90" i="6"/>
  <c r="O90" i="6" s="1"/>
  <c r="P90" i="6" s="1"/>
  <c r="K17" i="3"/>
  <c r="D15" i="1"/>
  <c r="I42" i="3"/>
  <c r="N208" i="4"/>
  <c r="O208" i="4" s="1"/>
  <c r="P208" i="4" s="1"/>
  <c r="N2418" i="5"/>
  <c r="O2418" i="5" s="1"/>
  <c r="P2418" i="5" s="1"/>
  <c r="H116" i="6"/>
  <c r="H204" i="4"/>
  <c r="I19" i="6"/>
  <c r="I100" i="4"/>
  <c r="N39" i="6"/>
  <c r="O39" i="6" s="1"/>
  <c r="P39" i="6" s="1"/>
  <c r="D3354" i="5"/>
  <c r="D14" i="2"/>
  <c r="N28" i="3"/>
  <c r="O28" i="3" s="1"/>
  <c r="P28" i="3" s="1"/>
  <c r="C15" i="1"/>
  <c r="O50" i="4"/>
  <c r="P50" i="4" s="1"/>
  <c r="C12" i="1"/>
  <c r="I16" i="2"/>
  <c r="I15" i="1" s="1"/>
  <c r="N13" i="3"/>
  <c r="O13" i="3" s="1"/>
  <c r="P13" i="3" s="1"/>
  <c r="C8" i="1"/>
  <c r="O149" i="6"/>
  <c r="P149" i="6" s="1"/>
  <c r="N87" i="7"/>
  <c r="O87" i="7" s="1"/>
  <c r="P87" i="7" s="1"/>
  <c r="E116" i="6"/>
  <c r="E204" i="4"/>
  <c r="N2231" i="5"/>
  <c r="O2231" i="5" s="1"/>
  <c r="P2231" i="5" s="1"/>
  <c r="F94" i="6"/>
  <c r="F206" i="4"/>
  <c r="N98" i="6"/>
  <c r="O98" i="6" s="1"/>
  <c r="P98" i="6" s="1"/>
  <c r="I1084" i="5"/>
  <c r="N1084" i="5" s="1"/>
  <c r="O1084" i="5" s="1"/>
  <c r="P1084" i="5" s="1"/>
  <c r="N794" i="5"/>
  <c r="O794" i="5" s="1"/>
  <c r="P794" i="5" s="1"/>
  <c r="K348" i="5"/>
  <c r="K3354" i="5" s="1"/>
  <c r="K65" i="4"/>
  <c r="N51" i="3"/>
  <c r="O51" i="3" s="1"/>
  <c r="P51" i="3" s="1"/>
  <c r="N86" i="4"/>
  <c r="O86" i="4" s="1"/>
  <c r="P86" i="4" s="1"/>
  <c r="D33" i="3"/>
  <c r="C17" i="2"/>
  <c r="C20" i="2" s="1"/>
  <c r="N11" i="3"/>
  <c r="O11" i="3" s="1"/>
  <c r="P11" i="3" s="1"/>
  <c r="N16" i="2" l="1"/>
  <c r="O16" i="2" s="1"/>
  <c r="P16" i="2" s="1"/>
  <c r="C19" i="1"/>
  <c r="F40" i="3"/>
  <c r="F47" i="3" s="1"/>
  <c r="F213" i="4"/>
  <c r="E36" i="3"/>
  <c r="E213" i="4"/>
  <c r="N19" i="6"/>
  <c r="O19" i="6" s="1"/>
  <c r="P19" i="6" s="1"/>
  <c r="I28" i="6"/>
  <c r="K206" i="4"/>
  <c r="K94" i="6"/>
  <c r="N94" i="6" s="1"/>
  <c r="O94" i="6" s="1"/>
  <c r="P94" i="6" s="1"/>
  <c r="H36" i="3"/>
  <c r="H213" i="4"/>
  <c r="D40" i="3"/>
  <c r="J36" i="3"/>
  <c r="J213" i="4"/>
  <c r="I3354" i="5"/>
  <c r="M20" i="2"/>
  <c r="I12" i="1"/>
  <c r="N24" i="2"/>
  <c r="O24" i="2" s="1"/>
  <c r="P24" i="2" s="1"/>
  <c r="I31" i="2"/>
  <c r="N31" i="2" s="1"/>
  <c r="O31" i="2" s="1"/>
  <c r="P31" i="2" s="1"/>
  <c r="N204" i="4"/>
  <c r="O204" i="4" s="1"/>
  <c r="P204" i="4" s="1"/>
  <c r="D213" i="4"/>
  <c r="D36" i="3"/>
  <c r="M19" i="1"/>
  <c r="K23" i="3"/>
  <c r="K74" i="4"/>
  <c r="N74" i="4" s="1"/>
  <c r="O74" i="4" s="1"/>
  <c r="P74" i="4" s="1"/>
  <c r="N65" i="4"/>
  <c r="O65" i="4" s="1"/>
  <c r="P65" i="4" s="1"/>
  <c r="I36" i="3"/>
  <c r="I47" i="3" s="1"/>
  <c r="I213" i="4"/>
  <c r="E7" i="1"/>
  <c r="N7" i="1" s="1"/>
  <c r="O7" i="1" s="1"/>
  <c r="P7" i="1" s="1"/>
  <c r="F27" i="3"/>
  <c r="N103" i="4"/>
  <c r="O103" i="4" s="1"/>
  <c r="P103" i="4" s="1"/>
  <c r="F110" i="4"/>
  <c r="L213" i="4"/>
  <c r="L36" i="3"/>
  <c r="N32" i="3"/>
  <c r="O32" i="3" s="1"/>
  <c r="P32" i="3" s="1"/>
  <c r="D18" i="2"/>
  <c r="D13" i="1"/>
  <c r="N13" i="1" s="1"/>
  <c r="O13" i="1" s="1"/>
  <c r="P13" i="1" s="1"/>
  <c r="N14" i="2"/>
  <c r="O14" i="2" s="1"/>
  <c r="P14" i="2" s="1"/>
  <c r="O17" i="2"/>
  <c r="P17" i="2" s="1"/>
  <c r="C16" i="1"/>
  <c r="O16" i="1" s="1"/>
  <c r="P16" i="1" s="1"/>
  <c r="I15" i="2"/>
  <c r="I14" i="1" s="1"/>
  <c r="N14" i="1" s="1"/>
  <c r="O14" i="1" s="1"/>
  <c r="P14" i="1" s="1"/>
  <c r="N42" i="3"/>
  <c r="O42" i="3" s="1"/>
  <c r="P42" i="3" s="1"/>
  <c r="N10" i="2"/>
  <c r="O10" i="2" s="1"/>
  <c r="P10" i="2" s="1"/>
  <c r="D9" i="1"/>
  <c r="N9" i="1" s="1"/>
  <c r="O9" i="1" s="1"/>
  <c r="P9" i="1" s="1"/>
  <c r="F28" i="6"/>
  <c r="N28" i="6" s="1"/>
  <c r="O28" i="6" s="1"/>
  <c r="P28" i="6" s="1"/>
  <c r="N21" i="6"/>
  <c r="O21" i="6" s="1"/>
  <c r="P21" i="6" s="1"/>
  <c r="N116" i="6"/>
  <c r="O116" i="6" s="1"/>
  <c r="P116" i="6" s="1"/>
  <c r="D34" i="3"/>
  <c r="N33" i="3"/>
  <c r="O33" i="3" s="1"/>
  <c r="P33" i="3" s="1"/>
  <c r="D19" i="2"/>
  <c r="I110" i="4"/>
  <c r="I23" i="3"/>
  <c r="N100" i="4"/>
  <c r="O100" i="4" s="1"/>
  <c r="P100" i="4" s="1"/>
  <c r="N15" i="1"/>
  <c r="O15" i="1" s="1"/>
  <c r="P15" i="1" s="1"/>
  <c r="N348" i="5"/>
  <c r="N15" i="2" l="1"/>
  <c r="O15" i="2" s="1"/>
  <c r="P15" i="2" s="1"/>
  <c r="K34" i="3"/>
  <c r="K8" i="2"/>
  <c r="I34" i="3"/>
  <c r="N23" i="3"/>
  <c r="O23" i="3" s="1"/>
  <c r="P23" i="3" s="1"/>
  <c r="I8" i="2"/>
  <c r="D17" i="1"/>
  <c r="N17" i="1" s="1"/>
  <c r="O17" i="1" s="1"/>
  <c r="P17" i="1" s="1"/>
  <c r="N18" i="2"/>
  <c r="O18" i="2" s="1"/>
  <c r="P18" i="2" s="1"/>
  <c r="E47" i="3"/>
  <c r="E8" i="2"/>
  <c r="D18" i="1"/>
  <c r="N18" i="1" s="1"/>
  <c r="O18" i="1" s="1"/>
  <c r="P18" i="1" s="1"/>
  <c r="N19" i="2"/>
  <c r="O19" i="2" s="1"/>
  <c r="P19" i="2" s="1"/>
  <c r="O348" i="5"/>
  <c r="N3354" i="5"/>
  <c r="N110" i="4"/>
  <c r="O110" i="4" s="1"/>
  <c r="P110" i="4" s="1"/>
  <c r="J47" i="3"/>
  <c r="J8" i="2"/>
  <c r="K40" i="3"/>
  <c r="K213" i="4"/>
  <c r="N213" i="4" s="1"/>
  <c r="O213" i="4" s="1"/>
  <c r="P213" i="4" s="1"/>
  <c r="D8" i="2"/>
  <c r="N36" i="3"/>
  <c r="O36" i="3" s="1"/>
  <c r="P36" i="3" s="1"/>
  <c r="D47" i="3"/>
  <c r="H8" i="2"/>
  <c r="H47" i="3"/>
  <c r="N206" i="4"/>
  <c r="O206" i="4" s="1"/>
  <c r="P206" i="4" s="1"/>
  <c r="L8" i="2"/>
  <c r="L47" i="3"/>
  <c r="N27" i="3"/>
  <c r="O27" i="3" s="1"/>
  <c r="P27" i="3" s="1"/>
  <c r="F34" i="3"/>
  <c r="F13" i="2"/>
  <c r="D13" i="2"/>
  <c r="N34" i="3" l="1"/>
  <c r="O34" i="3" s="1"/>
  <c r="P34" i="3" s="1"/>
  <c r="I20" i="2"/>
  <c r="I8" i="1"/>
  <c r="I19" i="1" s="1"/>
  <c r="P348" i="5"/>
  <c r="P3354" i="5" s="1"/>
  <c r="O3354" i="5"/>
  <c r="K47" i="3"/>
  <c r="N47" i="3" s="1"/>
  <c r="O47" i="3" s="1"/>
  <c r="P47" i="3" s="1"/>
  <c r="K13" i="2"/>
  <c r="K12" i="1" s="1"/>
  <c r="L8" i="1"/>
  <c r="L19" i="1" s="1"/>
  <c r="L20" i="2"/>
  <c r="J8" i="1"/>
  <c r="J19" i="1" s="1"/>
  <c r="J20" i="2"/>
  <c r="K8" i="1"/>
  <c r="N8" i="2"/>
  <c r="O8" i="2" s="1"/>
  <c r="P8" i="2" s="1"/>
  <c r="D8" i="1"/>
  <c r="D20" i="2"/>
  <c r="D12" i="1"/>
  <c r="N40" i="3"/>
  <c r="O40" i="3" s="1"/>
  <c r="P40" i="3" s="1"/>
  <c r="E8" i="1"/>
  <c r="E19" i="1" s="1"/>
  <c r="E20" i="2"/>
  <c r="F12" i="1"/>
  <c r="F19" i="1" s="1"/>
  <c r="F20" i="2"/>
  <c r="H8" i="1"/>
  <c r="H19" i="1" s="1"/>
  <c r="H20" i="2"/>
  <c r="K20" i="2" l="1"/>
  <c r="N20" i="2" s="1"/>
  <c r="O20" i="2" s="1"/>
  <c r="P20" i="2" s="1"/>
  <c r="N8" i="1"/>
  <c r="O8" i="1" s="1"/>
  <c r="P8" i="1" s="1"/>
  <c r="D19" i="1"/>
  <c r="K19" i="1"/>
  <c r="N12" i="1"/>
  <c r="O12" i="1" s="1"/>
  <c r="P12" i="1" s="1"/>
  <c r="N13" i="2"/>
  <c r="O13" i="2" s="1"/>
  <c r="P13" i="2" s="1"/>
  <c r="N19" i="1" l="1"/>
  <c r="O19" i="1" s="1"/>
  <c r="P19" i="1" s="1"/>
</calcChain>
</file>

<file path=xl/sharedStrings.xml><?xml version="1.0" encoding="utf-8"?>
<sst xmlns="http://schemas.openxmlformats.org/spreadsheetml/2006/main" count="5069" uniqueCount="677">
  <si>
    <t>University of California, San Diego Survey of Parking Space Occupancy Levels, Summer 2020</t>
  </si>
  <si>
    <t>University-wide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</si>
  <si>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</si>
  <si>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</si>
  <si>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</si>
  <si>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</si>
  <si>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</si>
  <si>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</si>
  <si>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</si>
  <si>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</si>
  <si>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</si>
  <si>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</si>
  <si>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</si>
  <si>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</si>
  <si>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</si>
  <si>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</si>
  <si>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</si>
  <si>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</si>
  <si>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</si>
  <si>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</si>
  <si>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</si>
  <si>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</si>
  <si>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University</t>
  </si>
  <si>
    <t>A</t>
  </si>
  <si>
    <t>of</t>
  </si>
  <si>
    <t>B</t>
  </si>
  <si>
    <t>California,</t>
  </si>
  <si>
    <t>S</t>
  </si>
  <si>
    <t>San Diego</t>
  </si>
  <si>
    <t>SR</t>
  </si>
  <si>
    <t>D</t>
  </si>
  <si>
    <t>Visitor</t>
  </si>
  <si>
    <t>Reserved</t>
  </si>
  <si>
    <t>Allocated</t>
  </si>
  <si>
    <t>Accessible</t>
  </si>
  <si>
    <t>UC Vehicle</t>
  </si>
  <si>
    <t>Service Yard</t>
  </si>
  <si>
    <t>Loading</t>
  </si>
  <si>
    <t>Total</t>
  </si>
  <si>
    <t>University of California San Diego Survey of Parking Space Occupancy Levels, Summer 2020</t>
  </si>
  <si>
    <t>By Location</t>
  </si>
  <si>
    <t>Location</t>
  </si>
  <si>
    <t>La Jolla</t>
  </si>
  <si>
    <t>Campus</t>
  </si>
  <si>
    <t>$3/Supersaver</t>
  </si>
  <si>
    <t>Medical</t>
  </si>
  <si>
    <t>Center</t>
  </si>
  <si>
    <t>Hillcrest</t>
  </si>
  <si>
    <t>By Area</t>
  </si>
  <si>
    <t>Area</t>
  </si>
  <si>
    <t>Scripps</t>
  </si>
  <si>
    <t>Institution</t>
  </si>
  <si>
    <t>Oceanography</t>
  </si>
  <si>
    <t>West</t>
  </si>
  <si>
    <t>2hr A</t>
  </si>
  <si>
    <t>3hr A</t>
  </si>
  <si>
    <t>4hr A</t>
  </si>
  <si>
    <t>24/7 Enforced A</t>
  </si>
  <si>
    <t>East</t>
  </si>
  <si>
    <t xml:space="preserve">Temporarily Closed for COVID Testing                       					</t>
  </si>
  <si>
    <t>By Neighborhood</t>
  </si>
  <si>
    <t>Neighborhood</t>
  </si>
  <si>
    <t>SIO</t>
  </si>
  <si>
    <t>South</t>
  </si>
  <si>
    <t>Hillside</t>
  </si>
  <si>
    <t>Aquarium</t>
  </si>
  <si>
    <t>Theatre</t>
  </si>
  <si>
    <t>District</t>
  </si>
  <si>
    <t>Revelle</t>
  </si>
  <si>
    <t>College</t>
  </si>
  <si>
    <t>24/7 Enforced As</t>
  </si>
  <si>
    <t>2hr As</t>
  </si>
  <si>
    <t>Muir</t>
  </si>
  <si>
    <t>3hr As</t>
  </si>
  <si>
    <t>Marshall</t>
  </si>
  <si>
    <t>Roosevelt</t>
  </si>
  <si>
    <t>North</t>
  </si>
  <si>
    <t>Torrey</t>
  </si>
  <si>
    <t>Pines</t>
  </si>
  <si>
    <t>and</t>
  </si>
  <si>
    <t>$3/Super Saver</t>
  </si>
  <si>
    <t>Glider</t>
  </si>
  <si>
    <t>Port</t>
  </si>
  <si>
    <t>Warren</t>
  </si>
  <si>
    <t>Services</t>
  </si>
  <si>
    <t>Complex</t>
  </si>
  <si>
    <t>Sixth</t>
  </si>
  <si>
    <t>School</t>
  </si>
  <si>
    <t>Medicine</t>
  </si>
  <si>
    <t>Academic</t>
  </si>
  <si>
    <t>Health</t>
  </si>
  <si>
    <t>Sciences</t>
  </si>
  <si>
    <t>Science</t>
  </si>
  <si>
    <t>Research</t>
  </si>
  <si>
    <t>Park</t>
  </si>
  <si>
    <t xml:space="preserve">Temporarily Closed for COVID Testing                       					 </t>
  </si>
  <si>
    <t>By Lot</t>
  </si>
  <si>
    <t>Lot</t>
  </si>
  <si>
    <t>P001</t>
  </si>
  <si>
    <t>Visitor:</t>
  </si>
  <si>
    <t>Allocated: SIO V1G</t>
  </si>
  <si>
    <t>Allocated: V2G</t>
  </si>
  <si>
    <t>Allocated: EV</t>
  </si>
  <si>
    <t>Allocated: SIO</t>
  </si>
  <si>
    <t>Allocated:</t>
  </si>
  <si>
    <t>P002</t>
  </si>
  <si>
    <t>P003</t>
  </si>
  <si>
    <t>Allocated: LG</t>
  </si>
  <si>
    <t>P004</t>
  </si>
  <si>
    <t>Allocated: UCC</t>
  </si>
  <si>
    <t>Loading: C20m</t>
  </si>
  <si>
    <t>P005</t>
  </si>
  <si>
    <t>Loading: 2 Bars</t>
  </si>
  <si>
    <t>P006</t>
  </si>
  <si>
    <t>closed for</t>
  </si>
  <si>
    <t>construction</t>
  </si>
  <si>
    <t>P007</t>
  </si>
  <si>
    <t>Allocated: UCC Bar</t>
  </si>
  <si>
    <t>Loading: Dock</t>
  </si>
  <si>
    <t>P008</t>
  </si>
  <si>
    <t>P009</t>
  </si>
  <si>
    <t>P010</t>
  </si>
  <si>
    <t>P011</t>
  </si>
  <si>
    <t xml:space="preserve">affected by </t>
  </si>
  <si>
    <t>Allocated: CA</t>
  </si>
  <si>
    <t>P012</t>
  </si>
  <si>
    <t>P013</t>
  </si>
  <si>
    <t>P014</t>
  </si>
  <si>
    <t>Visitor: Parkmobile</t>
  </si>
  <si>
    <t>P015</t>
  </si>
  <si>
    <t>P016</t>
  </si>
  <si>
    <t>Allocated: SIO S</t>
  </si>
  <si>
    <t>P017</t>
  </si>
  <si>
    <t>temporarily</t>
  </si>
  <si>
    <t>closed</t>
  </si>
  <si>
    <t>Allocated: BA</t>
  </si>
  <si>
    <t>P021</t>
  </si>
  <si>
    <t>Allocated:SIO S</t>
  </si>
  <si>
    <t>P101</t>
  </si>
  <si>
    <t>P102</t>
  </si>
  <si>
    <t>Allocated: LJP</t>
  </si>
  <si>
    <t>Allocated: SCP</t>
  </si>
  <si>
    <t>Loading Dock (Catering)</t>
  </si>
  <si>
    <t>P103</t>
  </si>
  <si>
    <t>Regular As</t>
  </si>
  <si>
    <t>Temporarily Closed to Construction</t>
  </si>
  <si>
    <t>Reserved: ZIP</t>
  </si>
  <si>
    <t>P105</t>
  </si>
  <si>
    <t>Allocated: RIB</t>
  </si>
  <si>
    <t xml:space="preserve">Loading </t>
  </si>
  <si>
    <t>P106</t>
  </si>
  <si>
    <t>P107</t>
  </si>
  <si>
    <t>P108</t>
  </si>
  <si>
    <t>P110</t>
  </si>
  <si>
    <t>P111</t>
  </si>
  <si>
    <t>P112</t>
  </si>
  <si>
    <t>P113</t>
  </si>
  <si>
    <t>Visitor: PBP</t>
  </si>
  <si>
    <t>P114</t>
  </si>
  <si>
    <t>P116</t>
  </si>
  <si>
    <t>Allocated: CAT</t>
  </si>
  <si>
    <t>Allocated: HDH</t>
  </si>
  <si>
    <t>Allocated: V0796</t>
  </si>
  <si>
    <t>P201</t>
  </si>
  <si>
    <t>P202</t>
  </si>
  <si>
    <t>P203</t>
  </si>
  <si>
    <t>P204</t>
  </si>
  <si>
    <t>Allocated: HDM</t>
  </si>
  <si>
    <t>P205</t>
  </si>
  <si>
    <t>P206</t>
  </si>
  <si>
    <t>A Regular</t>
  </si>
  <si>
    <t>A 24/7</t>
  </si>
  <si>
    <t>3 hr A</t>
  </si>
  <si>
    <t>Allocated: FC</t>
  </si>
  <si>
    <t xml:space="preserve">Allocated: </t>
  </si>
  <si>
    <t>P302</t>
  </si>
  <si>
    <t>P303</t>
  </si>
  <si>
    <t>Visitor: PAD</t>
  </si>
  <si>
    <t>Allocated: 5 MIN V</t>
  </si>
  <si>
    <t>P304</t>
  </si>
  <si>
    <t>P306</t>
  </si>
  <si>
    <t>P308</t>
  </si>
  <si>
    <t>Allocated: EHS</t>
  </si>
  <si>
    <t>P309</t>
  </si>
  <si>
    <t>P310</t>
  </si>
  <si>
    <t>P341</t>
  </si>
  <si>
    <t>P342</t>
  </si>
  <si>
    <t>Allocated: HO</t>
  </si>
  <si>
    <t>Allocated: TO</t>
  </si>
  <si>
    <t>Allocated:V1G</t>
  </si>
  <si>
    <t>P343</t>
  </si>
  <si>
    <t>P344</t>
  </si>
  <si>
    <t>P345</t>
  </si>
  <si>
    <t>P346</t>
  </si>
  <si>
    <t>P347</t>
  </si>
  <si>
    <t>P351</t>
  </si>
  <si>
    <t>Allocated: RSM</t>
  </si>
  <si>
    <t>P352</t>
  </si>
  <si>
    <t>P353</t>
  </si>
  <si>
    <t>Allocated: FEV</t>
  </si>
  <si>
    <t>P354</t>
  </si>
  <si>
    <t>P357</t>
  </si>
  <si>
    <t>Reserved Total</t>
  </si>
  <si>
    <t>Reserved Spaces</t>
  </si>
  <si>
    <t>Reserved: V2G</t>
  </si>
  <si>
    <t>P358</t>
  </si>
  <si>
    <t>P359</t>
  </si>
  <si>
    <t>4`</t>
  </si>
  <si>
    <t>P371</t>
  </si>
  <si>
    <t>P372</t>
  </si>
  <si>
    <t>P373</t>
  </si>
  <si>
    <t>P374</t>
  </si>
  <si>
    <t>P375</t>
  </si>
  <si>
    <t>P376</t>
  </si>
  <si>
    <t>Allocated: ZIP</t>
  </si>
  <si>
    <t>P381</t>
  </si>
  <si>
    <t>Allocated: BCP</t>
  </si>
  <si>
    <t>Allocated: Office</t>
  </si>
  <si>
    <t>Allocated: ERV</t>
  </si>
  <si>
    <t>Allocated: PM</t>
  </si>
  <si>
    <t>Allocated: EVO</t>
  </si>
  <si>
    <t>P382</t>
  </si>
  <si>
    <t xml:space="preserve">Visitor: </t>
  </si>
  <si>
    <t>P383</t>
  </si>
  <si>
    <t>P384</t>
  </si>
  <si>
    <t>Allocated: SCRM</t>
  </si>
  <si>
    <t>P385</t>
  </si>
  <si>
    <t>Visitor: PBS</t>
  </si>
  <si>
    <t>P386</t>
  </si>
  <si>
    <t>P391</t>
  </si>
  <si>
    <t>Oversized B (Loading)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</si>
  <si>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</si>
  <si>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</si>
  <si>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</si>
  <si>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</si>
  <si>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</si>
  <si>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</si>
  <si>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</si>
  <si>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</si>
  <si>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A 24/7 Enforced</t>
  </si>
  <si>
    <t>P403</t>
  </si>
  <si>
    <t>Closed</t>
  </si>
  <si>
    <t>For</t>
  </si>
  <si>
    <t>Construction</t>
  </si>
  <si>
    <t>P404</t>
  </si>
  <si>
    <t>P405</t>
  </si>
  <si>
    <t>P406a</t>
  </si>
  <si>
    <t>P406b</t>
  </si>
  <si>
    <t>P407</t>
  </si>
  <si>
    <t>P408</t>
  </si>
  <si>
    <t>Allocated: RET</t>
  </si>
  <si>
    <t>P410</t>
  </si>
  <si>
    <t>Allocated: HM</t>
  </si>
  <si>
    <t>P411</t>
  </si>
  <si>
    <t>P412</t>
  </si>
  <si>
    <t>P413</t>
  </si>
  <si>
    <t>P414</t>
  </si>
  <si>
    <t>P415</t>
  </si>
  <si>
    <t>Allocated: SHAS</t>
  </si>
  <si>
    <t>Allocated: SHP</t>
  </si>
  <si>
    <t>P416</t>
  </si>
  <si>
    <t>P418</t>
  </si>
  <si>
    <t>P451</t>
  </si>
  <si>
    <t>Allocated: CUS</t>
  </si>
  <si>
    <t>Allocated: CUV</t>
  </si>
  <si>
    <t>P452</t>
  </si>
  <si>
    <t>Allocated: GPO</t>
  </si>
  <si>
    <t>Allocated: TOV</t>
  </si>
  <si>
    <t>UC Vehicle + Cart</t>
  </si>
  <si>
    <t>P453</t>
  </si>
  <si>
    <t>Allocated: V1G</t>
  </si>
  <si>
    <t>P454</t>
  </si>
  <si>
    <t>P455</t>
  </si>
  <si>
    <t>P456</t>
  </si>
  <si>
    <t>P501</t>
  </si>
  <si>
    <t>P502</t>
  </si>
  <si>
    <t xml:space="preserve">for </t>
  </si>
  <si>
    <t>P503</t>
  </si>
  <si>
    <t>A (4 hr)</t>
  </si>
  <si>
    <t>B (1 hr)</t>
  </si>
  <si>
    <t>P504</t>
  </si>
  <si>
    <t>P505</t>
  </si>
  <si>
    <t>P506</t>
  </si>
  <si>
    <t>P507</t>
  </si>
  <si>
    <t>Allocated: KPU</t>
  </si>
  <si>
    <t>Allocated: LS</t>
  </si>
  <si>
    <t>Allocated: PVIS</t>
  </si>
  <si>
    <t>Allocated: TMS</t>
  </si>
  <si>
    <t>Allocated: TMS Carts</t>
  </si>
  <si>
    <t>P508</t>
  </si>
  <si>
    <t>P509</t>
  </si>
  <si>
    <t>Loading Dock</t>
  </si>
  <si>
    <t>P510</t>
  </si>
  <si>
    <t>B spaces</t>
  </si>
  <si>
    <t>affected by</t>
  </si>
  <si>
    <t>P511</t>
  </si>
  <si>
    <t>CLOSED</t>
  </si>
  <si>
    <t>P601</t>
  </si>
  <si>
    <t>P602</t>
  </si>
  <si>
    <t>Reserved: FM</t>
  </si>
  <si>
    <t>Reserved: SPP</t>
  </si>
  <si>
    <t>P603</t>
  </si>
  <si>
    <t>Reserved: MRI</t>
  </si>
  <si>
    <t>P604</t>
  </si>
  <si>
    <t>P605</t>
  </si>
  <si>
    <t>P606</t>
  </si>
  <si>
    <t>P607</t>
  </si>
  <si>
    <t>Service Yard: Loading</t>
  </si>
  <si>
    <t>P608</t>
  </si>
  <si>
    <t>P610</t>
  </si>
  <si>
    <t>P651</t>
  </si>
  <si>
    <t>P652</t>
  </si>
  <si>
    <t>P653</t>
  </si>
  <si>
    <t>Allocated: PO</t>
  </si>
  <si>
    <t>P654</t>
  </si>
  <si>
    <t>P655</t>
  </si>
  <si>
    <t>P701</t>
  </si>
  <si>
    <t>P703</t>
  </si>
  <si>
    <t>Allocated: AMB</t>
  </si>
  <si>
    <t>Allocated: ROC</t>
  </si>
  <si>
    <t>`1</t>
  </si>
  <si>
    <t>P704</t>
  </si>
  <si>
    <t>P705</t>
  </si>
  <si>
    <t>P706</t>
  </si>
  <si>
    <t>Allocated: Preuss</t>
  </si>
  <si>
    <t>P721</t>
  </si>
  <si>
    <t>P722</t>
  </si>
  <si>
    <t>P723</t>
  </si>
  <si>
    <t>P731</t>
  </si>
  <si>
    <t>P732</t>
  </si>
  <si>
    <t>P733</t>
  </si>
  <si>
    <t>P734</t>
  </si>
  <si>
    <t>Allocated: ER</t>
  </si>
  <si>
    <t>Allocated: LJPV</t>
  </si>
  <si>
    <t>P735</t>
  </si>
  <si>
    <t>P741</t>
  </si>
  <si>
    <t>Allocated: APO</t>
  </si>
  <si>
    <t>P742</t>
  </si>
  <si>
    <t>P743</t>
  </si>
  <si>
    <t>P744</t>
  </si>
  <si>
    <t>P745</t>
  </si>
  <si>
    <t>Visitor: B2390</t>
  </si>
  <si>
    <t>Allocated:EV</t>
  </si>
  <si>
    <t>P746</t>
  </si>
  <si>
    <t>P747</t>
  </si>
  <si>
    <t>P751</t>
  </si>
  <si>
    <t>Allocated: VAL</t>
  </si>
  <si>
    <t>VALET</t>
  </si>
  <si>
    <t>Allocated: 30 MIN</t>
  </si>
  <si>
    <t>P752</t>
  </si>
  <si>
    <t>Allocated: POC</t>
  </si>
  <si>
    <t>P753</t>
  </si>
  <si>
    <t>P757</t>
  </si>
  <si>
    <t>P758</t>
  </si>
  <si>
    <t>P759</t>
  </si>
  <si>
    <t>Allocated: Physician A</t>
  </si>
  <si>
    <t>Allocated: ADRC</t>
  </si>
  <si>
    <t>Allocated: HDCRC</t>
  </si>
  <si>
    <t>Valet</t>
  </si>
  <si>
    <t>P760</t>
  </si>
  <si>
    <t>P761</t>
  </si>
  <si>
    <t>P762</t>
  </si>
  <si>
    <t>P782</t>
  </si>
  <si>
    <t>$3/Super Saver Lot</t>
  </si>
  <si>
    <t xml:space="preserve">Temporarily Closed for COVID Testing                       </t>
  </si>
  <si>
    <t>P784</t>
  </si>
  <si>
    <t>P785</t>
  </si>
  <si>
    <t>P791</t>
  </si>
  <si>
    <t>Allocated:2 Person Carpool</t>
  </si>
  <si>
    <t>P792</t>
  </si>
  <si>
    <t>P793</t>
  </si>
  <si>
    <t>P901</t>
  </si>
  <si>
    <t>P902</t>
  </si>
  <si>
    <t>P903</t>
  </si>
  <si>
    <t>P904</t>
  </si>
  <si>
    <t>P905</t>
  </si>
  <si>
    <t>P906</t>
  </si>
  <si>
    <t>P907</t>
  </si>
  <si>
    <t>Allocated: HPV</t>
  </si>
  <si>
    <t>P908</t>
  </si>
  <si>
    <t>P909</t>
  </si>
  <si>
    <t>P910</t>
  </si>
  <si>
    <t>P911</t>
  </si>
  <si>
    <t>P912</t>
  </si>
  <si>
    <t>P913</t>
  </si>
  <si>
    <t>P914</t>
  </si>
  <si>
    <t>P921</t>
  </si>
  <si>
    <t>P922</t>
  </si>
  <si>
    <t>Allocated: BPO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</si>
  <si>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</si>
  <si>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</si>
  <si>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</si>
  <si>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</si>
  <si>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</si>
  <si>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</si>
  <si>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</si>
  <si>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</si>
  <si>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</si>
  <si>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P941</t>
  </si>
  <si>
    <t>Allocated: 140P</t>
  </si>
  <si>
    <t>P942</t>
  </si>
  <si>
    <t>Allocated: 140V</t>
  </si>
  <si>
    <t>P952</t>
  </si>
  <si>
    <t>Allocated: LET</t>
  </si>
  <si>
    <t>P953</t>
  </si>
  <si>
    <t>P954</t>
  </si>
  <si>
    <t>Allocated: BFH</t>
  </si>
  <si>
    <t>P955</t>
  </si>
  <si>
    <t>Allocated: FL</t>
  </si>
  <si>
    <t>P956</t>
  </si>
  <si>
    <t>P957</t>
  </si>
  <si>
    <t>Allocated: AVRC</t>
  </si>
  <si>
    <t>Allocated: CTC</t>
  </si>
  <si>
    <t>Allocated: MV</t>
  </si>
  <si>
    <t>Allocated: Mail DO</t>
  </si>
  <si>
    <t>P958</t>
  </si>
  <si>
    <t>Reserved: STEMI</t>
  </si>
  <si>
    <t>P962</t>
  </si>
  <si>
    <t>P963</t>
  </si>
  <si>
    <t>P964</t>
  </si>
  <si>
    <t>for</t>
  </si>
  <si>
    <t>Covid</t>
  </si>
  <si>
    <t>Testing</t>
  </si>
  <si>
    <t>P965</t>
  </si>
  <si>
    <t>to</t>
  </si>
  <si>
    <t>Constrution</t>
  </si>
  <si>
    <t>By Structure</t>
  </si>
  <si>
    <t>Structure</t>
  </si>
  <si>
    <t>Hopkins</t>
  </si>
  <si>
    <t>(P341-7)</t>
  </si>
  <si>
    <t>Pangea</t>
  </si>
  <si>
    <t>(P371-6)</t>
  </si>
  <si>
    <t>(P381-2)</t>
  </si>
  <si>
    <t>(P391-4)</t>
  </si>
  <si>
    <t>Gilman</t>
  </si>
  <si>
    <t>(P451-6)</t>
  </si>
  <si>
    <t>Osler</t>
  </si>
  <si>
    <t>(P651-5)</t>
  </si>
  <si>
    <t>Campus Point</t>
  </si>
  <si>
    <t>(P721-2)</t>
  </si>
  <si>
    <t>(P731-5)</t>
  </si>
  <si>
    <t>Athena</t>
  </si>
  <si>
    <t>(P741-7)</t>
  </si>
  <si>
    <t>Nuevo West</t>
  </si>
  <si>
    <t>P791-3</t>
  </si>
  <si>
    <t>Arbor</t>
  </si>
  <si>
    <t>(P901-14)</t>
  </si>
  <si>
    <t>Bachman</t>
  </si>
  <si>
    <t>(P921-31)</t>
  </si>
  <si>
    <t>140 Arbor</t>
  </si>
  <si>
    <t>(P941-2)</t>
  </si>
  <si>
    <t>By Level</t>
  </si>
  <si>
    <t>Parking Spaces Closed</t>
  </si>
  <si>
    <t xml:space="preserve">P706 </t>
  </si>
  <si>
    <t>ALL</t>
  </si>
  <si>
    <t xml:space="preserve">ALL </t>
  </si>
  <si>
    <t xml:space="preserve">P782 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</si>
  <si>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</si>
  <si>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</si>
  <si>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</si>
  <si>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</si>
  <si>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</si>
  <si>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</si>
  <si>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</si>
  <si>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</si>
  <si>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</si>
  <si>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</si>
  <si>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Key to Locations, Areas, Neighborhoods, Lots, and Structures</t>
  </si>
  <si>
    <t>North Torrey Pines</t>
  </si>
  <si>
    <t>Structures</t>
  </si>
  <si>
    <t>Lots</t>
  </si>
  <si>
    <t>Glider Port</t>
  </si>
  <si>
    <t>P406</t>
  </si>
  <si>
    <t>P207</t>
  </si>
  <si>
    <t>P208</t>
  </si>
  <si>
    <t>P656</t>
  </si>
  <si>
    <t>TPC South</t>
  </si>
  <si>
    <t>Campus Pt East</t>
  </si>
  <si>
    <t>TPC North</t>
  </si>
  <si>
    <t>Campus Pt West</t>
  </si>
  <si>
    <t>(P791-3)</t>
  </si>
  <si>
    <t>University of California San Diego, Survey of Parking Space Inventory, Summer 2020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</si>
  <si>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</si>
  <si>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</si>
  <si>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</si>
  <si>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</si>
  <si>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</si>
  <si>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</si>
  <si>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</si>
  <si>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</si>
  <si>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</si>
  <si>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</si>
  <si>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</si>
  <si>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</si>
  <si>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</si>
  <si>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</si>
  <si>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</si>
  <si>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</si>
  <si>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</si>
  <si>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</si>
  <si>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</si>
  <si>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</si>
  <si>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</si>
  <si>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</si>
  <si>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</si>
  <si>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</si>
  <si>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</si>
  <si>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</si>
  <si>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</si>
  <si>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</si>
  <si>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</si>
  <si>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</si>
  <si>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</si>
  <si>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</si>
  <si>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</si>
  <si>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</si>
  <si>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</si>
  <si>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</si>
  <si>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</si>
  <si>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</si>
  <si>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</si>
  <si>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</si>
  <si>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</si>
  <si>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</si>
  <si>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</si>
  <si>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</si>
  <si>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</si>
  <si>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</si>
  <si>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</si>
  <si>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</si>
  <si>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</si>
  <si>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</si>
  <si>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</si>
  <si>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</si>
  <si>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</si>
  <si>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</si>
  <si>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</si>
  <si>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</si>
  <si>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</si>
  <si>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</si>
  <si>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</si>
  <si>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</si>
  <si>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</si>
  <si>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</si>
  <si>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</si>
  <si>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</si>
  <si>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</si>
  <si>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</si>
  <si>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</si>
  <si>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</si>
  <si>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</si>
  <si>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</si>
  <si>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</si>
  <si>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</si>
  <si>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</si>
  <si>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</si>
  <si>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</si>
  <si>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</si>
  <si>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</si>
  <si>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</si>
  <si>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</si>
  <si>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</si>
  <si>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</si>
  <si>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</si>
  <si>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</si>
  <si>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</si>
  <si>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</si>
  <si>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</si>
  <si>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</si>
  <si>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</si>
  <si>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</si>
  <si>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</si>
  <si>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</si>
  <si>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</si>
  <si>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</si>
  <si>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</si>
  <si>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</si>
  <si>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</si>
  <si>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</si>
  <si>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</si>
  <si>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</si>
  <si>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</si>
  <si>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</si>
  <si>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</si>
  <si>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</si>
  <si>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</si>
  <si>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</si>
  <si>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</si>
  <si>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</si>
  <si>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</si>
  <si>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</si>
  <si>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</si>
  <si>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</si>
  <si>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</si>
  <si>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</si>
  <si>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</si>
  <si>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</si>
  <si>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</si>
  <si>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</si>
  <si>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</si>
  <si>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</si>
  <si>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</si>
  <si>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</si>
  <si>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</si>
  <si>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</si>
  <si>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</si>
  <si>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</si>
  <si>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</si>
  <si>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</si>
  <si>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</si>
  <si>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</si>
  <si>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</si>
  <si>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</si>
  <si>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</si>
  <si>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</si>
  <si>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</si>
  <si>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</si>
  <si>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</si>
  <si>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VP</t>
  </si>
  <si>
    <t>Vanpool Vehicle</t>
  </si>
  <si>
    <t>ZIP</t>
  </si>
  <si>
    <t>Zipcar</t>
  </si>
  <si>
    <t>University of California San Diego Survey of Parking Space Inventory, Summer 2020</t>
  </si>
  <si>
    <t>Schedule</t>
  </si>
  <si>
    <t>Zone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</si>
  <si>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</si>
  <si>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</si>
  <si>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</si>
  <si>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</si>
  <si>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</si>
  <si>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</si>
  <si>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</si>
  <si>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</si>
  <si>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</si>
  <si>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</si>
  <si>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</si>
  <si>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</si>
  <si>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Monday</t>
  </si>
  <si>
    <t>June 29</t>
  </si>
  <si>
    <t>July 6</t>
  </si>
  <si>
    <t>July 13</t>
  </si>
  <si>
    <t>July 20</t>
  </si>
  <si>
    <t>July 27</t>
  </si>
  <si>
    <t>August 3</t>
  </si>
  <si>
    <t>August 10</t>
  </si>
  <si>
    <t>August 17</t>
  </si>
  <si>
    <t>August 24</t>
  </si>
  <si>
    <t>August 31</t>
  </si>
  <si>
    <t>September 7</t>
  </si>
  <si>
    <t>September 14</t>
  </si>
  <si>
    <t>SIO South</t>
  </si>
  <si>
    <t>SIO West</t>
  </si>
  <si>
    <t>SIO Hillside</t>
  </si>
  <si>
    <t>Theatre District</t>
  </si>
  <si>
    <t>Revelle College</t>
  </si>
  <si>
    <t>Muir College</t>
  </si>
  <si>
    <t>Marshall College</t>
  </si>
  <si>
    <t>North Campus</t>
  </si>
  <si>
    <t>Roosevelt College</t>
  </si>
  <si>
    <t>North Torrey Pines and Glider Port</t>
  </si>
  <si>
    <t>Warren College</t>
  </si>
  <si>
    <t>Campus Services Complex</t>
  </si>
  <si>
    <t>Sixth College</t>
  </si>
  <si>
    <t>University Center</t>
  </si>
  <si>
    <t>School of Medicine</t>
  </si>
  <si>
    <t>East Campus Academic</t>
  </si>
  <si>
    <t>Science Research Park</t>
  </si>
  <si>
    <t>Health Sciences 1 (A)</t>
  </si>
  <si>
    <t>Health Sciences 2 (B)</t>
  </si>
  <si>
    <t>Medical Center Hillcrest 1 (a)</t>
  </si>
  <si>
    <t>Medical Center Hillcrest 2 (b)</t>
  </si>
  <si>
    <t>Osler/Nuevo West</t>
  </si>
  <si>
    <t>Wednesday August 26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</si>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</sst>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dddd\ mmm\ d"/>
    <numFmt numFmtId="166" formatCode="dddd\ mmmm\ d"/>
  </numFmts>
  <fonts count="15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10"/>
      <color rgb="FF000000"/>
      <name val="Calibri"/>
    </font>
    <font>
      <sz val="10"/>
      <color rgb="FF003366"/>
      <name val="Calibri"/>
    </font>
    <font>
      <sz val="10"/>
      <color rgb="FF003366"/>
      <name val="Calibri"/>
    </font>
    <font>
      <sz val="10"/>
      <color rgb="FF003366"/>
      <name val="Open Sans"/>
    </font>
    <font>
      <sz val="8"/>
      <color rgb="FF000000"/>
      <name val="Open Sans"/>
    </font>
    <font>
      <sz val="10"/>
      <color rgb="FF003366"/>
      <name val="Arial"/>
    </font>
    <font>
      <sz val="7"/>
      <color rgb="FF003366"/>
      <name val="Arial"/>
    </font>
    <font>
      <b/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164" fontId="0" fillId="0" borderId="0"/>
  </cellStyleXfs>
  <cellXfs count="371">
    <xf numFmtId="164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164" fontId="2" fillId="0" borderId="18" xfId="0" applyNumberFormat="1" applyFont="1" applyBorder="1" applyAlignment="1">
      <alignment vertical="center"/>
    </xf>
    <xf numFmtId="164" fontId="2" fillId="0" borderId="19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9" fontId="2" fillId="0" borderId="21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164" fontId="2" fillId="0" borderId="22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vertical="center"/>
    </xf>
    <xf numFmtId="164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3" fillId="2" borderId="26" xfId="0" applyNumberFormat="1" applyFont="1" applyFill="1" applyBorder="1" applyAlignment="1">
      <alignment vertical="center"/>
    </xf>
    <xf numFmtId="164" fontId="3" fillId="2" borderId="26" xfId="0" applyNumberFormat="1" applyFont="1" applyFill="1" applyBorder="1" applyAlignment="1">
      <alignment vertical="center"/>
    </xf>
    <xf numFmtId="164" fontId="3" fillId="2" borderId="27" xfId="0" applyNumberFormat="1" applyFont="1" applyFill="1" applyBorder="1" applyAlignment="1">
      <alignment vertical="center"/>
    </xf>
    <xf numFmtId="164" fontId="3" fillId="2" borderId="28" xfId="0" applyNumberFormat="1" applyFont="1" applyFill="1" applyBorder="1" applyAlignment="1">
      <alignment vertical="center"/>
    </xf>
    <xf numFmtId="164" fontId="3" fillId="2" borderId="29" xfId="0" applyNumberFormat="1" applyFont="1" applyFill="1" applyBorder="1" applyAlignment="1">
      <alignment vertical="center"/>
    </xf>
    <xf numFmtId="164" fontId="3" fillId="2" borderId="30" xfId="0" applyNumberFormat="1" applyFont="1" applyFill="1" applyBorder="1" applyAlignment="1">
      <alignment vertical="center"/>
    </xf>
    <xf numFmtId="164" fontId="3" fillId="2" borderId="31" xfId="0" applyNumberFormat="1" applyFont="1" applyFill="1" applyBorder="1" applyAlignment="1">
      <alignment vertical="center"/>
    </xf>
    <xf numFmtId="9" fontId="3" fillId="2" borderId="32" xfId="0" applyNumberFormat="1" applyFont="1" applyFill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22" xfId="0" applyNumberFormat="1" applyFont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164" fontId="3" fillId="2" borderId="13" xfId="0" applyNumberFormat="1" applyFont="1" applyFill="1" applyBorder="1" applyAlignment="1">
      <alignment vertical="center"/>
    </xf>
    <xf numFmtId="164" fontId="3" fillId="2" borderId="14" xfId="0" applyNumberFormat="1" applyFont="1" applyFill="1" applyBorder="1" applyAlignment="1">
      <alignment vertical="center"/>
    </xf>
    <xf numFmtId="164" fontId="3" fillId="2" borderId="15" xfId="0" applyNumberFormat="1" applyFont="1" applyFill="1" applyBorder="1" applyAlignment="1">
      <alignment vertical="center"/>
    </xf>
    <xf numFmtId="164" fontId="2" fillId="0" borderId="33" xfId="0" applyNumberFormat="1" applyFont="1" applyBorder="1" applyAlignment="1">
      <alignment horizontal="right" vertical="center"/>
    </xf>
    <xf numFmtId="164" fontId="2" fillId="0" borderId="19" xfId="0" applyNumberFormat="1" applyFont="1" applyBorder="1" applyAlignment="1">
      <alignment horizontal="right" vertical="center"/>
    </xf>
    <xf numFmtId="164" fontId="2" fillId="0" borderId="18" xfId="0" applyNumberFormat="1" applyFont="1" applyBorder="1" applyAlignment="1">
      <alignment horizontal="right" vertical="center"/>
    </xf>
    <xf numFmtId="9" fontId="2" fillId="0" borderId="20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17" xfId="0" applyNumberFormat="1" applyFont="1" applyBorder="1" applyAlignment="1">
      <alignment horizontal="right" vertical="center"/>
    </xf>
    <xf numFmtId="9" fontId="2" fillId="0" borderId="21" xfId="0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vertical="center"/>
    </xf>
    <xf numFmtId="9" fontId="5" fillId="0" borderId="21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164" fontId="2" fillId="0" borderId="25" xfId="0" applyNumberFormat="1" applyFont="1" applyBorder="1" applyAlignment="1">
      <alignment horizontal="right" vertical="center"/>
    </xf>
    <xf numFmtId="164" fontId="5" fillId="0" borderId="22" xfId="0" applyNumberFormat="1" applyFont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164" fontId="3" fillId="2" borderId="25" xfId="0" applyNumberFormat="1" applyFont="1" applyFill="1" applyBorder="1" applyAlignment="1">
      <alignment horizontal="right" vertical="center"/>
    </xf>
    <xf numFmtId="164" fontId="3" fillId="2" borderId="3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30" xfId="0" applyNumberFormat="1" applyFont="1" applyFill="1" applyBorder="1" applyAlignment="1">
      <alignment horizontal="right" vertical="center"/>
    </xf>
    <xf numFmtId="9" fontId="3" fillId="2" borderId="4" xfId="0" applyNumberFormat="1" applyFont="1" applyFill="1" applyBorder="1" applyAlignment="1">
      <alignment horizontal="right" vertical="center"/>
    </xf>
    <xf numFmtId="0" fontId="2" fillId="0" borderId="33" xfId="0" applyNumberFormat="1" applyFont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0" fontId="3" fillId="2" borderId="37" xfId="0" applyNumberFormat="1" applyFon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21" xfId="0" applyNumberFormat="1" applyFont="1" applyFill="1" applyBorder="1" applyAlignment="1">
      <alignment vertical="center"/>
    </xf>
    <xf numFmtId="9" fontId="2" fillId="3" borderId="21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3" fillId="2" borderId="13" xfId="0" applyNumberFormat="1" applyFont="1" applyFill="1" applyBorder="1" applyAlignment="1">
      <alignment vertical="center"/>
    </xf>
    <xf numFmtId="0" fontId="3" fillId="2" borderId="14" xfId="0" applyNumberFormat="1" applyFont="1" applyFill="1" applyBorder="1" applyAlignment="1">
      <alignment vertical="center"/>
    </xf>
    <xf numFmtId="0" fontId="3" fillId="2" borderId="15" xfId="0" applyNumberFormat="1" applyFont="1" applyFill="1" applyBorder="1" applyAlignment="1">
      <alignment vertical="center"/>
    </xf>
    <xf numFmtId="164" fontId="2" fillId="0" borderId="33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horizontal="right" vertical="center"/>
    </xf>
    <xf numFmtId="164" fontId="2" fillId="0" borderId="21" xfId="0" applyNumberFormat="1" applyFont="1" applyBorder="1" applyAlignment="1">
      <alignment horizontal="right" vertical="center"/>
    </xf>
    <xf numFmtId="164" fontId="5" fillId="0" borderId="21" xfId="0" applyNumberFormat="1" applyFont="1" applyBorder="1" applyAlignment="1">
      <alignment vertical="center"/>
    </xf>
    <xf numFmtId="164" fontId="2" fillId="0" borderId="25" xfId="0" applyNumberFormat="1" applyFont="1" applyBorder="1" applyAlignment="1">
      <alignment vertical="center"/>
    </xf>
    <xf numFmtId="164" fontId="3" fillId="2" borderId="22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right" vertical="center"/>
    </xf>
    <xf numFmtId="0" fontId="3" fillId="2" borderId="9" xfId="0" applyNumberFormat="1" applyFont="1" applyFill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164" fontId="3" fillId="2" borderId="32" xfId="0" applyNumberFormat="1" applyFont="1" applyFill="1" applyBorder="1" applyAlignment="1">
      <alignment vertical="center"/>
    </xf>
    <xf numFmtId="9" fontId="2" fillId="0" borderId="21" xfId="0" applyNumberFormat="1" applyFont="1" applyBorder="1" applyAlignment="1">
      <alignment vertical="center"/>
    </xf>
    <xf numFmtId="164" fontId="5" fillId="0" borderId="17" xfId="0" applyNumberFormat="1" applyFont="1" applyBorder="1" applyAlignment="1">
      <alignment vertical="center"/>
    </xf>
    <xf numFmtId="164" fontId="3" fillId="2" borderId="26" xfId="0" applyNumberFormat="1" applyFont="1" applyFill="1" applyBorder="1" applyAlignment="1">
      <alignment horizontal="right" vertical="center"/>
    </xf>
    <xf numFmtId="9" fontId="2" fillId="0" borderId="20" xfId="0" applyNumberFormat="1" applyFont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2" fillId="4" borderId="35" xfId="0" applyNumberFormat="1" applyFont="1" applyFill="1" applyBorder="1" applyAlignment="1">
      <alignment vertical="center"/>
    </xf>
    <xf numFmtId="0" fontId="2" fillId="4" borderId="36" xfId="0" applyNumberFormat="1" applyFont="1" applyFill="1" applyBorder="1" applyAlignment="1">
      <alignment vertical="center"/>
    </xf>
    <xf numFmtId="0" fontId="2" fillId="4" borderId="37" xfId="0" applyNumberFormat="1" applyFont="1" applyFill="1" applyBorder="1" applyAlignment="1">
      <alignment vertical="center"/>
    </xf>
    <xf numFmtId="9" fontId="2" fillId="4" borderId="37" xfId="0" applyNumberFormat="1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8" xfId="0" applyNumberFormat="1" applyFont="1" applyFill="1" applyBorder="1" applyAlignment="1">
      <alignment vertical="center"/>
    </xf>
    <xf numFmtId="9" fontId="2" fillId="4" borderId="8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21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4" borderId="33" xfId="0" applyNumberFormat="1" applyFont="1" applyFill="1" applyBorder="1" applyAlignment="1">
      <alignment vertical="center"/>
    </xf>
    <xf numFmtId="0" fontId="2" fillId="4" borderId="16" xfId="0" applyNumberFormat="1" applyFont="1" applyFill="1" applyBorder="1" applyAlignment="1">
      <alignment vertical="center"/>
    </xf>
    <xf numFmtId="0" fontId="2" fillId="4" borderId="18" xfId="0" applyNumberFormat="1" applyFont="1" applyFill="1" applyBorder="1" applyAlignment="1">
      <alignment vertical="center"/>
    </xf>
    <xf numFmtId="0" fontId="2" fillId="4" borderId="19" xfId="0" applyNumberFormat="1" applyFont="1" applyFill="1" applyBorder="1" applyAlignment="1">
      <alignment vertical="center"/>
    </xf>
    <xf numFmtId="0" fontId="2" fillId="4" borderId="20" xfId="0" applyNumberFormat="1" applyFont="1" applyFill="1" applyBorder="1" applyAlignment="1">
      <alignment vertical="center"/>
    </xf>
    <xf numFmtId="9" fontId="2" fillId="4" borderId="20" xfId="0" applyNumberFormat="1" applyFont="1" applyFill="1" applyBorder="1" applyAlignment="1">
      <alignment vertical="center"/>
    </xf>
    <xf numFmtId="0" fontId="2" fillId="4" borderId="17" xfId="0" applyNumberFormat="1" applyFont="1" applyFill="1" applyBorder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2" fillId="4" borderId="21" xfId="0" applyNumberFormat="1" applyFont="1" applyFill="1" applyBorder="1" applyAlignment="1">
      <alignment vertical="center"/>
    </xf>
    <xf numFmtId="9" fontId="2" fillId="4" borderId="2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horizontal="right" vertical="center"/>
    </xf>
    <xf numFmtId="164" fontId="2" fillId="4" borderId="21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Alignment="1">
      <alignment vertical="center"/>
    </xf>
    <xf numFmtId="164" fontId="6" fillId="4" borderId="21" xfId="0" applyNumberFormat="1" applyFont="1" applyFill="1" applyBorder="1" applyAlignment="1">
      <alignment vertical="center"/>
    </xf>
    <xf numFmtId="0" fontId="2" fillId="0" borderId="16" xfId="0" applyNumberFormat="1" applyFont="1" applyBorder="1" applyAlignment="1">
      <alignment horizontal="left" vertical="center"/>
    </xf>
    <xf numFmtId="164" fontId="2" fillId="0" borderId="38" xfId="0" applyNumberFormat="1" applyFont="1" applyBorder="1" applyAlignment="1">
      <alignment horizontal="right" vertical="center"/>
    </xf>
    <xf numFmtId="164" fontId="2" fillId="0" borderId="39" xfId="0" applyNumberFormat="1" applyFont="1" applyBorder="1" applyAlignment="1">
      <alignment horizontal="right" vertical="center"/>
    </xf>
    <xf numFmtId="0" fontId="2" fillId="0" borderId="40" xfId="0" applyNumberFormat="1" applyFont="1" applyBorder="1" applyAlignment="1">
      <alignment vertical="center"/>
    </xf>
    <xf numFmtId="0" fontId="2" fillId="0" borderId="38" xfId="0" applyNumberFormat="1" applyFont="1" applyBorder="1" applyAlignment="1">
      <alignment vertical="center"/>
    </xf>
    <xf numFmtId="9" fontId="2" fillId="0" borderId="39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21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2" fillId="4" borderId="0" xfId="0" applyNumberFormat="1" applyFont="1" applyFill="1" applyAlignment="1">
      <alignment vertical="center"/>
    </xf>
    <xf numFmtId="164" fontId="2" fillId="0" borderId="23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164" fontId="6" fillId="0" borderId="16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0" fontId="2" fillId="0" borderId="21" xfId="0" applyNumberFormat="1" applyFont="1" applyBorder="1" applyAlignment="1">
      <alignment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164" fontId="2" fillId="0" borderId="17" xfId="0" applyNumberFormat="1" applyFont="1" applyBorder="1" applyAlignment="1">
      <alignment horizontal="right" vertical="center"/>
    </xf>
    <xf numFmtId="164" fontId="2" fillId="0" borderId="17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5" borderId="7" xfId="0" applyNumberFormat="1" applyFont="1" applyFill="1" applyBorder="1" applyAlignment="1">
      <alignment vertical="center"/>
    </xf>
    <xf numFmtId="164" fontId="2" fillId="0" borderId="41" xfId="0" applyNumberFormat="1" applyFont="1" applyBorder="1" applyAlignment="1">
      <alignment vertical="center"/>
    </xf>
    <xf numFmtId="164" fontId="2" fillId="0" borderId="42" xfId="0" applyNumberFormat="1" applyFont="1" applyBorder="1" applyAlignment="1">
      <alignment horizontal="right" vertical="center"/>
    </xf>
    <xf numFmtId="164" fontId="2" fillId="0" borderId="43" xfId="0" applyNumberFormat="1" applyFont="1" applyBorder="1" applyAlignment="1">
      <alignment horizontal="right" vertical="center"/>
    </xf>
    <xf numFmtId="164" fontId="2" fillId="0" borderId="40" xfId="0" applyNumberFormat="1" applyFont="1" applyBorder="1" applyAlignment="1">
      <alignment vertical="center"/>
    </xf>
    <xf numFmtId="164" fontId="2" fillId="0" borderId="38" xfId="0" applyNumberFormat="1" applyFont="1" applyBorder="1" applyAlignment="1">
      <alignment vertical="center"/>
    </xf>
    <xf numFmtId="164" fontId="2" fillId="0" borderId="41" xfId="0" applyNumberFormat="1" applyFont="1" applyBorder="1" applyAlignment="1">
      <alignment horizontal="right" vertical="center"/>
    </xf>
    <xf numFmtId="164" fontId="2" fillId="0" borderId="43" xfId="0" applyNumberFormat="1" applyFont="1" applyBorder="1" applyAlignment="1">
      <alignment vertical="center"/>
    </xf>
    <xf numFmtId="164" fontId="2" fillId="0" borderId="44" xfId="0" applyNumberFormat="1" applyFont="1" applyBorder="1" applyAlignment="1">
      <alignment vertical="center"/>
    </xf>
    <xf numFmtId="164" fontId="2" fillId="0" borderId="43" xfId="0" applyNumberFormat="1" applyFont="1" applyBorder="1" applyAlignment="1">
      <alignment vertical="center"/>
    </xf>
    <xf numFmtId="9" fontId="2" fillId="0" borderId="42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7" fillId="0" borderId="21" xfId="0" applyNumberFormat="1" applyFont="1" applyBorder="1" applyAlignment="1">
      <alignment vertical="center"/>
    </xf>
    <xf numFmtId="0" fontId="2" fillId="0" borderId="45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horizontal="right" vertical="center"/>
    </xf>
    <xf numFmtId="0" fontId="2" fillId="4" borderId="16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18" xfId="0" applyNumberFormat="1" applyFont="1" applyBorder="1" applyAlignment="1">
      <alignment horizontal="right" vertical="center"/>
    </xf>
    <xf numFmtId="164" fontId="8" fillId="0" borderId="0" xfId="0" applyNumberFormat="1" applyFont="1" applyAlignment="1">
      <alignment vertical="center"/>
    </xf>
    <xf numFmtId="0" fontId="2" fillId="0" borderId="33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1" xfId="0" applyNumberFormat="1" applyFont="1" applyBorder="1" applyAlignment="1">
      <alignment vertical="center"/>
    </xf>
    <xf numFmtId="9" fontId="2" fillId="0" borderId="21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1" xfId="0" applyNumberFormat="1" applyFont="1" applyBorder="1" applyAlignment="1">
      <alignment vertical="center"/>
    </xf>
    <xf numFmtId="9" fontId="3" fillId="2" borderId="37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3" borderId="17" xfId="0" applyNumberFormat="1" applyFont="1" applyFill="1" applyBorder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9" fontId="2" fillId="0" borderId="24" xfId="0" applyNumberFormat="1" applyFont="1" applyBorder="1" applyAlignment="1">
      <alignment vertical="center"/>
    </xf>
    <xf numFmtId="164" fontId="3" fillId="2" borderId="15" xfId="0" applyNumberFormat="1" applyFont="1" applyFill="1" applyBorder="1" applyAlignment="1">
      <alignment horizontal="right" vertical="center"/>
    </xf>
    <xf numFmtId="164" fontId="3" fillId="2" borderId="14" xfId="0" applyNumberFormat="1" applyFont="1" applyFill="1" applyBorder="1" applyAlignment="1">
      <alignment horizontal="right" vertical="center"/>
    </xf>
    <xf numFmtId="9" fontId="3" fillId="2" borderId="15" xfId="0" applyNumberFormat="1" applyFont="1" applyFill="1" applyBorder="1" applyAlignment="1">
      <alignment horizontal="right" vertical="center"/>
    </xf>
    <xf numFmtId="164" fontId="2" fillId="4" borderId="16" xfId="0" applyNumberFormat="1" applyFont="1" applyFill="1" applyBorder="1" applyAlignment="1">
      <alignment vertical="center"/>
    </xf>
    <xf numFmtId="164" fontId="2" fillId="4" borderId="2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2" fillId="4" borderId="16" xfId="0" applyNumberFormat="1" applyFont="1" applyFill="1" applyBorder="1" applyAlignment="1">
      <alignment vertical="center"/>
    </xf>
    <xf numFmtId="9" fontId="2" fillId="4" borderId="21" xfId="0" applyNumberFormat="1" applyFont="1" applyFill="1" applyBorder="1" applyAlignment="1">
      <alignment horizontal="right" vertical="center"/>
    </xf>
    <xf numFmtId="164" fontId="2" fillId="4" borderId="21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Alignment="1">
      <alignment horizontal="right" vertical="center"/>
    </xf>
    <xf numFmtId="164" fontId="2" fillId="4" borderId="24" xfId="0" applyNumberFormat="1" applyFont="1" applyFill="1" applyBorder="1" applyAlignment="1">
      <alignment vertical="center"/>
    </xf>
    <xf numFmtId="164" fontId="2" fillId="4" borderId="24" xfId="0" applyNumberFormat="1" applyFont="1" applyFill="1" applyBorder="1" applyAlignment="1">
      <alignment horizontal="right" vertical="center"/>
    </xf>
    <xf numFmtId="164" fontId="2" fillId="4" borderId="23" xfId="0" applyNumberFormat="1" applyFont="1" applyFill="1" applyBorder="1" applyAlignment="1">
      <alignment horizontal="right" vertical="center"/>
    </xf>
    <xf numFmtId="164" fontId="2" fillId="4" borderId="23" xfId="0" applyNumberFormat="1" applyFont="1" applyFill="1" applyBorder="1" applyAlignment="1">
      <alignment horizontal="right" vertical="center"/>
    </xf>
    <xf numFmtId="164" fontId="2" fillId="4" borderId="24" xfId="0" applyNumberFormat="1" applyFont="1" applyFill="1" applyBorder="1" applyAlignment="1">
      <alignment horizontal="right" vertical="center"/>
    </xf>
    <xf numFmtId="9" fontId="2" fillId="4" borderId="24" xfId="0" applyNumberFormat="1" applyFont="1" applyFill="1" applyBorder="1" applyAlignment="1">
      <alignment horizontal="right" vertical="center"/>
    </xf>
    <xf numFmtId="164" fontId="2" fillId="0" borderId="21" xfId="0" applyNumberFormat="1" applyFont="1" applyBorder="1" applyAlignment="1">
      <alignment vertical="center"/>
    </xf>
    <xf numFmtId="9" fontId="2" fillId="0" borderId="24" xfId="0" applyNumberFormat="1" applyFont="1" applyBorder="1" applyAlignment="1">
      <alignment horizontal="right" vertical="center"/>
    </xf>
    <xf numFmtId="0" fontId="2" fillId="0" borderId="16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164" fontId="2" fillId="4" borderId="5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7" xfId="0" applyNumberFormat="1" applyFont="1" applyFill="1" applyBorder="1" applyAlignment="1">
      <alignment vertical="center"/>
    </xf>
    <xf numFmtId="164" fontId="2" fillId="4" borderId="15" xfId="0" applyNumberFormat="1" applyFont="1" applyFill="1" applyBorder="1" applyAlignment="1">
      <alignment vertical="center"/>
    </xf>
    <xf numFmtId="164" fontId="2" fillId="4" borderId="14" xfId="0" applyNumberFormat="1" applyFont="1" applyFill="1" applyBorder="1" applyAlignment="1">
      <alignment vertical="center"/>
    </xf>
    <xf numFmtId="9" fontId="2" fillId="4" borderId="15" xfId="0" applyNumberFormat="1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vertical="center"/>
    </xf>
    <xf numFmtId="164" fontId="2" fillId="2" borderId="15" xfId="0" applyNumberFormat="1" applyFont="1" applyFill="1" applyBorder="1" applyAlignment="1">
      <alignment vertical="center"/>
    </xf>
    <xf numFmtId="9" fontId="2" fillId="2" borderId="15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41" xfId="0" applyNumberFormat="1" applyFont="1" applyBorder="1" applyAlignment="1">
      <alignment vertical="center"/>
    </xf>
    <xf numFmtId="0" fontId="3" fillId="2" borderId="46" xfId="0" applyNumberFormat="1" applyFont="1" applyFill="1" applyBorder="1" applyAlignment="1">
      <alignment vertical="center"/>
    </xf>
    <xf numFmtId="0" fontId="3" fillId="2" borderId="47" xfId="0" applyNumberFormat="1" applyFont="1" applyFill="1" applyBorder="1" applyAlignment="1">
      <alignment vertical="center"/>
    </xf>
    <xf numFmtId="0" fontId="3" fillId="2" borderId="48" xfId="0" applyNumberFormat="1" applyFont="1" applyFill="1" applyBorder="1" applyAlignment="1">
      <alignment vertical="center"/>
    </xf>
    <xf numFmtId="0" fontId="3" fillId="2" borderId="49" xfId="0" applyNumberFormat="1" applyFont="1" applyFill="1" applyBorder="1" applyAlignment="1">
      <alignment vertical="center"/>
    </xf>
    <xf numFmtId="9" fontId="3" fillId="2" borderId="49" xfId="0" applyNumberFormat="1" applyFont="1" applyFill="1" applyBorder="1" applyAlignment="1">
      <alignment vertical="center"/>
    </xf>
    <xf numFmtId="0" fontId="3" fillId="2" borderId="50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1" xfId="0" applyNumberFormat="1" applyFont="1" applyFill="1" applyBorder="1" applyAlignment="1">
      <alignment vertical="center"/>
    </xf>
    <xf numFmtId="0" fontId="3" fillId="2" borderId="52" xfId="0" applyNumberFormat="1" applyFont="1" applyFill="1" applyBorder="1" applyAlignment="1">
      <alignment vertical="center"/>
    </xf>
    <xf numFmtId="0" fontId="3" fillId="2" borderId="18" xfId="0" applyNumberFormat="1" applyFont="1" applyFill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2" borderId="34" xfId="0" applyNumberFormat="1" applyFont="1" applyFill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3" fillId="2" borderId="53" xfId="0" applyNumberFormat="1" applyFont="1" applyFill="1" applyBorder="1" applyAlignment="1">
      <alignment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35" xfId="0" applyNumberFormat="1" applyFont="1" applyFill="1" applyBorder="1" applyAlignment="1">
      <alignment horizontal="center" vertical="center"/>
    </xf>
    <xf numFmtId="0" fontId="2" fillId="5" borderId="36" xfId="0" applyNumberFormat="1" applyFont="1" applyFill="1" applyBorder="1" applyAlignment="1">
      <alignment horizontal="center" vertical="center"/>
    </xf>
    <xf numFmtId="0" fontId="2" fillId="5" borderId="37" xfId="0" applyNumberFormat="1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2" fillId="5" borderId="11" xfId="0" applyNumberFormat="1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2" fillId="5" borderId="54" xfId="0" applyNumberFormat="1" applyFont="1" applyFill="1" applyBorder="1" applyAlignment="1">
      <alignment horizontal="center" vertical="center"/>
    </xf>
    <xf numFmtId="0" fontId="2" fillId="5" borderId="17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5" borderId="21" xfId="0" applyNumberFormat="1" applyFont="1" applyFill="1" applyBorder="1" applyAlignment="1">
      <alignment horizontal="center" vertical="center"/>
    </xf>
    <xf numFmtId="0" fontId="2" fillId="5" borderId="55" xfId="0" applyNumberFormat="1" applyFont="1" applyFill="1" applyBorder="1" applyAlignment="1">
      <alignment horizontal="center" vertical="center"/>
    </xf>
    <xf numFmtId="0" fontId="2" fillId="5" borderId="56" xfId="0" applyNumberFormat="1" applyFont="1" applyFill="1" applyBorder="1" applyAlignment="1">
      <alignment horizontal="center" vertical="center"/>
    </xf>
    <xf numFmtId="0" fontId="2" fillId="5" borderId="57" xfId="0" applyNumberFormat="1" applyFont="1" applyFill="1" applyBorder="1" applyAlignment="1">
      <alignment horizontal="center" vertical="center"/>
    </xf>
    <xf numFmtId="0" fontId="2" fillId="5" borderId="58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59" xfId="0" applyNumberFormat="1" applyFont="1" applyFill="1" applyBorder="1" applyAlignment="1">
      <alignment horizontal="center" vertical="center"/>
    </xf>
    <xf numFmtId="0" fontId="2" fillId="5" borderId="17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5" borderId="21" xfId="0" applyNumberFormat="1" applyFont="1" applyFill="1" applyBorder="1" applyAlignment="1">
      <alignment horizontal="center" vertical="center"/>
    </xf>
    <xf numFmtId="0" fontId="2" fillId="5" borderId="59" xfId="0" applyNumberFormat="1" applyFont="1" applyFill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3" fillId="2" borderId="60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vertical="center"/>
    </xf>
    <xf numFmtId="0" fontId="11" fillId="0" borderId="18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" vertical="center"/>
    </xf>
    <xf numFmtId="0" fontId="11" fillId="0" borderId="33" xfId="0" applyNumberFormat="1" applyFont="1" applyBorder="1" applyAlignment="1">
      <alignment horizontal="center" vertical="center"/>
    </xf>
    <xf numFmtId="0" fontId="11" fillId="0" borderId="16" xfId="0" applyNumberFormat="1" applyFont="1" applyBorder="1" applyAlignment="1">
      <alignment horizontal="center" vertical="center"/>
    </xf>
    <xf numFmtId="0" fontId="11" fillId="0" borderId="25" xfId="0" applyNumberFormat="1" applyFont="1" applyBorder="1" applyAlignment="1">
      <alignment horizontal="center" vertical="center"/>
    </xf>
    <xf numFmtId="0" fontId="11" fillId="0" borderId="33" xfId="0" applyNumberFormat="1" applyFont="1" applyBorder="1" applyAlignment="1">
      <alignment vertical="center"/>
    </xf>
    <xf numFmtId="0" fontId="11" fillId="0" borderId="16" xfId="0" applyNumberFormat="1" applyFont="1" applyBorder="1" applyAlignment="1">
      <alignment vertical="center"/>
    </xf>
    <xf numFmtId="0" fontId="11" fillId="0" borderId="17" xfId="0" applyNumberFormat="1" applyFont="1" applyBorder="1" applyAlignment="1">
      <alignment vertical="center"/>
    </xf>
    <xf numFmtId="0" fontId="11" fillId="0" borderId="21" xfId="0" applyNumberFormat="1" applyFont="1" applyBorder="1" applyAlignment="1">
      <alignment vertical="center"/>
    </xf>
    <xf numFmtId="0" fontId="11" fillId="0" borderId="25" xfId="0" applyNumberFormat="1" applyFont="1" applyBorder="1" applyAlignment="1">
      <alignment vertical="center"/>
    </xf>
    <xf numFmtId="0" fontId="11" fillId="0" borderId="24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3" fillId="2" borderId="37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61" xfId="0" applyNumberFormat="1" applyFont="1" applyFill="1" applyBorder="1" applyAlignment="1">
      <alignment horizontal="center" vertical="center"/>
    </xf>
    <xf numFmtId="49" fontId="3" fillId="2" borderId="6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0" fontId="2" fillId="0" borderId="17" xfId="0" applyNumberFormat="1" applyFont="1" applyBorder="1" applyAlignment="1">
      <alignment horizontal="left" vertical="center"/>
    </xf>
    <xf numFmtId="165" fontId="2" fillId="0" borderId="17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166" fontId="2" fillId="0" borderId="19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6" borderId="6" xfId="0" applyNumberFormat="1" applyFont="1" applyFill="1" applyBorder="1" applyAlignment="1">
      <alignment horizontal="left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63" xfId="0" applyNumberFormat="1" applyFont="1" applyFill="1" applyBorder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4" fontId="2" fillId="6" borderId="63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166" fontId="2" fillId="6" borderId="63" xfId="0" applyNumberFormat="1" applyFont="1" applyFill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6" borderId="7" xfId="0" applyNumberFormat="1" applyFont="1" applyFill="1" applyBorder="1" applyAlignment="1">
      <alignment horizontal="center" vertical="center"/>
    </xf>
    <xf numFmtId="165" fontId="2" fillId="6" borderId="7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6" borderId="7" xfId="0" applyNumberFormat="1" applyFont="1" applyFill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165" fontId="2" fillId="6" borderId="8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22" xfId="0" applyNumberFormat="1" applyFont="1" applyBorder="1" applyAlignment="1">
      <alignment horizontal="left" vertical="center"/>
    </xf>
    <xf numFmtId="0" fontId="2" fillId="0" borderId="22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55" xfId="0" applyNumberFormat="1" applyFont="1" applyBorder="1" applyAlignment="1">
      <alignment vertical="center"/>
    </xf>
    <xf numFmtId="0" fontId="2" fillId="0" borderId="63" xfId="0" applyNumberFormat="1" applyFont="1" applyBorder="1" applyAlignment="1">
      <alignment vertical="center"/>
    </xf>
    <xf numFmtId="0" fontId="2" fillId="0" borderId="57" xfId="0" applyNumberFormat="1" applyFont="1" applyBorder="1" applyAlignment="1">
      <alignment vertical="center"/>
    </xf>
    <xf numFmtId="9" fontId="2" fillId="0" borderId="57" xfId="0" applyNumberFormat="1" applyFont="1" applyBorder="1" applyAlignment="1">
      <alignment vertical="center"/>
    </xf>
    <xf numFmtId="0" fontId="3" fillId="2" borderId="64" xfId="0" applyNumberFormat="1" applyFont="1" applyFill="1" applyBorder="1" applyAlignment="1">
      <alignment vertical="center"/>
    </xf>
    <xf numFmtId="164" fontId="3" fillId="2" borderId="65" xfId="0" applyNumberFormat="1" applyFont="1" applyFill="1" applyBorder="1" applyAlignment="1">
      <alignment vertical="center"/>
    </xf>
    <xf numFmtId="164" fontId="3" fillId="2" borderId="66" xfId="0" applyNumberFormat="1" applyFont="1" applyFill="1" applyBorder="1" applyAlignment="1">
      <alignment vertical="center"/>
    </xf>
    <xf numFmtId="164" fontId="3" fillId="2" borderId="67" xfId="0" applyNumberFormat="1" applyFont="1" applyFill="1" applyBorder="1" applyAlignment="1">
      <alignment vertical="center"/>
    </xf>
    <xf numFmtId="9" fontId="3" fillId="2" borderId="67" xfId="0" applyNumberFormat="1" applyFont="1" applyFill="1" applyBorder="1" applyAlignment="1">
      <alignment vertical="center"/>
    </xf>
    <xf numFmtId="0" fontId="2" fillId="3" borderId="68" xfId="0" applyNumberFormat="1" applyFont="1" applyFill="1" applyBorder="1" applyAlignment="1">
      <alignment vertical="center"/>
    </xf>
    <xf numFmtId="0" fontId="2" fillId="3" borderId="69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5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0" fontId="2" fillId="0" borderId="23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3" fillId="2" borderId="23" xfId="0" applyNumberFormat="1" applyFont="1" applyFill="1" applyBorder="1" applyAlignment="1">
      <alignment vertical="center"/>
    </xf>
    <xf numFmtId="0" fontId="10" fillId="0" borderId="0" xfId="0" applyNumberFormat="1" applyFont="1" applyAlignment="1">
      <alignment horizontal="center" vertical="center"/>
    </xf>
    <xf numFmtId="0" fontId="11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vertical="center"/>
    </xf>
    <xf numFmtId="0" fontId="4" fillId="0" borderId="20" xfId="0" applyNumberFormat="1" applyFont="1" applyBorder="1" applyAlignment="1">
      <alignment vertical="center"/>
    </xf>
    <xf numFmtId="0" fontId="11" fillId="0" borderId="17" xfId="0" applyNumberFormat="1" applyFont="1" applyBorder="1" applyAlignment="1">
      <alignment horizontal="center" vertical="center"/>
    </xf>
    <xf numFmtId="0" fontId="4" fillId="0" borderId="21" xfId="0" applyNumberFormat="1" applyFont="1" applyBorder="1" applyAlignment="1">
      <alignment vertical="center"/>
    </xf>
    <xf numFmtId="0" fontId="11" fillId="0" borderId="22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12" fillId="2" borderId="2" xfId="0" applyNumberFormat="1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64" fontId="2" fillId="0" borderId="7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Normal="100" workbookViewId="0">
      <selection sqref="A1:P1"/>
    </sheetView>
  </sheetViews>
  <sheetFormatPr defaultColWidth="14.453125" defaultRowHeight="15" customHeight="1"/>
  <cols>
    <col min="1" max="1" width="11.54296875" customWidth="1"/>
    <col min="2" max="2" width="10.08984375" customWidth="1"/>
    <col min="3" max="3" width="7" customWidth="1"/>
    <col min="4" max="9" width="5.36328125" bestFit="1" customWidth="1"/>
    <col min="10" max="11" width="5.453125" customWidth="1"/>
    <col min="12" max="13" width="5.36328125" bestFit="1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349" t="s">
        <v>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2"/>
    </row>
    <row r="2" spans="1:17" ht="14.25" customHeight="1">
      <c r="A2" s="349" t="s">
        <v>1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2"/>
    </row>
    <row r="3" spans="1:17" ht="11.25" customHeight="1">
      <c r="A3" s="351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2"/>
    </row>
    <row r="4" spans="1:17" ht="11.25" customHeight="1">
      <c r="A4" s="3"/>
      <c r="B4" s="3" t="s">
        <v>2</v>
      </c>
      <c r="C4" s="3" t="s">
        <v>2</v>
      </c>
      <c r="D4" s="352" t="s">
        <v>3</v>
      </c>
      <c r="E4" s="353"/>
      <c r="F4" s="353"/>
      <c r="G4" s="353"/>
      <c r="H4" s="353"/>
      <c r="I4" s="353"/>
      <c r="J4" s="353"/>
      <c r="K4" s="353"/>
      <c r="L4" s="353"/>
      <c r="M4" s="354"/>
      <c r="N4" s="352" t="s">
        <v>4</v>
      </c>
      <c r="O4" s="353"/>
      <c r="P4" s="354"/>
      <c r="Q4" s="2"/>
    </row>
    <row r="5" spans="1:17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2"/>
    </row>
    <row r="6" spans="1:17" ht="11.25" customHeight="1">
      <c r="A6" s="11"/>
      <c r="B6" s="11"/>
      <c r="C6" s="11"/>
      <c r="D6" s="12" t="s">
        <v>20</v>
      </c>
      <c r="E6" s="13" t="s">
        <v>20</v>
      </c>
      <c r="F6" s="13" t="s">
        <v>20</v>
      </c>
      <c r="G6" s="13" t="s">
        <v>20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4" t="s">
        <v>21</v>
      </c>
      <c r="N6" s="15" t="s">
        <v>6</v>
      </c>
      <c r="O6" s="16" t="s">
        <v>6</v>
      </c>
      <c r="P6" s="17" t="s">
        <v>18</v>
      </c>
      <c r="Q6" s="2"/>
    </row>
    <row r="7" spans="1:17" ht="11.25" customHeight="1">
      <c r="A7" s="18" t="s">
        <v>22</v>
      </c>
      <c r="B7" s="18" t="s">
        <v>23</v>
      </c>
      <c r="C7" s="19">
        <f>SUM('By Location'!C7+'By Location'!C21)</f>
        <v>2546</v>
      </c>
      <c r="D7" s="20">
        <f>SUM('By Location'!D7+'By Location'!D21)</f>
        <v>1602</v>
      </c>
      <c r="E7" s="21">
        <f>SUM('By Location'!E7+'By Location'!E21)</f>
        <v>1204</v>
      </c>
      <c r="F7" s="21">
        <f>SUM('By Location'!F7+'By Location'!F21)</f>
        <v>1043</v>
      </c>
      <c r="G7" s="21">
        <f>SUM('By Location'!G7+'By Location'!G21)</f>
        <v>973</v>
      </c>
      <c r="H7" s="21">
        <f>SUM('By Location'!H7+'By Location'!H21)</f>
        <v>950</v>
      </c>
      <c r="I7" s="21">
        <f>SUM('By Location'!I7+'By Location'!I21)</f>
        <v>1009</v>
      </c>
      <c r="J7" s="21">
        <f>SUM('By Location'!J7+'By Location'!J21)</f>
        <v>1064</v>
      </c>
      <c r="K7" s="21">
        <f>SUM('By Location'!K7+'By Location'!K21)</f>
        <v>1132</v>
      </c>
      <c r="L7" s="21">
        <f>SUM('By Location'!L7+'By Location'!L21)</f>
        <v>1308</v>
      </c>
      <c r="M7" s="22">
        <f>SUM('By Location'!M7+'By Location'!M21)</f>
        <v>1469</v>
      </c>
      <c r="N7" s="23">
        <f t="shared" ref="N7:N19" si="0">MIN(D7:M7)</f>
        <v>950</v>
      </c>
      <c r="O7" s="23">
        <f t="shared" ref="O7:O19" si="1">C7-N7</f>
        <v>1596</v>
      </c>
      <c r="P7" s="24">
        <f t="shared" ref="P7:P19" si="2">O7/C7</f>
        <v>0.62686567164179108</v>
      </c>
      <c r="Q7" s="2"/>
    </row>
    <row r="8" spans="1:17" ht="11.25" customHeight="1">
      <c r="A8" s="18" t="s">
        <v>24</v>
      </c>
      <c r="B8" s="18" t="s">
        <v>25</v>
      </c>
      <c r="C8" s="19">
        <f>SUM('By Location'!C8+'By Location'!C22)</f>
        <v>7117</v>
      </c>
      <c r="D8" s="19">
        <f>SUM('By Location'!D8+'By Location'!D22)</f>
        <v>4820</v>
      </c>
      <c r="E8" s="23">
        <f>SUM('By Location'!E8+'By Location'!E22)</f>
        <v>4240</v>
      </c>
      <c r="F8" s="23">
        <f>SUM('By Location'!F8+'By Location'!F22)</f>
        <v>3969</v>
      </c>
      <c r="G8" s="23">
        <f>SUM('By Location'!G8+'By Location'!G22)</f>
        <v>3841</v>
      </c>
      <c r="H8" s="23">
        <f>SUM('By Location'!H8+'By Location'!H22)</f>
        <v>3837</v>
      </c>
      <c r="I8" s="23">
        <f>SUM('By Location'!I8+'By Location'!I22)</f>
        <v>3921</v>
      </c>
      <c r="J8" s="23">
        <f>SUM('By Location'!J8+'By Location'!J22)</f>
        <v>3947</v>
      </c>
      <c r="K8" s="23">
        <f>SUM('By Location'!K8+'By Location'!K22)</f>
        <v>4270</v>
      </c>
      <c r="L8" s="23">
        <f>SUM('By Location'!L8+'By Location'!L22)</f>
        <v>4602</v>
      </c>
      <c r="M8" s="25">
        <f>SUM('By Location'!M8+'By Location'!M22)</f>
        <v>5132</v>
      </c>
      <c r="N8" s="23">
        <f t="shared" si="0"/>
        <v>3837</v>
      </c>
      <c r="O8" s="23">
        <f t="shared" si="1"/>
        <v>3280</v>
      </c>
      <c r="P8" s="24">
        <f t="shared" si="2"/>
        <v>0.46086834340311927</v>
      </c>
      <c r="Q8" s="2"/>
    </row>
    <row r="9" spans="1:17" ht="11.25" customHeight="1">
      <c r="A9" s="18" t="s">
        <v>26</v>
      </c>
      <c r="B9" s="18" t="s">
        <v>27</v>
      </c>
      <c r="C9" s="26">
        <f>SUM('By Location'!C10)</f>
        <v>1321</v>
      </c>
      <c r="D9" s="26">
        <f>SUM('By Location'!D10)</f>
        <v>1172</v>
      </c>
      <c r="E9" s="2">
        <f>SUM('By Location'!E10)</f>
        <v>1244</v>
      </c>
      <c r="F9" s="2">
        <f>SUM('By Location'!F10)</f>
        <v>1110</v>
      </c>
      <c r="G9" s="2">
        <f>SUM('By Location'!G10)</f>
        <v>1143</v>
      </c>
      <c r="H9" s="2">
        <f>SUM('By Location'!H10)</f>
        <v>1357</v>
      </c>
      <c r="I9" s="2">
        <f>SUM('By Location'!I10)</f>
        <v>1146</v>
      </c>
      <c r="J9" s="2">
        <f>SUM('By Location'!J10)</f>
        <v>1153</v>
      </c>
      <c r="K9" s="2">
        <f>SUM('By Location'!K10)</f>
        <v>1227</v>
      </c>
      <c r="L9" s="2">
        <f>SUM('By Location'!L10)</f>
        <v>1228</v>
      </c>
      <c r="M9" s="27">
        <f>SUM('By Location'!M10)</f>
        <v>1249</v>
      </c>
      <c r="N9" s="2">
        <f t="shared" si="0"/>
        <v>1110</v>
      </c>
      <c r="O9" s="2">
        <f t="shared" si="1"/>
        <v>211</v>
      </c>
      <c r="P9" s="24">
        <f t="shared" si="2"/>
        <v>0.15972747918243754</v>
      </c>
      <c r="Q9" s="2"/>
    </row>
    <row r="10" spans="1:17" ht="11.25" customHeight="1">
      <c r="A10" s="18" t="s">
        <v>28</v>
      </c>
      <c r="B10" s="26" t="s">
        <v>29</v>
      </c>
      <c r="C10" s="26">
        <f>SUM('By Location'!C11)</f>
        <v>228</v>
      </c>
      <c r="D10" s="26">
        <f>SUM('By Location'!D11)</f>
        <v>223</v>
      </c>
      <c r="E10" s="2">
        <f>SUM('By Location'!E11)</f>
        <v>222</v>
      </c>
      <c r="F10" s="2">
        <f>SUM('By Location'!F11)</f>
        <v>224</v>
      </c>
      <c r="G10" s="2">
        <f>SUM('By Location'!G11)</f>
        <v>224</v>
      </c>
      <c r="H10" s="2">
        <f>SUM('By Location'!H11)</f>
        <v>224</v>
      </c>
      <c r="I10" s="23">
        <f>SUM('By Location'!I11)</f>
        <v>225</v>
      </c>
      <c r="J10" s="23">
        <f>SUM('By Location'!J11)</f>
        <v>227</v>
      </c>
      <c r="K10" s="23">
        <f>SUM('By Location'!K11)</f>
        <v>227</v>
      </c>
      <c r="L10" s="23">
        <f>SUM('By Location'!L11)</f>
        <v>227</v>
      </c>
      <c r="M10" s="25">
        <f>SUM('By Location'!M11)</f>
        <v>227</v>
      </c>
      <c r="N10" s="2">
        <f t="shared" si="0"/>
        <v>222</v>
      </c>
      <c r="O10" s="2">
        <f t="shared" si="1"/>
        <v>6</v>
      </c>
      <c r="P10" s="24">
        <f t="shared" si="2"/>
        <v>2.6315789473684209E-2</v>
      </c>
      <c r="Q10" s="2"/>
    </row>
    <row r="11" spans="1:17" ht="11.25" customHeight="1">
      <c r="A11" s="18"/>
      <c r="B11" s="26" t="s">
        <v>30</v>
      </c>
      <c r="C11" s="26">
        <f>SUM('By Location'!C9)</f>
        <v>1166</v>
      </c>
      <c r="D11" s="26">
        <f>SUM('By Location'!D9)</f>
        <v>1044</v>
      </c>
      <c r="E11" s="2">
        <f>SUM('By Location'!E9)</f>
        <v>1006</v>
      </c>
      <c r="F11" s="2">
        <f>SUM('By Location'!F9)</f>
        <v>934</v>
      </c>
      <c r="G11" s="2">
        <f>SUM('By Location'!G9)</f>
        <v>966</v>
      </c>
      <c r="H11" s="2">
        <f>SUM('By Location'!H9)</f>
        <v>969</v>
      </c>
      <c r="I11" s="23">
        <f>SUM('By Location'!I9)</f>
        <v>1020</v>
      </c>
      <c r="J11" s="23">
        <f>SUM('By Location'!J9)</f>
        <v>1015</v>
      </c>
      <c r="K11" s="23">
        <f>SUM('By Location'!K9)</f>
        <v>1019</v>
      </c>
      <c r="L11" s="23">
        <f>SUM('By Location'!L9)</f>
        <v>1056</v>
      </c>
      <c r="M11" s="25">
        <f>SUM('By Location'!M9)</f>
        <v>1088</v>
      </c>
      <c r="N11" s="2">
        <f t="shared" si="0"/>
        <v>934</v>
      </c>
      <c r="O11" s="2">
        <f t="shared" si="1"/>
        <v>232</v>
      </c>
      <c r="P11" s="24">
        <f t="shared" si="2"/>
        <v>0.19897084048027444</v>
      </c>
      <c r="Q11" s="2"/>
    </row>
    <row r="12" spans="1:17" ht="11.25" customHeight="1">
      <c r="A12" s="18"/>
      <c r="B12" s="26" t="s">
        <v>31</v>
      </c>
      <c r="C12" s="19">
        <f>SUM('By Location'!C13+'By Location'!C24)</f>
        <v>2198</v>
      </c>
      <c r="D12" s="19">
        <f>SUM('By Location'!D13+'By Location'!D24)</f>
        <v>1419</v>
      </c>
      <c r="E12" s="23">
        <f>SUM('By Location'!E13+'By Location'!E24)</f>
        <v>1242</v>
      </c>
      <c r="F12" s="23">
        <f>SUM('By Location'!F13+'By Location'!F24)</f>
        <v>1125</v>
      </c>
      <c r="G12" s="23">
        <f>SUM('By Location'!G13+'By Location'!G24)</f>
        <v>1072</v>
      </c>
      <c r="H12" s="23">
        <f>SUM('By Location'!H13+'By Location'!H24)</f>
        <v>1120</v>
      </c>
      <c r="I12" s="23">
        <f>SUM('By Location'!I13+'By Location'!I24)</f>
        <v>1066</v>
      </c>
      <c r="J12" s="23">
        <f>SUM('By Location'!J13+'By Location'!J24)</f>
        <v>1089</v>
      </c>
      <c r="K12" s="23">
        <f>SUM('By Location'!K13+'By Location'!K24)</f>
        <v>1204</v>
      </c>
      <c r="L12" s="23">
        <f>SUM('By Location'!L13+'By Location'!L24)</f>
        <v>1314</v>
      </c>
      <c r="M12" s="25">
        <f>SUM('By Location'!M13+'By Location'!M24)</f>
        <v>1367</v>
      </c>
      <c r="N12" s="23">
        <f t="shared" si="0"/>
        <v>1066</v>
      </c>
      <c r="O12" s="23">
        <f t="shared" si="1"/>
        <v>1132</v>
      </c>
      <c r="P12" s="24">
        <f t="shared" si="2"/>
        <v>0.5150136487716106</v>
      </c>
      <c r="Q12" s="2"/>
    </row>
    <row r="13" spans="1:17" ht="11.25" customHeight="1">
      <c r="A13" s="18"/>
      <c r="B13" s="26" t="s">
        <v>32</v>
      </c>
      <c r="C13" s="28">
        <f>SUM('By Location'!C14+'By Location'!C25)</f>
        <v>592</v>
      </c>
      <c r="D13" s="23">
        <f>SUM('By Location'!D14+'By Location'!D25)</f>
        <v>478</v>
      </c>
      <c r="E13" s="23">
        <f>SUM('By Location'!E14+'By Location'!E25)</f>
        <v>463</v>
      </c>
      <c r="F13" s="23">
        <f>SUM('By Location'!F14+'By Location'!F25)</f>
        <v>451</v>
      </c>
      <c r="G13" s="23">
        <f>SUM('By Location'!G14+'By Location'!G25)</f>
        <v>447</v>
      </c>
      <c r="H13" s="23">
        <f>SUM('By Location'!H14+'By Location'!H25)</f>
        <v>435</v>
      </c>
      <c r="I13" s="23">
        <f>SUM('By Location'!I14+'By Location'!I25)</f>
        <v>428</v>
      </c>
      <c r="J13" s="23">
        <f>SUM('By Location'!J14+'By Location'!J25)</f>
        <v>422</v>
      </c>
      <c r="K13" s="23">
        <f>SUM('By Location'!K14+'By Location'!K25)</f>
        <v>427</v>
      </c>
      <c r="L13" s="23">
        <f>SUM('By Location'!L14+'By Location'!L25)</f>
        <v>440</v>
      </c>
      <c r="M13" s="25">
        <f>SUM('By Location'!M14+'By Location'!M25)</f>
        <v>455</v>
      </c>
      <c r="N13" s="23">
        <f t="shared" si="0"/>
        <v>422</v>
      </c>
      <c r="O13" s="23">
        <f t="shared" si="1"/>
        <v>170</v>
      </c>
      <c r="P13" s="24">
        <f t="shared" si="2"/>
        <v>0.28716216216216217</v>
      </c>
      <c r="Q13" s="2"/>
    </row>
    <row r="14" spans="1:17" ht="11.25" customHeight="1">
      <c r="A14" s="18"/>
      <c r="B14" s="26" t="s">
        <v>33</v>
      </c>
      <c r="C14" s="28">
        <f>SUM('By Location'!C15+'By Location'!C26)</f>
        <v>1662</v>
      </c>
      <c r="D14" s="23">
        <f>SUM('By Location'!D15+'By Location'!D26)</f>
        <v>1031</v>
      </c>
      <c r="E14" s="23">
        <f>SUM('By Location'!E15+'By Location'!E26)</f>
        <v>986</v>
      </c>
      <c r="F14" s="23">
        <f>SUM('By Location'!F15+'By Location'!F26)</f>
        <v>944</v>
      </c>
      <c r="G14" s="23">
        <f>SUM('By Location'!G15+'By Location'!G26)</f>
        <v>923</v>
      </c>
      <c r="H14" s="23">
        <f>SUM('By Location'!H15+'By Location'!H26)</f>
        <v>908</v>
      </c>
      <c r="I14" s="23">
        <f>SUM('By Location'!I15+'By Location'!I26)</f>
        <v>909</v>
      </c>
      <c r="J14" s="23">
        <f>SUM('By Location'!J15+'By Location'!J26)</f>
        <v>892</v>
      </c>
      <c r="K14" s="23">
        <f>SUM('By Location'!K15+'By Location'!K26)</f>
        <v>936</v>
      </c>
      <c r="L14" s="23">
        <f>SUM('By Location'!L15+'By Location'!L26)</f>
        <v>966</v>
      </c>
      <c r="M14" s="25">
        <f>SUM('By Location'!M15+'By Location'!M26)</f>
        <v>996</v>
      </c>
      <c r="N14" s="23">
        <f t="shared" si="0"/>
        <v>892</v>
      </c>
      <c r="O14" s="23">
        <f t="shared" si="1"/>
        <v>770</v>
      </c>
      <c r="P14" s="24">
        <f t="shared" si="2"/>
        <v>0.46329723225030084</v>
      </c>
      <c r="Q14" s="2"/>
    </row>
    <row r="15" spans="1:17" ht="11.25" customHeight="1">
      <c r="A15" s="18"/>
      <c r="B15" s="18" t="s">
        <v>34</v>
      </c>
      <c r="C15" s="19">
        <f>SUM('By Location'!C16+'By Location'!C27)</f>
        <v>735</v>
      </c>
      <c r="D15" s="19">
        <f>SUM('By Location'!D16+'By Location'!D27)</f>
        <v>498</v>
      </c>
      <c r="E15" s="23">
        <f>SUM('By Location'!E16+'By Location'!E27)</f>
        <v>466</v>
      </c>
      <c r="F15" s="23">
        <f>SUM('By Location'!F16+'By Location'!F27)</f>
        <v>429</v>
      </c>
      <c r="G15" s="23">
        <f>SUM('By Location'!G16+'By Location'!G27)</f>
        <v>419</v>
      </c>
      <c r="H15" s="23">
        <f>SUM('By Location'!H16+'By Location'!H27)</f>
        <v>439</v>
      </c>
      <c r="I15" s="23">
        <f>SUM('By Location'!I16+'By Location'!I27)</f>
        <v>433</v>
      </c>
      <c r="J15" s="23">
        <f>SUM('By Location'!J16+'By Location'!J27)</f>
        <v>434</v>
      </c>
      <c r="K15" s="23">
        <f>SUM('By Location'!K16+'By Location'!K27)</f>
        <v>451</v>
      </c>
      <c r="L15" s="23">
        <f>SUM('By Location'!L16+'By Location'!L27)</f>
        <v>477</v>
      </c>
      <c r="M15" s="25">
        <f>SUM('By Location'!M16+'By Location'!M27)</f>
        <v>508</v>
      </c>
      <c r="N15" s="23">
        <f t="shared" si="0"/>
        <v>419</v>
      </c>
      <c r="O15" s="23">
        <f t="shared" si="1"/>
        <v>316</v>
      </c>
      <c r="P15" s="24">
        <f t="shared" si="2"/>
        <v>0.42993197278911566</v>
      </c>
      <c r="Q15" s="2"/>
    </row>
    <row r="16" spans="1:17" ht="11.25" customHeight="1">
      <c r="A16" s="18"/>
      <c r="B16" s="18" t="s">
        <v>35</v>
      </c>
      <c r="C16" s="19">
        <f>SUM('By Location'!C17+'By Location'!C28)</f>
        <v>274</v>
      </c>
      <c r="D16" s="19">
        <f>SUM('By Location'!D17+'By Location'!D28)</f>
        <v>128</v>
      </c>
      <c r="E16" s="23">
        <f>SUM('By Location'!E17+'By Location'!E28)</f>
        <v>127</v>
      </c>
      <c r="F16" s="23">
        <f>SUM('By Location'!F17+'By Location'!F28)</f>
        <v>132</v>
      </c>
      <c r="G16" s="23">
        <f>SUM('By Location'!G17+'By Location'!G28)</f>
        <v>119</v>
      </c>
      <c r="H16" s="23">
        <f>SUM('By Location'!H17+'By Location'!H28)</f>
        <v>114</v>
      </c>
      <c r="I16" s="23">
        <f>SUM('By Location'!I17+'By Location'!I28)</f>
        <v>125</v>
      </c>
      <c r="J16" s="23">
        <f>SUM('By Location'!J17+'By Location'!J28)</f>
        <v>125</v>
      </c>
      <c r="K16" s="23">
        <f>SUM('By Location'!K17+'By Location'!K28)</f>
        <v>134</v>
      </c>
      <c r="L16" s="23">
        <f>SUM('By Location'!L17+'By Location'!L28)</f>
        <v>117</v>
      </c>
      <c r="M16" s="25">
        <f>SUM('By Location'!M17+'By Location'!M28)</f>
        <v>117</v>
      </c>
      <c r="N16" s="23">
        <f t="shared" si="0"/>
        <v>114</v>
      </c>
      <c r="O16" s="23">
        <f t="shared" si="1"/>
        <v>160</v>
      </c>
      <c r="P16" s="24">
        <f t="shared" si="2"/>
        <v>0.58394160583941601</v>
      </c>
      <c r="Q16" s="2"/>
    </row>
    <row r="17" spans="1:17" ht="11.25" customHeight="1">
      <c r="A17" s="18"/>
      <c r="B17" s="18" t="s">
        <v>36</v>
      </c>
      <c r="C17" s="19">
        <f>SUM('By Location'!C18+'By Location'!C29)</f>
        <v>116</v>
      </c>
      <c r="D17" s="19">
        <f>SUM('By Location'!D18+'By Location'!D29)</f>
        <v>57</v>
      </c>
      <c r="E17" s="23">
        <f>SUM('By Location'!E18+'By Location'!E29)</f>
        <v>52</v>
      </c>
      <c r="F17" s="23">
        <f>SUM('By Location'!F18+'By Location'!F29)</f>
        <v>57</v>
      </c>
      <c r="G17" s="23">
        <f>SUM('By Location'!G18+'By Location'!G29)</f>
        <v>55</v>
      </c>
      <c r="H17" s="23">
        <f>SUM('By Location'!H18+'By Location'!H29)</f>
        <v>51</v>
      </c>
      <c r="I17" s="23">
        <f>SUM('By Location'!I18+'By Location'!I29)</f>
        <v>53</v>
      </c>
      <c r="J17" s="23">
        <f>SUM('By Location'!J18+'By Location'!J29)</f>
        <v>52</v>
      </c>
      <c r="K17" s="23">
        <f>SUM('By Location'!K18+'By Location'!K29)</f>
        <v>54</v>
      </c>
      <c r="L17" s="23">
        <f>SUM('By Location'!L18+'By Location'!L29)</f>
        <v>57</v>
      </c>
      <c r="M17" s="25">
        <f>SUM('By Location'!M18+'By Location'!M29)</f>
        <v>56</v>
      </c>
      <c r="N17" s="23">
        <f t="shared" si="0"/>
        <v>51</v>
      </c>
      <c r="O17" s="23">
        <f t="shared" si="1"/>
        <v>65</v>
      </c>
      <c r="P17" s="24">
        <f t="shared" si="2"/>
        <v>0.56034482758620685</v>
      </c>
      <c r="Q17" s="2"/>
    </row>
    <row r="18" spans="1:17" ht="11.25" customHeight="1">
      <c r="A18" s="18"/>
      <c r="B18" s="18" t="s">
        <v>37</v>
      </c>
      <c r="C18" s="19">
        <f>SUM('By Location'!C19+'By Location'!C30)</f>
        <v>142</v>
      </c>
      <c r="D18" s="29">
        <f>SUM('By Location'!D19+'By Location'!D30)</f>
        <v>111</v>
      </c>
      <c r="E18" s="30">
        <f>SUM('By Location'!E19+'By Location'!E30)</f>
        <v>106</v>
      </c>
      <c r="F18" s="30">
        <f>SUM('By Location'!F19+'By Location'!F30)</f>
        <v>84</v>
      </c>
      <c r="G18" s="30">
        <f>SUM('By Location'!G19+'By Location'!G30)</f>
        <v>92</v>
      </c>
      <c r="H18" s="30">
        <f>SUM('By Location'!H19+'By Location'!H30)</f>
        <v>95</v>
      </c>
      <c r="I18" s="30">
        <f>SUM('By Location'!I19+'By Location'!I30)</f>
        <v>94</v>
      </c>
      <c r="J18" s="30">
        <f>SUM('By Location'!J19+'By Location'!J30)</f>
        <v>99</v>
      </c>
      <c r="K18" s="30">
        <f>SUM('By Location'!K19+'By Location'!K30)</f>
        <v>101</v>
      </c>
      <c r="L18" s="30">
        <f>SUM('By Location'!L19+'By Location'!L30)</f>
        <v>96</v>
      </c>
      <c r="M18" s="31">
        <f>SUM('By Location'!M19+'By Location'!M30)</f>
        <v>101</v>
      </c>
      <c r="N18" s="23">
        <f t="shared" si="0"/>
        <v>84</v>
      </c>
      <c r="O18" s="23">
        <f t="shared" si="1"/>
        <v>58</v>
      </c>
      <c r="P18" s="24">
        <f t="shared" si="2"/>
        <v>0.40845070422535212</v>
      </c>
      <c r="Q18" s="2"/>
    </row>
    <row r="19" spans="1:17" ht="11.25" customHeight="1">
      <c r="A19" s="32"/>
      <c r="B19" s="33" t="s">
        <v>38</v>
      </c>
      <c r="C19" s="34">
        <f>SUM('By Location'!C20,'By Location'!C31)</f>
        <v>18495</v>
      </c>
      <c r="D19" s="35">
        <f t="shared" ref="D19:M19" si="3">SUM(D7:D18)</f>
        <v>12583</v>
      </c>
      <c r="E19" s="36">
        <f t="shared" si="3"/>
        <v>11358</v>
      </c>
      <c r="F19" s="36">
        <f t="shared" si="3"/>
        <v>10502</v>
      </c>
      <c r="G19" s="36">
        <f t="shared" si="3"/>
        <v>10274</v>
      </c>
      <c r="H19" s="36">
        <f t="shared" si="3"/>
        <v>10499</v>
      </c>
      <c r="I19" s="36">
        <f t="shared" si="3"/>
        <v>10429</v>
      </c>
      <c r="J19" s="36">
        <f t="shared" si="3"/>
        <v>10519</v>
      </c>
      <c r="K19" s="36">
        <f t="shared" si="3"/>
        <v>11182</v>
      </c>
      <c r="L19" s="36">
        <f t="shared" si="3"/>
        <v>11888</v>
      </c>
      <c r="M19" s="37">
        <f t="shared" si="3"/>
        <v>12765</v>
      </c>
      <c r="N19" s="38">
        <f t="shared" si="0"/>
        <v>10274</v>
      </c>
      <c r="O19" s="39">
        <f t="shared" si="1"/>
        <v>8221</v>
      </c>
      <c r="P19" s="40">
        <f t="shared" si="2"/>
        <v>0.44449851311165178</v>
      </c>
      <c r="Q19" s="2"/>
    </row>
    <row r="20" spans="1:17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customHeight="1"/>
    <row r="22" spans="1:17" ht="15.75" customHeight="1"/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1000"/>
  <sheetViews>
    <sheetView showGridLines="0" workbookViewId="0">
      <pane ySplit="6" topLeftCell="A7" activePane="bottomLeft" state="frozen"/>
      <selection pane="bottomLeft"/>
    </sheetView>
  </sheetViews>
  <sheetFormatPr defaultColWidth="14.453125" defaultRowHeight="15" customHeight="1"/>
  <cols>
    <col min="1" max="1" width="14.453125" customWidth="1"/>
    <col min="2" max="2" width="11.08984375" customWidth="1"/>
    <col min="3" max="3" width="77.7265625" customWidth="1"/>
    <col min="4" max="4" width="9.7265625" customWidth="1"/>
    <col min="5" max="7" width="10.81640625" customWidth="1"/>
    <col min="8" max="23" width="8" customWidth="1"/>
  </cols>
  <sheetData>
    <row r="1" spans="2:23" ht="14.25" customHeight="1">
      <c r="B1" s="349" t="s">
        <v>481</v>
      </c>
      <c r="C1" s="350"/>
      <c r="D1" s="29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ht="14.25" customHeight="1">
      <c r="B2" s="349" t="s">
        <v>482</v>
      </c>
      <c r="C2" s="350"/>
      <c r="D2" s="29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11.25" customHeight="1">
      <c r="B3" s="356"/>
      <c r="C3" s="350"/>
      <c r="D3" s="29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ht="11.25" customHeight="1">
      <c r="B4" s="3" t="s">
        <v>459</v>
      </c>
      <c r="C4" s="3" t="s">
        <v>33</v>
      </c>
      <c r="D4" s="29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ht="11.25" customHeight="1">
      <c r="B5" s="4"/>
      <c r="C5" s="4" t="s">
        <v>2</v>
      </c>
      <c r="D5" s="29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2:23" ht="11.25" customHeight="1">
      <c r="B6" s="11"/>
      <c r="C6" s="11" t="s">
        <v>5</v>
      </c>
      <c r="D6" s="29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ht="11.25" customHeight="1">
      <c r="B7" s="18" t="s">
        <v>483</v>
      </c>
      <c r="C7" s="18" t="s">
        <v>484</v>
      </c>
      <c r="D7" s="29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ht="11.25" customHeight="1">
      <c r="B8" s="18" t="s">
        <v>485</v>
      </c>
      <c r="C8" s="18" t="s">
        <v>486</v>
      </c>
      <c r="D8" s="29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ht="11.25" customHeight="1">
      <c r="B9" s="18" t="s">
        <v>487</v>
      </c>
      <c r="C9" s="18" t="s">
        <v>488</v>
      </c>
      <c r="D9" s="29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ht="11.25" customHeight="1">
      <c r="B10" s="26" t="s">
        <v>489</v>
      </c>
      <c r="C10" s="18" t="s">
        <v>490</v>
      </c>
      <c r="D10" s="29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ht="11.25" customHeight="1">
      <c r="B11" s="26" t="s">
        <v>491</v>
      </c>
      <c r="C11" s="18" t="s">
        <v>492</v>
      </c>
      <c r="D11" s="29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23" ht="11.25" customHeight="1">
      <c r="B12" s="26" t="s">
        <v>493</v>
      </c>
      <c r="C12" s="18" t="s">
        <v>494</v>
      </c>
      <c r="D12" s="29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ht="11.25" customHeight="1">
      <c r="B13" s="18" t="s">
        <v>495</v>
      </c>
      <c r="C13" s="18" t="s">
        <v>496</v>
      </c>
      <c r="D13" s="29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ht="11.25" customHeight="1">
      <c r="B14" s="18" t="s">
        <v>497</v>
      </c>
      <c r="C14" s="18" t="s">
        <v>498</v>
      </c>
      <c r="D14" s="29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ht="11.25" customHeight="1">
      <c r="B15" s="18" t="s">
        <v>499</v>
      </c>
      <c r="C15" s="18" t="s">
        <v>500</v>
      </c>
      <c r="D15" s="29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ht="11.25" customHeight="1">
      <c r="B16" s="18" t="s">
        <v>501</v>
      </c>
      <c r="C16" s="18" t="s">
        <v>502</v>
      </c>
      <c r="D16" s="29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ht="11.25" customHeight="1">
      <c r="B17" s="18" t="s">
        <v>503</v>
      </c>
      <c r="C17" s="18" t="s">
        <v>504</v>
      </c>
      <c r="D17" s="29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ht="11.25" customHeight="1">
      <c r="B18" s="18" t="s">
        <v>505</v>
      </c>
      <c r="C18" s="18" t="s">
        <v>506</v>
      </c>
      <c r="D18" s="29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11.25" customHeight="1">
      <c r="B19" s="18" t="s">
        <v>507</v>
      </c>
      <c r="C19" s="18" t="s">
        <v>508</v>
      </c>
      <c r="D19" s="29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11.25" customHeight="1">
      <c r="B20" s="18" t="s">
        <v>509</v>
      </c>
      <c r="C20" s="18" t="s">
        <v>510</v>
      </c>
      <c r="D20" s="29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ht="11.25" customHeight="1">
      <c r="B21" s="18" t="s">
        <v>511</v>
      </c>
      <c r="C21" s="18" t="s">
        <v>512</v>
      </c>
      <c r="D21" s="29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ht="11.25" customHeight="1">
      <c r="B22" s="18" t="s">
        <v>513</v>
      </c>
      <c r="C22" s="18" t="s">
        <v>514</v>
      </c>
      <c r="D22" s="29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ht="11.25" customHeight="1">
      <c r="B23" s="18" t="s">
        <v>515</v>
      </c>
      <c r="C23" s="18" t="s">
        <v>516</v>
      </c>
      <c r="D23" s="29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ht="11.25" customHeight="1">
      <c r="B24" s="18" t="s">
        <v>517</v>
      </c>
      <c r="C24" s="18" t="s">
        <v>518</v>
      </c>
      <c r="D24" s="29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ht="11.25" customHeight="1">
      <c r="B25" s="18" t="s">
        <v>519</v>
      </c>
      <c r="C25" s="18" t="s">
        <v>520</v>
      </c>
      <c r="D25" s="29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ht="11.25" customHeight="1">
      <c r="B26" s="18" t="s">
        <v>521</v>
      </c>
      <c r="C26" s="18" t="s">
        <v>522</v>
      </c>
      <c r="D26" s="29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11.25" customHeight="1">
      <c r="B27" s="18" t="s">
        <v>523</v>
      </c>
      <c r="C27" s="18" t="s">
        <v>524</v>
      </c>
      <c r="D27" s="29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ht="11.25" customHeight="1">
      <c r="B28" s="18" t="s">
        <v>525</v>
      </c>
      <c r="C28" s="18" t="s">
        <v>526</v>
      </c>
      <c r="D28" s="29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ht="11.25" customHeight="1">
      <c r="B29" s="18" t="s">
        <v>527</v>
      </c>
      <c r="C29" s="18" t="s">
        <v>528</v>
      </c>
      <c r="D29" s="29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ht="11.25" customHeight="1">
      <c r="B30" s="18" t="s">
        <v>529</v>
      </c>
      <c r="C30" s="18" t="s">
        <v>530</v>
      </c>
      <c r="D30" s="29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ht="11.25" customHeight="1">
      <c r="B31" s="18" t="s">
        <v>531</v>
      </c>
      <c r="C31" s="18" t="s">
        <v>532</v>
      </c>
      <c r="D31" s="29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ht="11.25" customHeight="1">
      <c r="B32" s="18" t="s">
        <v>533</v>
      </c>
      <c r="C32" s="18" t="s">
        <v>534</v>
      </c>
      <c r="D32" s="29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ht="11.25" customHeight="1">
      <c r="B33" s="18" t="s">
        <v>535</v>
      </c>
      <c r="C33" s="18" t="s">
        <v>536</v>
      </c>
      <c r="D33" s="29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ht="11.25" customHeight="1">
      <c r="B34" s="18" t="s">
        <v>537</v>
      </c>
      <c r="C34" s="18" t="s">
        <v>538</v>
      </c>
      <c r="D34" s="29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 ht="11.25" customHeight="1">
      <c r="B35" s="18" t="s">
        <v>539</v>
      </c>
      <c r="C35" s="18" t="s">
        <v>540</v>
      </c>
      <c r="D35" s="29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 ht="11.25" customHeight="1">
      <c r="B36" s="18" t="s">
        <v>541</v>
      </c>
      <c r="C36" s="18" t="s">
        <v>542</v>
      </c>
      <c r="D36" s="29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ht="11.25" customHeight="1">
      <c r="B37" s="18" t="s">
        <v>543</v>
      </c>
      <c r="C37" s="18" t="s">
        <v>544</v>
      </c>
      <c r="D37" s="29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ht="11.25" customHeight="1">
      <c r="B38" s="18" t="s">
        <v>545</v>
      </c>
      <c r="C38" s="18" t="s">
        <v>546</v>
      </c>
      <c r="D38" s="29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2:23" ht="11.25" customHeight="1">
      <c r="B39" s="18" t="s">
        <v>547</v>
      </c>
      <c r="C39" s="18" t="s">
        <v>548</v>
      </c>
      <c r="D39" s="29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2:23" ht="11.25" customHeight="1">
      <c r="B40" s="18" t="s">
        <v>549</v>
      </c>
      <c r="C40" s="18" t="s">
        <v>550</v>
      </c>
      <c r="D40" s="29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2:23" ht="11.25" customHeight="1">
      <c r="B41" s="18" t="s">
        <v>551</v>
      </c>
      <c r="C41" s="18" t="s">
        <v>552</v>
      </c>
      <c r="D41" s="29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2:23" ht="11.25" customHeight="1">
      <c r="B42" s="18" t="s">
        <v>553</v>
      </c>
      <c r="C42" s="18" t="s">
        <v>554</v>
      </c>
      <c r="D42" s="29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2:23" ht="11.25" customHeight="1">
      <c r="B43" s="18" t="s">
        <v>555</v>
      </c>
      <c r="C43" s="18" t="s">
        <v>556</v>
      </c>
      <c r="D43" s="29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2:23" ht="11.25" customHeight="1">
      <c r="B44" s="18" t="s">
        <v>557</v>
      </c>
      <c r="C44" s="18" t="s">
        <v>558</v>
      </c>
      <c r="D44" s="29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2:23" ht="11.25" customHeight="1">
      <c r="B45" s="229" t="s">
        <v>559</v>
      </c>
      <c r="C45" s="229" t="s">
        <v>560</v>
      </c>
      <c r="D45" s="29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2:23" ht="11.25" customHeight="1">
      <c r="B46" s="18" t="s">
        <v>561</v>
      </c>
      <c r="C46" s="18" t="s">
        <v>562</v>
      </c>
      <c r="D46" s="29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2:23" ht="11.25" customHeight="1">
      <c r="B47" s="18" t="s">
        <v>563</v>
      </c>
      <c r="C47" s="18" t="s">
        <v>564</v>
      </c>
      <c r="D47" s="29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2:23" ht="11.25" customHeight="1">
      <c r="B48" s="18" t="s">
        <v>565</v>
      </c>
      <c r="C48" s="18" t="s">
        <v>566</v>
      </c>
      <c r="D48" s="29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23" ht="11.25" customHeight="1">
      <c r="B49" s="18" t="s">
        <v>567</v>
      </c>
      <c r="C49" s="18" t="s">
        <v>568</v>
      </c>
      <c r="D49" s="29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2:23" ht="11.25" customHeight="1">
      <c r="B50" s="18" t="s">
        <v>569</v>
      </c>
      <c r="C50" s="18" t="s">
        <v>570</v>
      </c>
      <c r="D50" s="29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2:23" ht="11.25" customHeight="1">
      <c r="B51" s="18" t="s">
        <v>571</v>
      </c>
      <c r="C51" s="18" t="s">
        <v>572</v>
      </c>
      <c r="D51" s="29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23" ht="11.25" customHeight="1">
      <c r="B52" s="18" t="s">
        <v>573</v>
      </c>
      <c r="C52" s="18" t="s">
        <v>574</v>
      </c>
      <c r="D52" s="29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23" ht="11.25" customHeight="1">
      <c r="B53" s="18" t="s">
        <v>575</v>
      </c>
      <c r="C53" s="18" t="s">
        <v>576</v>
      </c>
      <c r="D53" s="29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2:23" ht="11.25" customHeight="1">
      <c r="B54" s="18" t="s">
        <v>577</v>
      </c>
      <c r="C54" s="18" t="s">
        <v>578</v>
      </c>
      <c r="D54" s="29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2:23" ht="11.25" customHeight="1">
      <c r="B55" s="18" t="s">
        <v>579</v>
      </c>
      <c r="C55" s="18" t="s">
        <v>579</v>
      </c>
      <c r="D55" s="29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23" ht="11.25" customHeight="1">
      <c r="B56" s="18" t="s">
        <v>580</v>
      </c>
      <c r="C56" s="18" t="s">
        <v>581</v>
      </c>
      <c r="D56" s="29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2:23" ht="11.25" customHeight="1">
      <c r="B57" s="18" t="s">
        <v>582</v>
      </c>
      <c r="C57" s="18" t="s">
        <v>583</v>
      </c>
      <c r="D57" s="29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2:23" ht="11.25" customHeight="1">
      <c r="B58" s="18" t="s">
        <v>584</v>
      </c>
      <c r="C58" s="18" t="s">
        <v>585</v>
      </c>
      <c r="D58" s="29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2:23" ht="11.25" customHeight="1">
      <c r="B59" s="18" t="s">
        <v>586</v>
      </c>
      <c r="C59" s="18" t="s">
        <v>587</v>
      </c>
      <c r="D59" s="29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2:23" ht="11.25" customHeight="1">
      <c r="B60" s="18" t="s">
        <v>588</v>
      </c>
      <c r="C60" s="18" t="s">
        <v>589</v>
      </c>
      <c r="D60" s="29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2:23" ht="11.25" customHeight="1">
      <c r="B61" s="18" t="s">
        <v>590</v>
      </c>
      <c r="C61" s="18" t="s">
        <v>591</v>
      </c>
      <c r="D61" s="29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2:23" ht="11.25" customHeight="1">
      <c r="B62" s="18" t="s">
        <v>592</v>
      </c>
      <c r="C62" s="18" t="s">
        <v>593</v>
      </c>
      <c r="D62" s="29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2:23" ht="11.25" customHeight="1">
      <c r="B63" s="18" t="s">
        <v>594</v>
      </c>
      <c r="C63" s="18" t="s">
        <v>595</v>
      </c>
      <c r="D63" s="29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2:23" ht="11.25" customHeight="1">
      <c r="B64" s="26" t="s">
        <v>596</v>
      </c>
      <c r="C64" s="18" t="s">
        <v>597</v>
      </c>
      <c r="D64" s="29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ht="11.25" customHeight="1">
      <c r="B65" s="26" t="s">
        <v>598</v>
      </c>
      <c r="C65" s="18" t="s">
        <v>599</v>
      </c>
      <c r="D65" s="29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2:23" ht="11.25" customHeight="1">
      <c r="B66" s="18" t="s">
        <v>600</v>
      </c>
      <c r="C66" s="18" t="s">
        <v>601</v>
      </c>
      <c r="D66" s="29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2:23" ht="11.25" customHeight="1">
      <c r="B67" s="18" t="s">
        <v>602</v>
      </c>
      <c r="C67" s="18" t="s">
        <v>603</v>
      </c>
      <c r="D67" s="29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2:23" ht="11.25" customHeight="1">
      <c r="B68" s="18" t="s">
        <v>62</v>
      </c>
      <c r="C68" s="18" t="s">
        <v>604</v>
      </c>
      <c r="D68" s="29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2:23" ht="11.25" customHeight="1">
      <c r="B69" s="18" t="s">
        <v>605</v>
      </c>
      <c r="C69" s="18" t="s">
        <v>606</v>
      </c>
      <c r="D69" s="29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2:23" ht="11.25" customHeight="1">
      <c r="B70" s="18" t="s">
        <v>607</v>
      </c>
      <c r="C70" s="18" t="s">
        <v>608</v>
      </c>
      <c r="D70" s="29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2:23" ht="11.25" customHeight="1">
      <c r="B71" s="18" t="s">
        <v>609</v>
      </c>
      <c r="C71" s="18" t="s">
        <v>610</v>
      </c>
      <c r="D71" s="29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2:23" ht="11.25" customHeight="1">
      <c r="B72" s="18" t="s">
        <v>611</v>
      </c>
      <c r="C72" s="18" t="s">
        <v>612</v>
      </c>
      <c r="D72" s="29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2:23" ht="11.25" customHeight="1">
      <c r="B73" s="18" t="s">
        <v>613</v>
      </c>
      <c r="C73" s="18" t="s">
        <v>614</v>
      </c>
      <c r="D73" s="29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2:23" ht="11.25" customHeight="1">
      <c r="B74" s="18" t="s">
        <v>615</v>
      </c>
      <c r="C74" s="18" t="s">
        <v>616</v>
      </c>
      <c r="D74" s="29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2:23" ht="11.25" customHeight="1">
      <c r="B75" s="18" t="s">
        <v>617</v>
      </c>
      <c r="C75" s="18" t="s">
        <v>358</v>
      </c>
      <c r="D75" s="29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2:23" ht="11.25" customHeight="1">
      <c r="B76" s="18" t="s">
        <v>618</v>
      </c>
      <c r="C76" s="18" t="s">
        <v>619</v>
      </c>
      <c r="D76" s="29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2:23" ht="11.25" customHeight="1">
      <c r="B77" s="32" t="s">
        <v>620</v>
      </c>
      <c r="C77" s="32" t="s">
        <v>621</v>
      </c>
      <c r="D77" s="29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2:23" ht="11.25" customHeight="1">
      <c r="B78" s="2"/>
      <c r="C78" s="2"/>
      <c r="D78" s="29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2:23" ht="11.25" customHeight="1">
      <c r="B79" s="2"/>
      <c r="C79" s="2"/>
      <c r="D79" s="29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2:23" ht="11.25" customHeight="1">
      <c r="B80" s="2"/>
      <c r="C80" s="2"/>
      <c r="D80" s="29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2:23" ht="11.25" customHeight="1">
      <c r="B81" s="2"/>
      <c r="C81" s="2"/>
      <c r="D81" s="29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3" ht="11.25" customHeight="1">
      <c r="B82" s="2"/>
      <c r="C82" s="2"/>
      <c r="D82" s="29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3" ht="11.25" customHeight="1">
      <c r="B83" s="2"/>
      <c r="C83" s="2"/>
      <c r="D83" s="29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3" ht="11.25" customHeight="1">
      <c r="B84" s="2"/>
      <c r="C84" s="2"/>
      <c r="D84" s="29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3" ht="11.25" customHeight="1">
      <c r="B85" s="2"/>
      <c r="C85" s="2"/>
      <c r="D85" s="29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2:23" ht="11.25" customHeight="1">
      <c r="B86" s="2"/>
      <c r="C86" s="2"/>
      <c r="D86" s="29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ht="11.25" customHeight="1">
      <c r="B87" s="2"/>
      <c r="C87" s="2"/>
      <c r="D87" s="29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2:23" ht="11.25" customHeight="1">
      <c r="B88" s="2"/>
      <c r="C88" s="2"/>
      <c r="D88" s="29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ht="11.25" customHeight="1">
      <c r="B89" s="2"/>
      <c r="C89" s="2"/>
      <c r="D89" s="29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2:23" ht="11.25" customHeight="1">
      <c r="B90" s="2"/>
      <c r="C90" s="2"/>
      <c r="D90" s="29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2:23" ht="11.25" customHeight="1">
      <c r="B91" s="2"/>
      <c r="C91" s="2"/>
      <c r="D91" s="29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3" ht="11.25" customHeight="1">
      <c r="B92" s="2"/>
      <c r="C92" s="2"/>
      <c r="D92" s="29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2:23" ht="11.25" customHeight="1">
      <c r="B93" s="2"/>
      <c r="C93" s="2"/>
      <c r="D93" s="29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2:23" ht="11.25" customHeight="1">
      <c r="B94" s="2"/>
      <c r="C94" s="2"/>
      <c r="D94" s="29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2:23" ht="11.25" customHeight="1">
      <c r="B95" s="2"/>
      <c r="C95" s="2"/>
      <c r="D95" s="29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2:23" ht="11.25" customHeight="1">
      <c r="B96" s="2"/>
      <c r="C96" s="2"/>
      <c r="D96" s="29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3" ht="11.25" customHeight="1">
      <c r="B97" s="2"/>
      <c r="C97" s="2"/>
      <c r="D97" s="29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2:23" ht="11.25" customHeight="1">
      <c r="B98" s="2"/>
      <c r="C98" s="2"/>
      <c r="D98" s="29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2:23" ht="11.25" customHeight="1">
      <c r="B99" s="2"/>
      <c r="C99" s="2"/>
      <c r="D99" s="29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ht="11.25" customHeight="1">
      <c r="B100" s="2"/>
      <c r="C100" s="2"/>
      <c r="D100" s="29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2:23" ht="11.25" customHeight="1">
      <c r="B101" s="2"/>
      <c r="C101" s="2"/>
      <c r="D101" s="29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2:23" ht="11.25" customHeight="1">
      <c r="B102" s="2"/>
      <c r="C102" s="2"/>
      <c r="D102" s="29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3" ht="11.25" customHeight="1">
      <c r="B103" s="2"/>
      <c r="C103" s="2"/>
      <c r="D103" s="29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2:23" ht="11.25" customHeight="1">
      <c r="B104" s="2"/>
      <c r="C104" s="2"/>
      <c r="D104" s="29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2:23" ht="11.25" customHeight="1">
      <c r="B105" s="2"/>
      <c r="C105" s="2"/>
      <c r="D105" s="29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ht="11.25" customHeight="1">
      <c r="B106" s="2"/>
      <c r="C106" s="2"/>
      <c r="D106" s="29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 ht="11.25" customHeight="1">
      <c r="B107" s="2"/>
      <c r="C107" s="2"/>
      <c r="D107" s="29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 ht="11.25" customHeight="1">
      <c r="B108" s="2"/>
      <c r="C108" s="2"/>
      <c r="D108" s="29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 ht="11.25" customHeight="1">
      <c r="B109" s="2"/>
      <c r="C109" s="2"/>
      <c r="D109" s="29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 ht="11.25" customHeight="1">
      <c r="B110" s="2"/>
      <c r="C110" s="2"/>
      <c r="D110" s="29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 ht="11.25" customHeight="1">
      <c r="B111" s="2"/>
      <c r="C111" s="2"/>
      <c r="D111" s="29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 ht="11.25" customHeight="1">
      <c r="B112" s="2"/>
      <c r="C112" s="2"/>
      <c r="D112" s="29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 ht="11.25" customHeight="1">
      <c r="B113" s="2"/>
      <c r="C113" s="2"/>
      <c r="D113" s="29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 ht="11.25" customHeight="1">
      <c r="B114" s="2"/>
      <c r="C114" s="2"/>
      <c r="D114" s="29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 ht="11.25" customHeight="1">
      <c r="B115" s="2"/>
      <c r="C115" s="2"/>
      <c r="D115" s="29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 ht="11.25" customHeight="1">
      <c r="B116" s="2"/>
      <c r="C116" s="2"/>
      <c r="D116" s="29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 ht="11.25" customHeight="1">
      <c r="B117" s="2"/>
      <c r="C117" s="2"/>
      <c r="D117" s="29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 ht="11.25" customHeight="1">
      <c r="B118" s="2"/>
      <c r="C118" s="2"/>
      <c r="D118" s="29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2:23" ht="11.25" customHeight="1">
      <c r="B119" s="2"/>
      <c r="C119" s="2"/>
      <c r="D119" s="29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2:23" ht="11.25" customHeight="1">
      <c r="B120" s="2"/>
      <c r="C120" s="2"/>
      <c r="D120" s="29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2:23" ht="11.25" customHeight="1">
      <c r="B121" s="2"/>
      <c r="C121" s="2"/>
      <c r="D121" s="29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ht="11.25" customHeight="1">
      <c r="B122" s="2"/>
      <c r="C122" s="2"/>
      <c r="D122" s="29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2:23" ht="11.25" customHeight="1">
      <c r="B123" s="2"/>
      <c r="C123" s="2"/>
      <c r="D123" s="29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2:23" ht="11.25" customHeight="1">
      <c r="B124" s="2"/>
      <c r="C124" s="2"/>
      <c r="D124" s="29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ht="11.25" customHeight="1">
      <c r="B125" s="2"/>
      <c r="C125" s="2"/>
      <c r="D125" s="29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2:23" ht="11.25" customHeight="1">
      <c r="B126" s="2"/>
      <c r="C126" s="2"/>
      <c r="D126" s="29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ht="11.25" customHeight="1">
      <c r="B127" s="2"/>
      <c r="C127" s="2"/>
      <c r="D127" s="29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ht="11.25" customHeight="1">
      <c r="B128" s="2"/>
      <c r="C128" s="2"/>
      <c r="D128" s="29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ht="11.25" customHeight="1">
      <c r="B129" s="2"/>
      <c r="C129" s="2"/>
      <c r="D129" s="29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ht="11.25" customHeight="1">
      <c r="B130" s="2"/>
      <c r="C130" s="2"/>
      <c r="D130" s="29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ht="11.25" customHeight="1">
      <c r="B131" s="2"/>
      <c r="C131" s="2"/>
      <c r="D131" s="29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2:23" ht="11.25" customHeight="1">
      <c r="B132" s="2"/>
      <c r="C132" s="2"/>
      <c r="D132" s="29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2:23" ht="11.25" customHeight="1">
      <c r="B133" s="2"/>
      <c r="C133" s="2"/>
      <c r="D133" s="29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2:23" ht="11.25" customHeight="1">
      <c r="B134" s="2"/>
      <c r="C134" s="2"/>
      <c r="D134" s="29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2:23" ht="11.25" customHeight="1">
      <c r="B135" s="2"/>
      <c r="C135" s="2"/>
      <c r="D135" s="29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ht="11.25" customHeight="1">
      <c r="B136" s="2"/>
      <c r="C136" s="2"/>
      <c r="D136" s="29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2:23" ht="11.25" customHeight="1">
      <c r="B137" s="2"/>
      <c r="C137" s="2"/>
      <c r="D137" s="29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ht="11.25" customHeight="1">
      <c r="B138" s="2"/>
      <c r="C138" s="2"/>
      <c r="D138" s="29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ht="11.25" customHeight="1">
      <c r="B139" s="2"/>
      <c r="C139" s="2"/>
      <c r="D139" s="29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ht="11.25" customHeight="1">
      <c r="B140" s="2"/>
      <c r="C140" s="2"/>
      <c r="D140" s="29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ht="11.25" customHeight="1">
      <c r="B141" s="2"/>
      <c r="C141" s="2"/>
      <c r="D141" s="29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ht="11.25" customHeight="1">
      <c r="B142" s="2"/>
      <c r="C142" s="2"/>
      <c r="D142" s="29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2:23" ht="11.25" customHeight="1">
      <c r="B143" s="2"/>
      <c r="C143" s="2"/>
      <c r="D143" s="29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2:23" ht="11.25" customHeight="1">
      <c r="B144" s="2"/>
      <c r="C144" s="2"/>
      <c r="D144" s="29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2:23" ht="11.25" customHeight="1">
      <c r="B145" s="2"/>
      <c r="C145" s="2"/>
      <c r="D145" s="29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2:23" ht="11.25" customHeight="1">
      <c r="B146" s="2"/>
      <c r="C146" s="2"/>
      <c r="D146" s="29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2:23" ht="11.25" customHeight="1">
      <c r="B147" s="2"/>
      <c r="C147" s="2"/>
      <c r="D147" s="29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ht="11.25" customHeight="1">
      <c r="B148" s="2"/>
      <c r="C148" s="2"/>
      <c r="D148" s="29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3" ht="11.25" customHeight="1">
      <c r="B149" s="2"/>
      <c r="C149" s="2"/>
      <c r="D149" s="29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3" ht="11.25" customHeight="1">
      <c r="B150" s="2"/>
      <c r="C150" s="2"/>
      <c r="D150" s="29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2:23" ht="11.25" customHeight="1">
      <c r="B151" s="2"/>
      <c r="C151" s="2"/>
      <c r="D151" s="29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2:23" ht="11.25" customHeight="1">
      <c r="B152" s="2"/>
      <c r="C152" s="2"/>
      <c r="D152" s="29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3" ht="11.25" customHeight="1">
      <c r="B153" s="2"/>
      <c r="C153" s="2"/>
      <c r="D153" s="29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2:23" ht="11.25" customHeight="1">
      <c r="B154" s="2"/>
      <c r="C154" s="2"/>
      <c r="D154" s="29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2:23" ht="11.25" customHeight="1">
      <c r="B155" s="2"/>
      <c r="C155" s="2"/>
      <c r="D155" s="29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2:23" ht="11.25" customHeight="1">
      <c r="B156" s="2"/>
      <c r="C156" s="2"/>
      <c r="D156" s="29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11.25" customHeight="1">
      <c r="B157" s="2"/>
      <c r="C157" s="2"/>
      <c r="D157" s="29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11.25" customHeight="1">
      <c r="B158" s="2"/>
      <c r="C158" s="2"/>
      <c r="D158" s="29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11.25" customHeight="1">
      <c r="B159" s="2"/>
      <c r="C159" s="2"/>
      <c r="D159" s="29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11.25" customHeight="1">
      <c r="B160" s="2"/>
      <c r="C160" s="2"/>
      <c r="D160" s="29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3" ht="11.25" customHeight="1">
      <c r="B161" s="2"/>
      <c r="C161" s="2"/>
      <c r="D161" s="29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3" ht="11.25" customHeight="1">
      <c r="B162" s="2"/>
      <c r="C162" s="2"/>
      <c r="D162" s="29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3" ht="11.25" customHeight="1">
      <c r="B163" s="2"/>
      <c r="C163" s="2"/>
      <c r="D163" s="29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3" ht="11.25" customHeight="1">
      <c r="B164" s="2"/>
      <c r="C164" s="2"/>
      <c r="D164" s="29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2:23" ht="11.25" customHeight="1">
      <c r="B165" s="2"/>
      <c r="C165" s="2"/>
      <c r="D165" s="29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2:23" ht="11.25" customHeight="1">
      <c r="B166" s="2"/>
      <c r="C166" s="2"/>
      <c r="D166" s="29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2:23" ht="11.25" customHeight="1">
      <c r="B167" s="2"/>
      <c r="C167" s="2"/>
      <c r="D167" s="29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2:23" ht="11.25" customHeight="1">
      <c r="B168" s="2"/>
      <c r="C168" s="2"/>
      <c r="D168" s="29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2:23" ht="11.25" customHeight="1">
      <c r="B169" s="2"/>
      <c r="C169" s="2"/>
      <c r="D169" s="29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2:23" ht="11.25" customHeight="1">
      <c r="B170" s="2"/>
      <c r="C170" s="2"/>
      <c r="D170" s="29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2:23" ht="11.25" customHeight="1">
      <c r="B171" s="2"/>
      <c r="C171" s="2"/>
      <c r="D171" s="29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2:23" ht="11.25" customHeight="1">
      <c r="B172" s="2"/>
      <c r="C172" s="2"/>
      <c r="D172" s="29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2:23" ht="11.25" customHeight="1">
      <c r="B173" s="2"/>
      <c r="C173" s="2"/>
      <c r="D173" s="29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2:23" ht="11.25" customHeight="1">
      <c r="B174" s="2"/>
      <c r="C174" s="2"/>
      <c r="D174" s="29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2:23" ht="11.25" customHeight="1">
      <c r="B175" s="2"/>
      <c r="C175" s="2"/>
      <c r="D175" s="29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2:23" ht="11.25" customHeight="1">
      <c r="B176" s="2"/>
      <c r="C176" s="2"/>
      <c r="D176" s="29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2:23" ht="11.25" customHeight="1">
      <c r="B177" s="2"/>
      <c r="C177" s="2"/>
      <c r="D177" s="29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2:23" ht="11.25" customHeight="1">
      <c r="B178" s="2"/>
      <c r="C178" s="2"/>
      <c r="D178" s="29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2:23" ht="11.25" customHeight="1">
      <c r="B179" s="2"/>
      <c r="C179" s="2"/>
      <c r="D179" s="29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2:23" ht="11.25" customHeight="1">
      <c r="B180" s="2"/>
      <c r="C180" s="2"/>
      <c r="D180" s="29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2:23" ht="11.25" customHeight="1">
      <c r="B181" s="2"/>
      <c r="C181" s="2"/>
      <c r="D181" s="29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2:23" ht="11.25" customHeight="1">
      <c r="B182" s="2"/>
      <c r="C182" s="2"/>
      <c r="D182" s="29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2:23" ht="11.25" customHeight="1">
      <c r="B183" s="2"/>
      <c r="C183" s="2"/>
      <c r="D183" s="29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2:23" ht="11.25" customHeight="1">
      <c r="B184" s="2"/>
      <c r="C184" s="2"/>
      <c r="D184" s="29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2:23" ht="11.25" customHeight="1">
      <c r="B185" s="2"/>
      <c r="C185" s="2"/>
      <c r="D185" s="29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2:23" ht="11.25" customHeight="1">
      <c r="B186" s="2"/>
      <c r="C186" s="2"/>
      <c r="D186" s="29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3" ht="11.25" customHeight="1">
      <c r="B187" s="2"/>
      <c r="C187" s="2"/>
      <c r="D187" s="29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2:23" ht="11.25" customHeight="1">
      <c r="B188" s="2"/>
      <c r="C188" s="2"/>
      <c r="D188" s="29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2:23" ht="11.25" customHeight="1">
      <c r="B189" s="2"/>
      <c r="C189" s="2"/>
      <c r="D189" s="29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2:23" ht="11.25" customHeight="1">
      <c r="B190" s="2"/>
      <c r="C190" s="2"/>
      <c r="D190" s="29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2:23" ht="11.25" customHeight="1">
      <c r="B191" s="2"/>
      <c r="C191" s="2"/>
      <c r="D191" s="29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2:23" ht="11.25" customHeight="1">
      <c r="B192" s="2"/>
      <c r="C192" s="2"/>
      <c r="D192" s="29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2:23" ht="11.25" customHeight="1">
      <c r="B193" s="2"/>
      <c r="C193" s="2"/>
      <c r="D193" s="29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2:23" ht="11.25" customHeight="1">
      <c r="B194" s="2"/>
      <c r="C194" s="2"/>
      <c r="D194" s="29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2:23" ht="11.25" customHeight="1">
      <c r="B195" s="2"/>
      <c r="C195" s="2"/>
      <c r="D195" s="29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2:23" ht="11.25" customHeight="1">
      <c r="B196" s="2"/>
      <c r="C196" s="2"/>
      <c r="D196" s="29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2:23" ht="11.25" customHeight="1">
      <c r="B197" s="2"/>
      <c r="C197" s="2"/>
      <c r="D197" s="29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2:23" ht="11.25" customHeight="1">
      <c r="B198" s="2"/>
      <c r="C198" s="2"/>
      <c r="D198" s="29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2:23" ht="11.25" customHeight="1">
      <c r="B199" s="2"/>
      <c r="C199" s="2"/>
      <c r="D199" s="29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2:23" ht="11.25" customHeight="1">
      <c r="B200" s="2"/>
      <c r="C200" s="2"/>
      <c r="D200" s="29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2:23" ht="11.25" customHeight="1">
      <c r="B201" s="2"/>
      <c r="C201" s="2"/>
      <c r="D201" s="29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2:23" ht="11.25" customHeight="1">
      <c r="B202" s="2"/>
      <c r="C202" s="2"/>
      <c r="D202" s="29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2:23" ht="11.25" customHeight="1">
      <c r="B203" s="2"/>
      <c r="C203" s="2"/>
      <c r="D203" s="29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2:23" ht="11.25" customHeight="1">
      <c r="B204" s="2"/>
      <c r="C204" s="2"/>
      <c r="D204" s="29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2:23" ht="11.25" customHeight="1">
      <c r="B205" s="2"/>
      <c r="C205" s="2"/>
      <c r="D205" s="29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2:23" ht="11.25" customHeight="1">
      <c r="B206" s="2"/>
      <c r="C206" s="2"/>
      <c r="D206" s="29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2:23" ht="11.25" customHeight="1">
      <c r="B207" s="2"/>
      <c r="C207" s="2"/>
      <c r="D207" s="29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2:23" ht="11.25" customHeight="1">
      <c r="B208" s="2"/>
      <c r="C208" s="2"/>
      <c r="D208" s="29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2:23" ht="11.25" customHeight="1">
      <c r="B209" s="2"/>
      <c r="C209" s="2"/>
      <c r="D209" s="29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2:23" ht="11.25" customHeight="1">
      <c r="B210" s="2"/>
      <c r="C210" s="2"/>
      <c r="D210" s="29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2:23" ht="11.25" customHeight="1">
      <c r="B211" s="2"/>
      <c r="C211" s="2"/>
      <c r="D211" s="29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2:23" ht="11.25" customHeight="1">
      <c r="B212" s="2"/>
      <c r="C212" s="2"/>
      <c r="D212" s="29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2:23" ht="11.25" customHeight="1">
      <c r="B213" s="2"/>
      <c r="C213" s="2"/>
      <c r="D213" s="29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2:23" ht="11.25" customHeight="1">
      <c r="B214" s="2"/>
      <c r="C214" s="2"/>
      <c r="D214" s="29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2:23" ht="11.25" customHeight="1">
      <c r="B215" s="2"/>
      <c r="C215" s="2"/>
      <c r="D215" s="29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2:23" ht="11.25" customHeight="1">
      <c r="B216" s="2"/>
      <c r="C216" s="2"/>
      <c r="D216" s="29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2:23" ht="11.25" customHeight="1">
      <c r="B217" s="2"/>
      <c r="C217" s="2"/>
      <c r="D217" s="29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2:23" ht="11.25" customHeight="1">
      <c r="B218" s="2"/>
      <c r="C218" s="2"/>
      <c r="D218" s="29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2:23" ht="11.25" customHeight="1">
      <c r="B219" s="2"/>
      <c r="C219" s="2"/>
      <c r="D219" s="29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2:23" ht="11.25" customHeight="1">
      <c r="B220" s="2"/>
      <c r="C220" s="2"/>
      <c r="D220" s="29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2:23" ht="11.25" customHeight="1">
      <c r="B221" s="2"/>
      <c r="C221" s="2"/>
      <c r="D221" s="29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2:23" ht="11.25" customHeight="1">
      <c r="B222" s="2"/>
      <c r="C222" s="2"/>
      <c r="D222" s="29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2:23" ht="11.25" customHeight="1">
      <c r="B223" s="2"/>
      <c r="C223" s="2"/>
      <c r="D223" s="29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2:23" ht="11.25" customHeight="1">
      <c r="B224" s="2"/>
      <c r="C224" s="2"/>
      <c r="D224" s="29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2:23" ht="11.25" customHeight="1">
      <c r="B225" s="2"/>
      <c r="C225" s="2"/>
      <c r="D225" s="29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2:23" ht="11.25" customHeight="1">
      <c r="B226" s="2"/>
      <c r="C226" s="2"/>
      <c r="D226" s="29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2:23" ht="11.25" customHeight="1">
      <c r="B227" s="2"/>
      <c r="C227" s="2"/>
      <c r="D227" s="29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2:23" ht="11.25" customHeight="1">
      <c r="B228" s="2"/>
      <c r="C228" s="2"/>
      <c r="D228" s="29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2:23" ht="11.25" customHeight="1">
      <c r="B229" s="2"/>
      <c r="C229" s="2"/>
      <c r="D229" s="29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2:23" ht="11.25" customHeight="1">
      <c r="B230" s="2"/>
      <c r="C230" s="2"/>
      <c r="D230" s="29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2:23" ht="11.25" customHeight="1">
      <c r="B231" s="2"/>
      <c r="C231" s="2"/>
      <c r="D231" s="29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2:23" ht="11.25" customHeight="1">
      <c r="B232" s="2"/>
      <c r="C232" s="2"/>
      <c r="D232" s="29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2:23" ht="11.25" customHeight="1">
      <c r="B233" s="2"/>
      <c r="C233" s="2"/>
      <c r="D233" s="29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2:23" ht="11.25" customHeight="1">
      <c r="B234" s="2"/>
      <c r="C234" s="2"/>
      <c r="D234" s="29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2:23" ht="11.25" customHeight="1">
      <c r="B235" s="2"/>
      <c r="C235" s="2"/>
      <c r="D235" s="29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2:23" ht="11.25" customHeight="1">
      <c r="B236" s="2"/>
      <c r="C236" s="2"/>
      <c r="D236" s="29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2:23" ht="11.25" customHeight="1">
      <c r="B237" s="2"/>
      <c r="C237" s="2"/>
      <c r="D237" s="29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2:23" ht="11.25" customHeight="1">
      <c r="B238" s="2"/>
      <c r="C238" s="2"/>
      <c r="D238" s="29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2:23" ht="11.25" customHeight="1">
      <c r="B239" s="2"/>
      <c r="C239" s="2"/>
      <c r="D239" s="29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2:23" ht="11.25" customHeight="1">
      <c r="B240" s="2"/>
      <c r="C240" s="2"/>
      <c r="D240" s="29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2:23" ht="11.25" customHeight="1">
      <c r="B241" s="2"/>
      <c r="C241" s="2"/>
      <c r="D241" s="29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2:23" ht="11.25" customHeight="1">
      <c r="B242" s="2"/>
      <c r="C242" s="2"/>
      <c r="D242" s="29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2:23" ht="11.25" customHeight="1">
      <c r="B243" s="2"/>
      <c r="C243" s="2"/>
      <c r="D243" s="29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2:23" ht="11.25" customHeight="1">
      <c r="B244" s="2"/>
      <c r="C244" s="2"/>
      <c r="D244" s="29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2:23" ht="11.25" customHeight="1">
      <c r="B245" s="2"/>
      <c r="C245" s="2"/>
      <c r="D245" s="29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2:23" ht="11.25" customHeight="1">
      <c r="B246" s="2"/>
      <c r="C246" s="2"/>
      <c r="D246" s="29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2:23" ht="11.25" customHeight="1">
      <c r="B247" s="2"/>
      <c r="C247" s="2"/>
      <c r="D247" s="29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2:23" ht="11.25" customHeight="1">
      <c r="B248" s="2"/>
      <c r="C248" s="2"/>
      <c r="D248" s="29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2:23" ht="11.25" customHeight="1">
      <c r="B249" s="2"/>
      <c r="C249" s="2"/>
      <c r="D249" s="29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2:23" ht="11.25" customHeight="1">
      <c r="B250" s="2"/>
      <c r="C250" s="2"/>
      <c r="D250" s="29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2:23" ht="11.25" customHeight="1">
      <c r="B251" s="2"/>
      <c r="C251" s="2"/>
      <c r="D251" s="29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2:23" ht="11.25" customHeight="1">
      <c r="B252" s="2"/>
      <c r="C252" s="2"/>
      <c r="D252" s="29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2:23" ht="11.25" customHeight="1">
      <c r="B253" s="2"/>
      <c r="C253" s="2"/>
      <c r="D253" s="29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2:23" ht="11.25" customHeight="1">
      <c r="B254" s="2"/>
      <c r="C254" s="2"/>
      <c r="D254" s="29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2:23" ht="11.25" customHeight="1">
      <c r="B255" s="2"/>
      <c r="C255" s="2"/>
      <c r="D255" s="29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2:23" ht="11.25" customHeight="1">
      <c r="B256" s="2"/>
      <c r="C256" s="2"/>
      <c r="D256" s="29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2:23" ht="11.25" customHeight="1">
      <c r="B257" s="2"/>
      <c r="C257" s="2"/>
      <c r="D257" s="29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2:23" ht="11.25" customHeight="1">
      <c r="B258" s="2"/>
      <c r="C258" s="2"/>
      <c r="D258" s="29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2:23" ht="11.25" customHeight="1">
      <c r="B259" s="2"/>
      <c r="C259" s="2"/>
      <c r="D259" s="29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2:23" ht="11.25" customHeight="1">
      <c r="B260" s="2"/>
      <c r="C260" s="2"/>
      <c r="D260" s="29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2:23" ht="11.25" customHeight="1">
      <c r="B261" s="2"/>
      <c r="C261" s="2"/>
      <c r="D261" s="29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2:23" ht="11.25" customHeight="1">
      <c r="B262" s="2"/>
      <c r="C262" s="2"/>
      <c r="D262" s="29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2:23" ht="11.25" customHeight="1">
      <c r="B263" s="2"/>
      <c r="C263" s="2"/>
      <c r="D263" s="29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2:23" ht="11.25" customHeight="1">
      <c r="B264" s="2"/>
      <c r="C264" s="2"/>
      <c r="D264" s="29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2:23" ht="11.25" customHeight="1">
      <c r="B265" s="2"/>
      <c r="C265" s="2"/>
      <c r="D265" s="29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2:23" ht="11.25" customHeight="1">
      <c r="B266" s="2"/>
      <c r="C266" s="2"/>
      <c r="D266" s="29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2:23" ht="11.25" customHeight="1">
      <c r="B267" s="2"/>
      <c r="C267" s="2"/>
      <c r="D267" s="29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2:23" ht="11.25" customHeight="1">
      <c r="B268" s="2"/>
      <c r="C268" s="2"/>
      <c r="D268" s="29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2:23" ht="11.25" customHeight="1">
      <c r="B269" s="2"/>
      <c r="C269" s="2"/>
      <c r="D269" s="29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2:23" ht="11.25" customHeight="1">
      <c r="B270" s="2"/>
      <c r="C270" s="2"/>
      <c r="D270" s="29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2:23" ht="11.25" customHeight="1">
      <c r="B271" s="2"/>
      <c r="C271" s="2"/>
      <c r="D271" s="29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2:23" ht="11.25" customHeight="1">
      <c r="B272" s="2"/>
      <c r="C272" s="2"/>
      <c r="D272" s="29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2:23" ht="11.25" customHeight="1">
      <c r="B273" s="2"/>
      <c r="C273" s="2"/>
      <c r="D273" s="29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2:23" ht="11.25" customHeight="1">
      <c r="B274" s="2"/>
      <c r="C274" s="2"/>
      <c r="D274" s="29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2:23" ht="11.25" customHeight="1">
      <c r="B275" s="2"/>
      <c r="C275" s="2"/>
      <c r="D275" s="29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2:23" ht="11.25" customHeight="1">
      <c r="B276" s="2"/>
      <c r="C276" s="2"/>
      <c r="D276" s="29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2:23" ht="11.25" customHeight="1">
      <c r="B277" s="2"/>
      <c r="C277" s="2"/>
      <c r="D277" s="29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2:C2"/>
    <mergeCell ref="B3:C3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showGridLines="0" zoomScale="70" zoomScaleNormal="70" workbookViewId="0">
      <selection activeCell="E19" sqref="E19"/>
    </sheetView>
  </sheetViews>
  <sheetFormatPr defaultColWidth="14.453125" defaultRowHeight="15" customHeight="1"/>
  <cols>
    <col min="1" max="1" width="4.7265625" customWidth="1"/>
    <col min="2" max="2" width="23.7265625" customWidth="1"/>
    <col min="3" max="4" width="7.36328125" bestFit="1" customWidth="1"/>
    <col min="5" max="5" width="15.26953125" customWidth="1"/>
    <col min="6" max="6" width="14.36328125" customWidth="1"/>
    <col min="7" max="7" width="12.7265625" bestFit="1" customWidth="1"/>
    <col min="8" max="8" width="15.6328125" bestFit="1" customWidth="1"/>
    <col min="9" max="9" width="16.1796875" bestFit="1" customWidth="1"/>
    <col min="10" max="10" width="16.08984375" customWidth="1"/>
    <col min="11" max="11" width="14" customWidth="1"/>
    <col min="12" max="12" width="18.26953125" bestFit="1" customWidth="1"/>
    <col min="13" max="13" width="11.08984375" bestFit="1" customWidth="1"/>
    <col min="14" max="14" width="11.81640625" bestFit="1" customWidth="1"/>
    <col min="15" max="26" width="8" customWidth="1"/>
  </cols>
  <sheetData>
    <row r="1" spans="1:26" ht="14.25" customHeight="1">
      <c r="A1" s="1"/>
      <c r="B1" s="349" t="s">
        <v>622</v>
      </c>
      <c r="C1" s="350"/>
      <c r="D1" s="350"/>
      <c r="E1" s="350"/>
      <c r="F1" s="350"/>
      <c r="G1" s="350"/>
      <c r="H1" s="350"/>
      <c r="I1" s="350"/>
      <c r="J1" s="350"/>
      <c r="K1" s="350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/>
      <c r="B2" s="349" t="s">
        <v>623</v>
      </c>
      <c r="C2" s="350"/>
      <c r="D2" s="350"/>
      <c r="E2" s="350"/>
      <c r="F2" s="350"/>
      <c r="G2" s="350"/>
      <c r="H2" s="350"/>
      <c r="I2" s="350"/>
      <c r="J2" s="350"/>
      <c r="K2" s="350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2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3" t="s">
        <v>624</v>
      </c>
      <c r="B4" s="3" t="s">
        <v>61</v>
      </c>
      <c r="C4" s="296" t="s">
        <v>625</v>
      </c>
      <c r="D4" s="297" t="s">
        <v>626</v>
      </c>
      <c r="E4" s="297" t="s">
        <v>627</v>
      </c>
      <c r="F4" s="297" t="s">
        <v>628</v>
      </c>
      <c r="G4" s="297" t="s">
        <v>629</v>
      </c>
      <c r="H4" s="297" t="s">
        <v>630</v>
      </c>
      <c r="I4" s="297" t="s">
        <v>631</v>
      </c>
      <c r="J4" s="297" t="s">
        <v>632</v>
      </c>
      <c r="K4" s="297" t="s">
        <v>633</v>
      </c>
      <c r="L4" s="297" t="s">
        <v>634</v>
      </c>
      <c r="M4" s="297" t="s">
        <v>635</v>
      </c>
      <c r="N4" s="298" t="s">
        <v>636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4"/>
      <c r="B5" s="8"/>
      <c r="C5" s="8" t="s">
        <v>637</v>
      </c>
      <c r="D5" s="9" t="s">
        <v>637</v>
      </c>
      <c r="E5" s="9" t="s">
        <v>637</v>
      </c>
      <c r="F5" s="9" t="s">
        <v>637</v>
      </c>
      <c r="G5" s="9" t="s">
        <v>637</v>
      </c>
      <c r="H5" s="9" t="s">
        <v>637</v>
      </c>
      <c r="I5" s="9" t="s">
        <v>637</v>
      </c>
      <c r="J5" s="9" t="s">
        <v>637</v>
      </c>
      <c r="K5" s="9" t="s">
        <v>637</v>
      </c>
      <c r="L5" s="13" t="s">
        <v>637</v>
      </c>
      <c r="M5" s="9" t="s">
        <v>637</v>
      </c>
      <c r="N5" s="14" t="s">
        <v>637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15"/>
      <c r="B6" s="15"/>
      <c r="C6" s="299" t="s">
        <v>638</v>
      </c>
      <c r="D6" s="300" t="s">
        <v>639</v>
      </c>
      <c r="E6" s="300" t="s">
        <v>640</v>
      </c>
      <c r="F6" s="300" t="s">
        <v>641</v>
      </c>
      <c r="G6" s="6" t="s">
        <v>642</v>
      </c>
      <c r="H6" s="6" t="s">
        <v>643</v>
      </c>
      <c r="I6" s="301" t="s">
        <v>644</v>
      </c>
      <c r="J6" s="302" t="s">
        <v>645</v>
      </c>
      <c r="K6" s="303" t="s">
        <v>646</v>
      </c>
      <c r="L6" s="304" t="s">
        <v>647</v>
      </c>
      <c r="M6" s="303" t="s">
        <v>648</v>
      </c>
      <c r="N6" s="305" t="s">
        <v>649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306">
        <v>1</v>
      </c>
      <c r="B7" s="306" t="s">
        <v>650</v>
      </c>
      <c r="C7" s="307"/>
      <c r="D7" s="308"/>
      <c r="E7" s="309">
        <v>44027</v>
      </c>
      <c r="F7" s="308"/>
      <c r="G7" s="309"/>
      <c r="H7" s="308"/>
      <c r="I7" s="308"/>
      <c r="J7" s="308"/>
      <c r="K7" s="308"/>
      <c r="L7" s="295"/>
      <c r="M7" s="295"/>
      <c r="N7" s="31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306">
        <v>1</v>
      </c>
      <c r="B8" s="306" t="s">
        <v>651</v>
      </c>
      <c r="C8" s="307"/>
      <c r="D8" s="295"/>
      <c r="E8" s="311">
        <v>44027</v>
      </c>
      <c r="F8" s="295"/>
      <c r="G8" s="311"/>
      <c r="H8" s="295"/>
      <c r="I8" s="295"/>
      <c r="J8" s="295"/>
      <c r="K8" s="295"/>
      <c r="L8" s="295"/>
      <c r="M8" s="295"/>
      <c r="N8" s="310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306">
        <v>1</v>
      </c>
      <c r="B9" s="306" t="s">
        <v>652</v>
      </c>
      <c r="C9" s="307"/>
      <c r="D9" s="295"/>
      <c r="E9" s="311">
        <v>44027</v>
      </c>
      <c r="F9" s="295"/>
      <c r="G9" s="311"/>
      <c r="H9" s="295"/>
      <c r="I9" s="295"/>
      <c r="J9" s="295"/>
      <c r="K9" s="295"/>
      <c r="L9" s="295"/>
      <c r="M9" s="295"/>
      <c r="N9" s="31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306">
        <v>1</v>
      </c>
      <c r="B10" s="306" t="s">
        <v>65</v>
      </c>
      <c r="C10" s="307"/>
      <c r="D10" s="295"/>
      <c r="E10" s="311">
        <v>44027</v>
      </c>
      <c r="F10" s="295"/>
      <c r="G10" s="311"/>
      <c r="H10" s="295"/>
      <c r="I10" s="295"/>
      <c r="J10" s="295"/>
      <c r="K10" s="295"/>
      <c r="L10" s="295"/>
      <c r="M10" s="295"/>
      <c r="N10" s="31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12">
        <v>2</v>
      </c>
      <c r="B11" s="312" t="s">
        <v>653</v>
      </c>
      <c r="C11" s="313"/>
      <c r="D11" s="314"/>
      <c r="E11" s="315">
        <v>44028</v>
      </c>
      <c r="F11" s="314"/>
      <c r="G11" s="316"/>
      <c r="H11" s="317"/>
      <c r="I11" s="317"/>
      <c r="J11" s="317"/>
      <c r="K11" s="317"/>
      <c r="L11" s="317"/>
      <c r="M11" s="317"/>
      <c r="N11" s="31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312">
        <v>2</v>
      </c>
      <c r="B12" s="312" t="s">
        <v>654</v>
      </c>
      <c r="C12" s="313"/>
      <c r="D12" s="317"/>
      <c r="E12" s="315">
        <v>44028</v>
      </c>
      <c r="F12" s="317"/>
      <c r="G12" s="319"/>
      <c r="H12" s="317"/>
      <c r="I12" s="317"/>
      <c r="J12" s="317"/>
      <c r="K12" s="317"/>
      <c r="L12" s="317"/>
      <c r="M12" s="317"/>
      <c r="N12" s="31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306">
        <v>3</v>
      </c>
      <c r="B13" s="306" t="s">
        <v>655</v>
      </c>
      <c r="C13" s="320"/>
      <c r="D13" s="295"/>
      <c r="E13" s="311"/>
      <c r="F13" s="321">
        <v>44034</v>
      </c>
      <c r="G13" s="311"/>
      <c r="H13" s="295"/>
      <c r="I13" s="295"/>
      <c r="J13" s="295"/>
      <c r="K13" s="295"/>
      <c r="L13" s="295"/>
      <c r="M13" s="295"/>
      <c r="N13" s="31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312">
        <v>4</v>
      </c>
      <c r="B14" s="312" t="s">
        <v>656</v>
      </c>
      <c r="C14" s="313"/>
      <c r="D14" s="317"/>
      <c r="E14" s="317"/>
      <c r="F14" s="322">
        <v>44035</v>
      </c>
      <c r="G14" s="317"/>
      <c r="H14" s="323"/>
      <c r="I14" s="317"/>
      <c r="J14" s="317"/>
      <c r="K14" s="317"/>
      <c r="L14" s="317"/>
      <c r="M14" s="317"/>
      <c r="N14" s="31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312">
        <v>4</v>
      </c>
      <c r="B15" s="312" t="s">
        <v>657</v>
      </c>
      <c r="C15" s="313"/>
      <c r="D15" s="317"/>
      <c r="E15" s="317"/>
      <c r="F15" s="322">
        <v>44035</v>
      </c>
      <c r="G15" s="317"/>
      <c r="H15" s="323"/>
      <c r="I15" s="317"/>
      <c r="J15" s="317"/>
      <c r="K15" s="317"/>
      <c r="L15" s="317"/>
      <c r="M15" s="317"/>
      <c r="N15" s="31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306">
        <v>5</v>
      </c>
      <c r="B16" s="306" t="s">
        <v>658</v>
      </c>
      <c r="C16" s="320"/>
      <c r="D16" s="295"/>
      <c r="E16" s="295"/>
      <c r="F16" s="295"/>
      <c r="G16" s="321">
        <v>44040</v>
      </c>
      <c r="H16" s="324"/>
      <c r="I16" s="295"/>
      <c r="J16" s="295"/>
      <c r="K16" s="295"/>
      <c r="L16" s="295"/>
      <c r="M16" s="295"/>
      <c r="N16" s="31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312">
        <v>6</v>
      </c>
      <c r="B17" s="312" t="s">
        <v>659</v>
      </c>
      <c r="C17" s="313"/>
      <c r="D17" s="317"/>
      <c r="E17" s="317"/>
      <c r="F17" s="317"/>
      <c r="G17" s="322">
        <v>44042</v>
      </c>
      <c r="H17" s="325"/>
      <c r="I17" s="317"/>
      <c r="J17" s="317"/>
      <c r="K17" s="323"/>
      <c r="L17" s="317"/>
      <c r="M17" s="317"/>
      <c r="N17" s="31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306">
        <v>7</v>
      </c>
      <c r="B18" s="306" t="s">
        <v>660</v>
      </c>
      <c r="C18" s="320"/>
      <c r="D18" s="295"/>
      <c r="E18" s="295"/>
      <c r="F18" s="295"/>
      <c r="G18" s="295"/>
      <c r="H18" s="321">
        <v>44048</v>
      </c>
      <c r="I18" s="311"/>
      <c r="J18" s="295"/>
      <c r="K18" s="295"/>
      <c r="L18" s="324"/>
      <c r="M18" s="295"/>
      <c r="N18" s="310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306">
        <v>7</v>
      </c>
      <c r="B19" s="306" t="s">
        <v>661</v>
      </c>
      <c r="C19" s="320"/>
      <c r="D19" s="295"/>
      <c r="E19" s="295"/>
      <c r="F19" s="295"/>
      <c r="G19" s="295"/>
      <c r="H19" s="321">
        <v>44048</v>
      </c>
      <c r="I19" s="311"/>
      <c r="J19" s="295"/>
      <c r="K19" s="295"/>
      <c r="L19" s="324"/>
      <c r="M19" s="295"/>
      <c r="N19" s="31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312">
        <v>8</v>
      </c>
      <c r="B20" s="312" t="s">
        <v>662</v>
      </c>
      <c r="C20" s="313"/>
      <c r="D20" s="317"/>
      <c r="E20" s="317"/>
      <c r="F20" s="317"/>
      <c r="G20" s="317"/>
      <c r="H20" s="322">
        <v>44049</v>
      </c>
      <c r="I20" s="317"/>
      <c r="J20" s="325"/>
      <c r="K20" s="317"/>
      <c r="L20" s="317"/>
      <c r="M20" s="317"/>
      <c r="N20" s="31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306">
        <v>9</v>
      </c>
      <c r="B21" s="306" t="s">
        <v>663</v>
      </c>
      <c r="C21" s="320"/>
      <c r="D21" s="295"/>
      <c r="E21" s="295"/>
      <c r="F21" s="295"/>
      <c r="G21" s="324"/>
      <c r="H21" s="295"/>
      <c r="I21" s="321">
        <v>44055</v>
      </c>
      <c r="J21" s="311"/>
      <c r="K21" s="295"/>
      <c r="L21" s="295"/>
      <c r="M21" s="295"/>
      <c r="N21" s="31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312">
        <v>10</v>
      </c>
      <c r="B22" s="312" t="s">
        <v>664</v>
      </c>
      <c r="C22" s="313"/>
      <c r="D22" s="317"/>
      <c r="E22" s="317"/>
      <c r="F22" s="317"/>
      <c r="G22" s="317"/>
      <c r="H22" s="317"/>
      <c r="I22" s="322">
        <v>44056</v>
      </c>
      <c r="J22" s="317"/>
      <c r="K22" s="325"/>
      <c r="L22" s="317"/>
      <c r="M22" s="317"/>
      <c r="N22" s="31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306">
        <v>11</v>
      </c>
      <c r="B23" s="306" t="s">
        <v>665</v>
      </c>
      <c r="C23" s="320"/>
      <c r="D23" s="295"/>
      <c r="E23" s="295"/>
      <c r="F23" s="295"/>
      <c r="G23" s="295"/>
      <c r="H23" s="295"/>
      <c r="I23" s="295"/>
      <c r="J23" s="321">
        <v>44061</v>
      </c>
      <c r="K23" s="324"/>
      <c r="L23" s="295"/>
      <c r="M23" s="324"/>
      <c r="N23" s="32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306">
        <v>11</v>
      </c>
      <c r="B24" s="306" t="s">
        <v>666</v>
      </c>
      <c r="C24" s="320"/>
      <c r="D24" s="295"/>
      <c r="E24" s="295"/>
      <c r="F24" s="295"/>
      <c r="G24" s="295"/>
      <c r="H24" s="295"/>
      <c r="I24" s="295"/>
      <c r="J24" s="321">
        <v>44061</v>
      </c>
      <c r="K24" s="324"/>
      <c r="L24" s="295"/>
      <c r="M24" s="324"/>
      <c r="N24" s="32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312">
        <v>12</v>
      </c>
      <c r="B25" s="312" t="s">
        <v>667</v>
      </c>
      <c r="C25" s="313"/>
      <c r="D25" s="317"/>
      <c r="E25" s="317"/>
      <c r="F25" s="317"/>
      <c r="G25" s="317"/>
      <c r="H25" s="317"/>
      <c r="I25" s="317"/>
      <c r="J25" s="322">
        <v>44062</v>
      </c>
      <c r="K25" s="323"/>
      <c r="L25" s="327"/>
      <c r="M25" s="317"/>
      <c r="N25" s="32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306">
        <v>13</v>
      </c>
      <c r="B26" s="306" t="s">
        <v>668</v>
      </c>
      <c r="C26" s="320"/>
      <c r="D26" s="295"/>
      <c r="E26" s="295"/>
      <c r="F26" s="295"/>
      <c r="G26" s="295"/>
      <c r="H26" s="295"/>
      <c r="I26" s="295"/>
      <c r="J26" s="295"/>
      <c r="K26" s="321">
        <v>44068</v>
      </c>
      <c r="L26" s="329"/>
      <c r="M26" s="295"/>
      <c r="N26" s="32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312">
        <v>14</v>
      </c>
      <c r="B27" s="312" t="s">
        <v>669</v>
      </c>
      <c r="C27" s="313"/>
      <c r="D27" s="325"/>
      <c r="E27" s="317"/>
      <c r="F27" s="325"/>
      <c r="G27" s="317"/>
      <c r="H27" s="317"/>
      <c r="I27" s="317"/>
      <c r="J27" s="317"/>
      <c r="K27" s="317"/>
      <c r="L27" s="322">
        <v>44075</v>
      </c>
      <c r="M27" s="323"/>
      <c r="N27" s="31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312">
        <v>15</v>
      </c>
      <c r="B28" s="312" t="s">
        <v>670</v>
      </c>
      <c r="C28" s="313"/>
      <c r="D28" s="317"/>
      <c r="E28" s="317"/>
      <c r="F28" s="317"/>
      <c r="G28" s="317"/>
      <c r="H28" s="317"/>
      <c r="I28" s="317"/>
      <c r="J28" s="317"/>
      <c r="K28" s="317"/>
      <c r="L28" s="322">
        <v>44076</v>
      </c>
      <c r="M28" s="323"/>
      <c r="N28" s="31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330">
        <v>16</v>
      </c>
      <c r="B29" s="330" t="s">
        <v>671</v>
      </c>
      <c r="C29" s="331"/>
      <c r="D29" s="332"/>
      <c r="E29" s="332"/>
      <c r="F29" s="332"/>
      <c r="G29" s="332"/>
      <c r="H29" s="332"/>
      <c r="I29" s="332"/>
      <c r="J29" s="332"/>
      <c r="K29" s="333" t="s">
        <v>672</v>
      </c>
      <c r="L29" s="332"/>
      <c r="M29" s="332"/>
      <c r="N29" s="33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164"/>
      <c r="B30" s="164"/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164"/>
      <c r="B31" s="164" t="s">
        <v>673</v>
      </c>
      <c r="C31" s="335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 t="s">
        <v>674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 t="s">
        <v>675</v>
      </c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 t="s">
        <v>676</v>
      </c>
      <c r="C34" s="295"/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336"/>
      <c r="C35" s="55"/>
      <c r="D35" s="5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95"/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  <c r="N73" s="29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95"/>
      <c r="D91" s="295"/>
      <c r="E91" s="295"/>
      <c r="F91" s="295"/>
      <c r="G91" s="295"/>
      <c r="H91" s="295"/>
      <c r="I91" s="295"/>
      <c r="J91" s="295"/>
      <c r="K91" s="295"/>
      <c r="L91" s="295"/>
      <c r="M91" s="295"/>
      <c r="N91" s="29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95"/>
      <c r="D93" s="295"/>
      <c r="E93" s="295"/>
      <c r="F93" s="295"/>
      <c r="G93" s="295"/>
      <c r="H93" s="295"/>
      <c r="I93" s="295"/>
      <c r="J93" s="295"/>
      <c r="K93" s="295"/>
      <c r="L93" s="295"/>
      <c r="M93" s="295"/>
      <c r="N93" s="29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95"/>
      <c r="D95" s="295"/>
      <c r="E95" s="295"/>
      <c r="F95" s="295"/>
      <c r="G95" s="295"/>
      <c r="H95" s="295"/>
      <c r="I95" s="295"/>
      <c r="J95" s="295"/>
      <c r="K95" s="295"/>
      <c r="L95" s="295"/>
      <c r="M95" s="295"/>
      <c r="N95" s="29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95"/>
      <c r="D101" s="295"/>
      <c r="E101" s="295"/>
      <c r="F101" s="295"/>
      <c r="G101" s="295"/>
      <c r="H101" s="295"/>
      <c r="I101" s="295"/>
      <c r="J101" s="295"/>
      <c r="K101" s="295"/>
      <c r="L101" s="295"/>
      <c r="M101" s="295"/>
      <c r="N101" s="29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295"/>
      <c r="N107" s="29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95"/>
      <c r="D108" s="295"/>
      <c r="E108" s="295"/>
      <c r="F108" s="295"/>
      <c r="G108" s="295"/>
      <c r="H108" s="295"/>
      <c r="I108" s="295"/>
      <c r="J108" s="295"/>
      <c r="K108" s="295"/>
      <c r="L108" s="295"/>
      <c r="M108" s="295"/>
      <c r="N108" s="29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95"/>
      <c r="D109" s="295"/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95"/>
      <c r="D110" s="295"/>
      <c r="E110" s="295"/>
      <c r="F110" s="295"/>
      <c r="G110" s="295"/>
      <c r="H110" s="295"/>
      <c r="I110" s="295"/>
      <c r="J110" s="295"/>
      <c r="K110" s="295"/>
      <c r="L110" s="295"/>
      <c r="M110" s="295"/>
      <c r="N110" s="29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  <c r="M111" s="295"/>
      <c r="N111" s="29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95"/>
      <c r="D115" s="295"/>
      <c r="E115" s="295"/>
      <c r="F115" s="295"/>
      <c r="G115" s="295"/>
      <c r="H115" s="295"/>
      <c r="I115" s="295"/>
      <c r="J115" s="295"/>
      <c r="K115" s="295"/>
      <c r="L115" s="295"/>
      <c r="M115" s="295"/>
      <c r="N115" s="29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95"/>
      <c r="D119" s="295"/>
      <c r="E119" s="295"/>
      <c r="F119" s="295"/>
      <c r="G119" s="295"/>
      <c r="H119" s="295"/>
      <c r="I119" s="295"/>
      <c r="J119" s="295"/>
      <c r="K119" s="295"/>
      <c r="L119" s="295"/>
      <c r="M119" s="295"/>
      <c r="N119" s="29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95"/>
      <c r="D123" s="295"/>
      <c r="E123" s="295"/>
      <c r="F123" s="295"/>
      <c r="G123" s="295"/>
      <c r="H123" s="295"/>
      <c r="I123" s="295"/>
      <c r="J123" s="295"/>
      <c r="K123" s="295"/>
      <c r="L123" s="295"/>
      <c r="M123" s="295"/>
      <c r="N123" s="29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95"/>
      <c r="D124" s="295"/>
      <c r="E124" s="295"/>
      <c r="F124" s="295"/>
      <c r="G124" s="295"/>
      <c r="H124" s="295"/>
      <c r="I124" s="295"/>
      <c r="J124" s="295"/>
      <c r="K124" s="295"/>
      <c r="L124" s="295"/>
      <c r="M124" s="295"/>
      <c r="N124" s="29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95"/>
      <c r="D125" s="295"/>
      <c r="E125" s="295"/>
      <c r="F125" s="295"/>
      <c r="G125" s="295"/>
      <c r="H125" s="295"/>
      <c r="I125" s="295"/>
      <c r="J125" s="295"/>
      <c r="K125" s="295"/>
      <c r="L125" s="295"/>
      <c r="M125" s="295"/>
      <c r="N125" s="29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95"/>
      <c r="D130" s="295"/>
      <c r="E130" s="295"/>
      <c r="F130" s="295"/>
      <c r="G130" s="295"/>
      <c r="H130" s="295"/>
      <c r="I130" s="295"/>
      <c r="J130" s="295"/>
      <c r="K130" s="295"/>
      <c r="L130" s="295"/>
      <c r="M130" s="295"/>
      <c r="N130" s="29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95"/>
      <c r="D131" s="295"/>
      <c r="E131" s="295"/>
      <c r="F131" s="295"/>
      <c r="G131" s="295"/>
      <c r="H131" s="295"/>
      <c r="I131" s="295"/>
      <c r="J131" s="295"/>
      <c r="K131" s="295"/>
      <c r="L131" s="295"/>
      <c r="M131" s="295"/>
      <c r="N131" s="29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95"/>
      <c r="D132" s="295"/>
      <c r="E132" s="295"/>
      <c r="F132" s="295"/>
      <c r="G132" s="295"/>
      <c r="H132" s="295"/>
      <c r="I132" s="295"/>
      <c r="J132" s="295"/>
      <c r="K132" s="295"/>
      <c r="L132" s="295"/>
      <c r="M132" s="295"/>
      <c r="N132" s="29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95"/>
      <c r="D133" s="295"/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95"/>
      <c r="D134" s="295"/>
      <c r="E134" s="295"/>
      <c r="F134" s="295"/>
      <c r="G134" s="295"/>
      <c r="H134" s="295"/>
      <c r="I134" s="295"/>
      <c r="J134" s="295"/>
      <c r="K134" s="295"/>
      <c r="L134" s="295"/>
      <c r="M134" s="295"/>
      <c r="N134" s="29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95"/>
      <c r="D135" s="295"/>
      <c r="E135" s="295"/>
      <c r="F135" s="295"/>
      <c r="G135" s="295"/>
      <c r="H135" s="295"/>
      <c r="I135" s="295"/>
      <c r="J135" s="295"/>
      <c r="K135" s="295"/>
      <c r="L135" s="295"/>
      <c r="M135" s="295"/>
      <c r="N135" s="29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95"/>
      <c r="D136" s="295"/>
      <c r="E136" s="295"/>
      <c r="F136" s="295"/>
      <c r="G136" s="295"/>
      <c r="H136" s="295"/>
      <c r="I136" s="295"/>
      <c r="J136" s="295"/>
      <c r="K136" s="295"/>
      <c r="L136" s="295"/>
      <c r="M136" s="295"/>
      <c r="N136" s="29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95"/>
      <c r="D137" s="295"/>
      <c r="E137" s="295"/>
      <c r="F137" s="295"/>
      <c r="G137" s="295"/>
      <c r="H137" s="295"/>
      <c r="I137" s="295"/>
      <c r="J137" s="295"/>
      <c r="K137" s="295"/>
      <c r="L137" s="295"/>
      <c r="M137" s="295"/>
      <c r="N137" s="29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95"/>
      <c r="D138" s="295"/>
      <c r="E138" s="295"/>
      <c r="F138" s="295"/>
      <c r="G138" s="295"/>
      <c r="H138" s="295"/>
      <c r="I138" s="295"/>
      <c r="J138" s="295"/>
      <c r="K138" s="295"/>
      <c r="L138" s="295"/>
      <c r="M138" s="295"/>
      <c r="N138" s="29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95"/>
      <c r="D139" s="295"/>
      <c r="E139" s="295"/>
      <c r="F139" s="295"/>
      <c r="G139" s="295"/>
      <c r="H139" s="295"/>
      <c r="I139" s="295"/>
      <c r="J139" s="295"/>
      <c r="K139" s="295"/>
      <c r="L139" s="295"/>
      <c r="M139" s="295"/>
      <c r="N139" s="29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95"/>
      <c r="D140" s="295"/>
      <c r="E140" s="295"/>
      <c r="F140" s="295"/>
      <c r="G140" s="295"/>
      <c r="H140" s="295"/>
      <c r="I140" s="295"/>
      <c r="J140" s="295"/>
      <c r="K140" s="295"/>
      <c r="L140" s="295"/>
      <c r="M140" s="295"/>
      <c r="N140" s="29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95"/>
      <c r="D141" s="295"/>
      <c r="E141" s="295"/>
      <c r="F141" s="295"/>
      <c r="G141" s="295"/>
      <c r="H141" s="295"/>
      <c r="I141" s="295"/>
      <c r="J141" s="295"/>
      <c r="K141" s="295"/>
      <c r="L141" s="295"/>
      <c r="M141" s="295"/>
      <c r="N141" s="29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95"/>
      <c r="D142" s="295"/>
      <c r="E142" s="295"/>
      <c r="F142" s="295"/>
      <c r="G142" s="295"/>
      <c r="H142" s="295"/>
      <c r="I142" s="295"/>
      <c r="J142" s="295"/>
      <c r="K142" s="295"/>
      <c r="L142" s="295"/>
      <c r="M142" s="295"/>
      <c r="N142" s="29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95"/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95"/>
      <c r="D144" s="295"/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95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95"/>
      <c r="D146" s="295"/>
      <c r="E146" s="295"/>
      <c r="F146" s="295"/>
      <c r="G146" s="295"/>
      <c r="H146" s="295"/>
      <c r="I146" s="295"/>
      <c r="J146" s="295"/>
      <c r="K146" s="295"/>
      <c r="L146" s="295"/>
      <c r="M146" s="295"/>
      <c r="N146" s="29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95"/>
      <c r="D147" s="295"/>
      <c r="E147" s="295"/>
      <c r="F147" s="295"/>
      <c r="G147" s="295"/>
      <c r="H147" s="295"/>
      <c r="I147" s="295"/>
      <c r="J147" s="295"/>
      <c r="K147" s="295"/>
      <c r="L147" s="295"/>
      <c r="M147" s="295"/>
      <c r="N147" s="29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95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95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95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95"/>
      <c r="D151" s="295"/>
      <c r="E151" s="295"/>
      <c r="F151" s="295"/>
      <c r="G151" s="295"/>
      <c r="H151" s="295"/>
      <c r="I151" s="295"/>
      <c r="J151" s="295"/>
      <c r="K151" s="295"/>
      <c r="L151" s="295"/>
      <c r="M151" s="295"/>
      <c r="N151" s="295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95"/>
      <c r="D152" s="295"/>
      <c r="E152" s="295"/>
      <c r="F152" s="295"/>
      <c r="G152" s="295"/>
      <c r="H152" s="295"/>
      <c r="I152" s="295"/>
      <c r="J152" s="295"/>
      <c r="K152" s="295"/>
      <c r="L152" s="295"/>
      <c r="M152" s="295"/>
      <c r="N152" s="295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95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95"/>
      <c r="D155" s="295"/>
      <c r="E155" s="295"/>
      <c r="F155" s="295"/>
      <c r="G155" s="295"/>
      <c r="H155" s="295"/>
      <c r="I155" s="295"/>
      <c r="J155" s="295"/>
      <c r="K155" s="295"/>
      <c r="L155" s="295"/>
      <c r="M155" s="295"/>
      <c r="N155" s="295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95"/>
      <c r="D156" s="295"/>
      <c r="E156" s="295"/>
      <c r="F156" s="295"/>
      <c r="G156" s="295"/>
      <c r="H156" s="295"/>
      <c r="I156" s="295"/>
      <c r="J156" s="295"/>
      <c r="K156" s="295"/>
      <c r="L156" s="295"/>
      <c r="M156" s="295"/>
      <c r="N156" s="29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95"/>
      <c r="D157" s="295"/>
      <c r="E157" s="295"/>
      <c r="F157" s="295"/>
      <c r="G157" s="295"/>
      <c r="H157" s="295"/>
      <c r="I157" s="295"/>
      <c r="J157" s="295"/>
      <c r="K157" s="295"/>
      <c r="L157" s="295"/>
      <c r="M157" s="295"/>
      <c r="N157" s="29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95"/>
      <c r="D158" s="295"/>
      <c r="E158" s="295"/>
      <c r="F158" s="295"/>
      <c r="G158" s="295"/>
      <c r="H158" s="295"/>
      <c r="I158" s="295"/>
      <c r="J158" s="295"/>
      <c r="K158" s="295"/>
      <c r="L158" s="295"/>
      <c r="M158" s="295"/>
      <c r="N158" s="29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95"/>
      <c r="D159" s="295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95"/>
      <c r="D160" s="295"/>
      <c r="E160" s="295"/>
      <c r="F160" s="295"/>
      <c r="G160" s="295"/>
      <c r="H160" s="295"/>
      <c r="I160" s="295"/>
      <c r="J160" s="295"/>
      <c r="K160" s="295"/>
      <c r="L160" s="295"/>
      <c r="M160" s="295"/>
      <c r="N160" s="29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95"/>
      <c r="D163" s="295"/>
      <c r="E163" s="295"/>
      <c r="F163" s="295"/>
      <c r="G163" s="295"/>
      <c r="H163" s="295"/>
      <c r="I163" s="295"/>
      <c r="J163" s="295"/>
      <c r="K163" s="295"/>
      <c r="L163" s="295"/>
      <c r="M163" s="295"/>
      <c r="N163" s="29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95"/>
      <c r="D164" s="295"/>
      <c r="E164" s="295"/>
      <c r="F164" s="295"/>
      <c r="G164" s="295"/>
      <c r="H164" s="295"/>
      <c r="I164" s="295"/>
      <c r="J164" s="295"/>
      <c r="K164" s="295"/>
      <c r="L164" s="295"/>
      <c r="M164" s="295"/>
      <c r="N164" s="29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95"/>
      <c r="D166" s="295"/>
      <c r="E166" s="295"/>
      <c r="F166" s="295"/>
      <c r="G166" s="295"/>
      <c r="H166" s="295"/>
      <c r="I166" s="295"/>
      <c r="J166" s="295"/>
      <c r="K166" s="295"/>
      <c r="L166" s="295"/>
      <c r="M166" s="295"/>
      <c r="N166" s="29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95"/>
      <c r="D167" s="295"/>
      <c r="E167" s="295"/>
      <c r="F167" s="295"/>
      <c r="G167" s="295"/>
      <c r="H167" s="295"/>
      <c r="I167" s="295"/>
      <c r="J167" s="295"/>
      <c r="K167" s="295"/>
      <c r="L167" s="295"/>
      <c r="M167" s="295"/>
      <c r="N167" s="29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95"/>
      <c r="D168" s="295"/>
      <c r="E168" s="295"/>
      <c r="F168" s="295"/>
      <c r="G168" s="295"/>
      <c r="H168" s="295"/>
      <c r="I168" s="295"/>
      <c r="J168" s="295"/>
      <c r="K168" s="295"/>
      <c r="L168" s="295"/>
      <c r="M168" s="295"/>
      <c r="N168" s="29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95"/>
      <c r="D169" s="295"/>
      <c r="E169" s="295"/>
      <c r="F169" s="295"/>
      <c r="G169" s="295"/>
      <c r="H169" s="295"/>
      <c r="I169" s="295"/>
      <c r="J169" s="295"/>
      <c r="K169" s="295"/>
      <c r="L169" s="295"/>
      <c r="M169" s="295"/>
      <c r="N169" s="29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95"/>
      <c r="D170" s="295"/>
      <c r="E170" s="295"/>
      <c r="F170" s="295"/>
      <c r="G170" s="295"/>
      <c r="H170" s="295"/>
      <c r="I170" s="295"/>
      <c r="J170" s="295"/>
      <c r="K170" s="295"/>
      <c r="L170" s="295"/>
      <c r="M170" s="295"/>
      <c r="N170" s="29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95"/>
      <c r="D171" s="295"/>
      <c r="E171" s="295"/>
      <c r="F171" s="295"/>
      <c r="G171" s="295"/>
      <c r="H171" s="295"/>
      <c r="I171" s="295"/>
      <c r="J171" s="295"/>
      <c r="K171" s="295"/>
      <c r="L171" s="295"/>
      <c r="M171" s="295"/>
      <c r="N171" s="29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95"/>
      <c r="D172" s="295"/>
      <c r="E172" s="295"/>
      <c r="F172" s="295"/>
      <c r="G172" s="295"/>
      <c r="H172" s="295"/>
      <c r="I172" s="295"/>
      <c r="J172" s="295"/>
      <c r="K172" s="295"/>
      <c r="L172" s="295"/>
      <c r="M172" s="295"/>
      <c r="N172" s="29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95"/>
      <c r="D173" s="295"/>
      <c r="E173" s="295"/>
      <c r="F173" s="295"/>
      <c r="G173" s="295"/>
      <c r="H173" s="295"/>
      <c r="I173" s="295"/>
      <c r="J173" s="295"/>
      <c r="K173" s="295"/>
      <c r="L173" s="295"/>
      <c r="M173" s="295"/>
      <c r="N173" s="29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95"/>
      <c r="D174" s="295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95"/>
      <c r="D175" s="295"/>
      <c r="E175" s="295"/>
      <c r="F175" s="295"/>
      <c r="G175" s="295"/>
      <c r="H175" s="295"/>
      <c r="I175" s="295"/>
      <c r="J175" s="295"/>
      <c r="K175" s="295"/>
      <c r="L175" s="295"/>
      <c r="M175" s="295"/>
      <c r="N175" s="29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95"/>
      <c r="D176" s="295"/>
      <c r="E176" s="295"/>
      <c r="F176" s="295"/>
      <c r="G176" s="295"/>
      <c r="H176" s="295"/>
      <c r="I176" s="295"/>
      <c r="J176" s="295"/>
      <c r="K176" s="295"/>
      <c r="L176" s="295"/>
      <c r="M176" s="295"/>
      <c r="N176" s="29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95"/>
      <c r="D178" s="295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95"/>
      <c r="D179" s="295"/>
      <c r="E179" s="295"/>
      <c r="F179" s="295"/>
      <c r="G179" s="295"/>
      <c r="H179" s="295"/>
      <c r="I179" s="295"/>
      <c r="J179" s="295"/>
      <c r="K179" s="295"/>
      <c r="L179" s="295"/>
      <c r="M179" s="295"/>
      <c r="N179" s="29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95"/>
      <c r="D181" s="295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95"/>
      <c r="D182" s="295"/>
      <c r="E182" s="295"/>
      <c r="F182" s="295"/>
      <c r="G182" s="295"/>
      <c r="H182" s="295"/>
      <c r="I182" s="295"/>
      <c r="J182" s="295"/>
      <c r="K182" s="295"/>
      <c r="L182" s="295"/>
      <c r="M182" s="295"/>
      <c r="N182" s="29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95"/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95"/>
      <c r="D186" s="295"/>
      <c r="E186" s="295"/>
      <c r="F186" s="295"/>
      <c r="G186" s="295"/>
      <c r="H186" s="295"/>
      <c r="I186" s="295"/>
      <c r="J186" s="295"/>
      <c r="K186" s="295"/>
      <c r="L186" s="295"/>
      <c r="M186" s="295"/>
      <c r="N186" s="29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95"/>
      <c r="D187" s="295"/>
      <c r="E187" s="295"/>
      <c r="F187" s="295"/>
      <c r="G187" s="295"/>
      <c r="H187" s="295"/>
      <c r="I187" s="295"/>
      <c r="J187" s="295"/>
      <c r="K187" s="295"/>
      <c r="L187" s="295"/>
      <c r="M187" s="295"/>
      <c r="N187" s="29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95"/>
      <c r="D188" s="295"/>
      <c r="E188" s="295"/>
      <c r="F188" s="295"/>
      <c r="G188" s="295"/>
      <c r="H188" s="295"/>
      <c r="I188" s="295"/>
      <c r="J188" s="295"/>
      <c r="K188" s="295"/>
      <c r="L188" s="295"/>
      <c r="M188" s="295"/>
      <c r="N188" s="29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95"/>
      <c r="D189" s="295"/>
      <c r="E189" s="295"/>
      <c r="F189" s="295"/>
      <c r="G189" s="295"/>
      <c r="H189" s="295"/>
      <c r="I189" s="295"/>
      <c r="J189" s="295"/>
      <c r="K189" s="295"/>
      <c r="L189" s="295"/>
      <c r="M189" s="295"/>
      <c r="N189" s="29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95"/>
      <c r="D193" s="295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95"/>
      <c r="D194" s="295"/>
      <c r="E194" s="295"/>
      <c r="F194" s="295"/>
      <c r="G194" s="295"/>
      <c r="H194" s="295"/>
      <c r="I194" s="295"/>
      <c r="J194" s="295"/>
      <c r="K194" s="295"/>
      <c r="L194" s="295"/>
      <c r="M194" s="295"/>
      <c r="N194" s="29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95"/>
      <c r="D195" s="295"/>
      <c r="E195" s="295"/>
      <c r="F195" s="295"/>
      <c r="G195" s="295"/>
      <c r="H195" s="295"/>
      <c r="I195" s="295"/>
      <c r="J195" s="295"/>
      <c r="K195" s="295"/>
      <c r="L195" s="295"/>
      <c r="M195" s="295"/>
      <c r="N195" s="29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95"/>
      <c r="D196" s="295"/>
      <c r="E196" s="295"/>
      <c r="F196" s="295"/>
      <c r="G196" s="295"/>
      <c r="H196" s="295"/>
      <c r="I196" s="295"/>
      <c r="J196" s="295"/>
      <c r="K196" s="295"/>
      <c r="L196" s="295"/>
      <c r="M196" s="295"/>
      <c r="N196" s="29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95"/>
      <c r="D197" s="295"/>
      <c r="E197" s="295"/>
      <c r="F197" s="295"/>
      <c r="G197" s="295"/>
      <c r="H197" s="295"/>
      <c r="I197" s="295"/>
      <c r="J197" s="295"/>
      <c r="K197" s="295"/>
      <c r="L197" s="295"/>
      <c r="M197" s="295"/>
      <c r="N197" s="29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95"/>
      <c r="D198" s="295"/>
      <c r="E198" s="295"/>
      <c r="F198" s="295"/>
      <c r="G198" s="295"/>
      <c r="H198" s="295"/>
      <c r="I198" s="295"/>
      <c r="J198" s="295"/>
      <c r="K198" s="295"/>
      <c r="L198" s="295"/>
      <c r="M198" s="295"/>
      <c r="N198" s="29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95"/>
      <c r="D199" s="295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95"/>
      <c r="D200" s="295"/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95"/>
      <c r="D201" s="295"/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95"/>
      <c r="D202" s="295"/>
      <c r="E202" s="295"/>
      <c r="F202" s="295"/>
      <c r="G202" s="295"/>
      <c r="H202" s="295"/>
      <c r="I202" s="295"/>
      <c r="J202" s="295"/>
      <c r="K202" s="295"/>
      <c r="L202" s="295"/>
      <c r="M202" s="295"/>
      <c r="N202" s="29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95"/>
      <c r="D203" s="295"/>
      <c r="E203" s="295"/>
      <c r="F203" s="295"/>
      <c r="G203" s="295"/>
      <c r="H203" s="295"/>
      <c r="I203" s="295"/>
      <c r="J203" s="295"/>
      <c r="K203" s="295"/>
      <c r="L203" s="295"/>
      <c r="M203" s="295"/>
      <c r="N203" s="29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95"/>
      <c r="D204" s="295"/>
      <c r="E204" s="295"/>
      <c r="F204" s="295"/>
      <c r="G204" s="295"/>
      <c r="H204" s="295"/>
      <c r="I204" s="295"/>
      <c r="J204" s="295"/>
      <c r="K204" s="295"/>
      <c r="L204" s="295"/>
      <c r="M204" s="295"/>
      <c r="N204" s="295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95"/>
      <c r="D205" s="295"/>
      <c r="E205" s="295"/>
      <c r="F205" s="295"/>
      <c r="G205" s="295"/>
      <c r="H205" s="295"/>
      <c r="I205" s="295"/>
      <c r="J205" s="295"/>
      <c r="K205" s="295"/>
      <c r="L205" s="295"/>
      <c r="M205" s="295"/>
      <c r="N205" s="29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95"/>
      <c r="D206" s="295"/>
      <c r="E206" s="295"/>
      <c r="F206" s="295"/>
      <c r="G206" s="295"/>
      <c r="H206" s="295"/>
      <c r="I206" s="295"/>
      <c r="J206" s="295"/>
      <c r="K206" s="295"/>
      <c r="L206" s="295"/>
      <c r="M206" s="295"/>
      <c r="N206" s="29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95"/>
      <c r="D207" s="295"/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95"/>
      <c r="D208" s="295"/>
      <c r="E208" s="295"/>
      <c r="F208" s="295"/>
      <c r="G208" s="295"/>
      <c r="H208" s="295"/>
      <c r="I208" s="295"/>
      <c r="J208" s="295"/>
      <c r="K208" s="295"/>
      <c r="L208" s="295"/>
      <c r="M208" s="295"/>
      <c r="N208" s="29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95"/>
      <c r="D209" s="295"/>
      <c r="E209" s="295"/>
      <c r="F209" s="295"/>
      <c r="G209" s="295"/>
      <c r="H209" s="295"/>
      <c r="I209" s="295"/>
      <c r="J209" s="295"/>
      <c r="K209" s="295"/>
      <c r="L209" s="295"/>
      <c r="M209" s="295"/>
      <c r="N209" s="29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95"/>
      <c r="D210" s="295"/>
      <c r="E210" s="295"/>
      <c r="F210" s="295"/>
      <c r="G210" s="295"/>
      <c r="H210" s="295"/>
      <c r="I210" s="295"/>
      <c r="J210" s="295"/>
      <c r="K210" s="295"/>
      <c r="L210" s="295"/>
      <c r="M210" s="295"/>
      <c r="N210" s="29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95"/>
      <c r="D211" s="295"/>
      <c r="E211" s="295"/>
      <c r="F211" s="295"/>
      <c r="G211" s="295"/>
      <c r="H211" s="295"/>
      <c r="I211" s="295"/>
      <c r="J211" s="295"/>
      <c r="K211" s="295"/>
      <c r="L211" s="295"/>
      <c r="M211" s="295"/>
      <c r="N211" s="29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95"/>
      <c r="D212" s="295"/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95"/>
      <c r="D213" s="295"/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95"/>
      <c r="D214" s="295"/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95"/>
      <c r="D215" s="295"/>
      <c r="E215" s="295"/>
      <c r="F215" s="295"/>
      <c r="G215" s="295"/>
      <c r="H215" s="295"/>
      <c r="I215" s="295"/>
      <c r="J215" s="295"/>
      <c r="K215" s="295"/>
      <c r="L215" s="295"/>
      <c r="M215" s="295"/>
      <c r="N215" s="29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95"/>
      <c r="D216" s="295"/>
      <c r="E216" s="295"/>
      <c r="F216" s="295"/>
      <c r="G216" s="295"/>
      <c r="H216" s="295"/>
      <c r="I216" s="295"/>
      <c r="J216" s="295"/>
      <c r="K216" s="295"/>
      <c r="L216" s="295"/>
      <c r="M216" s="295"/>
      <c r="N216" s="29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95"/>
      <c r="D217" s="295"/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95"/>
      <c r="D218" s="295"/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95"/>
      <c r="D219" s="295"/>
      <c r="E219" s="295"/>
      <c r="F219" s="295"/>
      <c r="G219" s="295"/>
      <c r="H219" s="295"/>
      <c r="I219" s="295"/>
      <c r="J219" s="295"/>
      <c r="K219" s="295"/>
      <c r="L219" s="295"/>
      <c r="M219" s="295"/>
      <c r="N219" s="29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95"/>
      <c r="D220" s="295"/>
      <c r="E220" s="295"/>
      <c r="F220" s="295"/>
      <c r="G220" s="295"/>
      <c r="H220" s="295"/>
      <c r="I220" s="295"/>
      <c r="J220" s="295"/>
      <c r="K220" s="295"/>
      <c r="L220" s="295"/>
      <c r="M220" s="295"/>
      <c r="N220" s="29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95"/>
      <c r="D221" s="295"/>
      <c r="E221" s="295"/>
      <c r="F221" s="295"/>
      <c r="G221" s="295"/>
      <c r="H221" s="295"/>
      <c r="I221" s="295"/>
      <c r="J221" s="295"/>
      <c r="K221" s="295"/>
      <c r="L221" s="295"/>
      <c r="M221" s="295"/>
      <c r="N221" s="29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95"/>
      <c r="D224" s="295"/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95"/>
      <c r="D225" s="295"/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95"/>
      <c r="D226" s="295"/>
      <c r="E226" s="295"/>
      <c r="F226" s="295"/>
      <c r="G226" s="295"/>
      <c r="H226" s="295"/>
      <c r="I226" s="295"/>
      <c r="J226" s="295"/>
      <c r="K226" s="295"/>
      <c r="L226" s="295"/>
      <c r="M226" s="295"/>
      <c r="N226" s="295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95"/>
      <c r="D227" s="295"/>
      <c r="E227" s="295"/>
      <c r="F227" s="295"/>
      <c r="G227" s="295"/>
      <c r="H227" s="295"/>
      <c r="I227" s="295"/>
      <c r="J227" s="295"/>
      <c r="K227" s="295"/>
      <c r="L227" s="295"/>
      <c r="M227" s="295"/>
      <c r="N227" s="29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95"/>
      <c r="D230" s="295"/>
      <c r="E230" s="295"/>
      <c r="F230" s="295"/>
      <c r="G230" s="295"/>
      <c r="H230" s="295"/>
      <c r="I230" s="295"/>
      <c r="J230" s="295"/>
      <c r="K230" s="295"/>
      <c r="L230" s="295"/>
      <c r="M230" s="295"/>
      <c r="N230" s="295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95"/>
      <c r="D231" s="295"/>
      <c r="E231" s="295"/>
      <c r="F231" s="295"/>
      <c r="G231" s="295"/>
      <c r="H231" s="295"/>
      <c r="I231" s="295"/>
      <c r="J231" s="295"/>
      <c r="K231" s="295"/>
      <c r="L231" s="295"/>
      <c r="M231" s="295"/>
      <c r="N231" s="29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95"/>
      <c r="D232" s="295"/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95"/>
      <c r="D233" s="295"/>
      <c r="E233" s="295"/>
      <c r="F233" s="295"/>
      <c r="G233" s="295"/>
      <c r="H233" s="295"/>
      <c r="I233" s="295"/>
      <c r="J233" s="295"/>
      <c r="K233" s="295"/>
      <c r="L233" s="295"/>
      <c r="M233" s="295"/>
      <c r="N233" s="29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95"/>
      <c r="D234" s="295"/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000"/>
  <sheetViews>
    <sheetView showGridLines="0" topLeftCell="G1" zoomScale="59" zoomScaleNormal="59" workbookViewId="0">
      <selection sqref="A1:V1"/>
    </sheetView>
  </sheetViews>
  <sheetFormatPr defaultColWidth="14.453125" defaultRowHeight="15" customHeight="1"/>
  <cols>
    <col min="1" max="1" width="4.54296875" customWidth="1"/>
    <col min="2" max="2" width="4" customWidth="1"/>
    <col min="3" max="3" width="5.26953125" customWidth="1"/>
    <col min="4" max="4" width="6.7265625" customWidth="1"/>
    <col min="5" max="6" width="5.54296875" customWidth="1"/>
    <col min="7" max="7" width="7.08984375" customWidth="1"/>
    <col min="8" max="8" width="6.08984375" customWidth="1"/>
    <col min="9" max="9" width="7.26953125" customWidth="1"/>
    <col min="10" max="10" width="7.08984375" customWidth="1"/>
    <col min="11" max="11" width="12.26953125" customWidth="1"/>
    <col min="12" max="12" width="5.54296875" customWidth="1"/>
    <col min="13" max="13" width="6.26953125" customWidth="1"/>
    <col min="14" max="15" width="7.08984375" customWidth="1"/>
    <col min="16" max="16" width="8.08984375" customWidth="1"/>
    <col min="17" max="17" width="7" customWidth="1"/>
    <col min="18" max="18" width="10.81640625" customWidth="1"/>
    <col min="19" max="21" width="8.08984375" customWidth="1"/>
    <col min="22" max="22" width="10.453125" customWidth="1"/>
    <col min="23" max="23" width="8" customWidth="1"/>
  </cols>
  <sheetData>
    <row r="1" spans="1:23" ht="12.75" customHeight="1">
      <c r="A1" s="360" t="str">
        <f>'By Lot'!A1</f>
        <v>University of California San Diego Survey of Parking Space Occupancy Levels, Summer 2020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277"/>
    </row>
    <row r="2" spans="1:23" ht="12.75" customHeight="1">
      <c r="A2" s="360" t="s">
        <v>467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277"/>
    </row>
    <row r="3" spans="1:23" ht="8.25" customHeight="1">
      <c r="A3" s="278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350"/>
      <c r="T3" s="350"/>
      <c r="U3" s="350"/>
      <c r="V3" s="350"/>
      <c r="W3" s="279"/>
    </row>
    <row r="4" spans="1:23" ht="8.25" customHeight="1">
      <c r="A4" s="361" t="s">
        <v>22</v>
      </c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3"/>
      <c r="W4" s="279"/>
    </row>
    <row r="5" spans="1:23" ht="8.25" customHeight="1">
      <c r="A5" s="364" t="s">
        <v>24</v>
      </c>
      <c r="B5" s="350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65"/>
      <c r="W5" s="279"/>
    </row>
    <row r="6" spans="1:23" ht="8.25" customHeight="1">
      <c r="A6" s="364" t="s">
        <v>26</v>
      </c>
      <c r="B6" s="350"/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65"/>
      <c r="W6" s="279"/>
    </row>
    <row r="7" spans="1:23" ht="8.25" customHeight="1">
      <c r="A7" s="366" t="s">
        <v>28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67"/>
      <c r="W7" s="279"/>
    </row>
    <row r="8" spans="1:23" ht="8.25" customHeight="1">
      <c r="A8" s="368" t="s">
        <v>41</v>
      </c>
      <c r="B8" s="353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4"/>
      <c r="W8" s="279"/>
    </row>
    <row r="9" spans="1:23" ht="8.25" customHeight="1">
      <c r="A9" s="361" t="s">
        <v>42</v>
      </c>
      <c r="B9" s="362"/>
      <c r="C9" s="362"/>
      <c r="D9" s="362"/>
      <c r="E9" s="362"/>
      <c r="F9" s="362"/>
      <c r="G9" s="362"/>
      <c r="H9" s="362"/>
      <c r="I9" s="362"/>
      <c r="J9" s="362"/>
      <c r="K9" s="362"/>
      <c r="L9" s="362"/>
      <c r="M9" s="362"/>
      <c r="N9" s="362"/>
      <c r="O9" s="362"/>
      <c r="P9" s="362"/>
      <c r="Q9" s="362"/>
      <c r="R9" s="362"/>
      <c r="S9" s="362"/>
      <c r="T9" s="363"/>
      <c r="U9" s="361" t="s">
        <v>45</v>
      </c>
      <c r="V9" s="363"/>
      <c r="W9" s="279"/>
    </row>
    <row r="10" spans="1:23" ht="8.25" customHeight="1">
      <c r="A10" s="364" t="s">
        <v>43</v>
      </c>
      <c r="B10" s="350"/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65"/>
      <c r="U10" s="364" t="s">
        <v>46</v>
      </c>
      <c r="V10" s="365"/>
      <c r="W10" s="279"/>
    </row>
    <row r="11" spans="1:23" ht="8.25" customHeight="1">
      <c r="A11" s="364"/>
      <c r="B11" s="350"/>
      <c r="C11" s="350"/>
      <c r="D11" s="350"/>
      <c r="E11" s="350"/>
      <c r="F11" s="350"/>
      <c r="G11" s="350"/>
      <c r="H11" s="350"/>
      <c r="I11" s="350"/>
      <c r="J11" s="350"/>
      <c r="K11" s="350"/>
      <c r="L11" s="350"/>
      <c r="M11" s="350"/>
      <c r="N11" s="350"/>
      <c r="O11" s="350"/>
      <c r="P11" s="350"/>
      <c r="Q11" s="350"/>
      <c r="R11" s="350"/>
      <c r="S11" s="350"/>
      <c r="T11" s="365"/>
      <c r="U11" s="366" t="s">
        <v>47</v>
      </c>
      <c r="V11" s="367"/>
      <c r="W11" s="279"/>
    </row>
    <row r="12" spans="1:23" ht="8.25" customHeight="1">
      <c r="A12" s="368" t="s">
        <v>49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353"/>
      <c r="N12" s="353"/>
      <c r="O12" s="353"/>
      <c r="P12" s="353"/>
      <c r="Q12" s="353"/>
      <c r="R12" s="353"/>
      <c r="S12" s="353"/>
      <c r="T12" s="353"/>
      <c r="U12" s="353"/>
      <c r="V12" s="354"/>
      <c r="W12" s="279"/>
    </row>
    <row r="13" spans="1:23" ht="8.25" customHeight="1">
      <c r="A13" s="361" t="s">
        <v>50</v>
      </c>
      <c r="B13" s="362"/>
      <c r="C13" s="362"/>
      <c r="D13" s="363"/>
      <c r="E13" s="361" t="s">
        <v>53</v>
      </c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3"/>
      <c r="Q13" s="361" t="s">
        <v>58</v>
      </c>
      <c r="R13" s="362"/>
      <c r="S13" s="362"/>
      <c r="T13" s="363"/>
      <c r="U13" s="361" t="s">
        <v>45</v>
      </c>
      <c r="V13" s="363"/>
      <c r="W13" s="279"/>
    </row>
    <row r="14" spans="1:23" ht="8.25" customHeight="1">
      <c r="A14" s="364" t="s">
        <v>51</v>
      </c>
      <c r="B14" s="350"/>
      <c r="C14" s="350"/>
      <c r="D14" s="365"/>
      <c r="E14" s="364" t="s">
        <v>43</v>
      </c>
      <c r="F14" s="350"/>
      <c r="G14" s="350"/>
      <c r="H14" s="350"/>
      <c r="I14" s="350"/>
      <c r="J14" s="350"/>
      <c r="K14" s="350"/>
      <c r="L14" s="350"/>
      <c r="M14" s="350"/>
      <c r="N14" s="350"/>
      <c r="O14" s="350"/>
      <c r="P14" s="365"/>
      <c r="Q14" s="364" t="s">
        <v>43</v>
      </c>
      <c r="R14" s="350"/>
      <c r="S14" s="350"/>
      <c r="T14" s="365"/>
      <c r="U14" s="364" t="s">
        <v>46</v>
      </c>
      <c r="V14" s="365"/>
      <c r="W14" s="279"/>
    </row>
    <row r="15" spans="1:23" ht="8.25" customHeight="1">
      <c r="A15" s="364" t="s">
        <v>24</v>
      </c>
      <c r="B15" s="350"/>
      <c r="C15" s="350"/>
      <c r="D15" s="365"/>
      <c r="E15" s="281"/>
      <c r="F15" s="278"/>
      <c r="G15" s="278"/>
      <c r="H15" s="278"/>
      <c r="I15" s="278"/>
      <c r="J15" s="278"/>
      <c r="K15" s="278"/>
      <c r="L15" s="278"/>
      <c r="M15" s="278"/>
      <c r="N15" s="278"/>
      <c r="O15" s="278"/>
      <c r="P15" s="283"/>
      <c r="Q15" s="369"/>
      <c r="R15" s="350"/>
      <c r="S15" s="350"/>
      <c r="T15" s="365"/>
      <c r="U15" s="369" t="s">
        <v>47</v>
      </c>
      <c r="V15" s="365"/>
      <c r="W15" s="279"/>
    </row>
    <row r="16" spans="1:23" ht="8.25" customHeight="1">
      <c r="A16" s="364" t="s">
        <v>52</v>
      </c>
      <c r="B16" s="350"/>
      <c r="C16" s="350"/>
      <c r="D16" s="365"/>
      <c r="E16" s="281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83"/>
      <c r="Q16" s="369"/>
      <c r="R16" s="350"/>
      <c r="S16" s="350"/>
      <c r="T16" s="365"/>
      <c r="U16" s="366"/>
      <c r="V16" s="367"/>
      <c r="W16" s="279"/>
    </row>
    <row r="17" spans="1:23" ht="8.25" customHeight="1">
      <c r="A17" s="368" t="s">
        <v>61</v>
      </c>
      <c r="B17" s="353"/>
      <c r="C17" s="353"/>
      <c r="D17" s="353"/>
      <c r="E17" s="353"/>
      <c r="F17" s="353"/>
      <c r="G17" s="353"/>
      <c r="H17" s="353"/>
      <c r="I17" s="353"/>
      <c r="J17" s="353"/>
      <c r="K17" s="353"/>
      <c r="L17" s="353"/>
      <c r="M17" s="353"/>
      <c r="N17" s="353"/>
      <c r="O17" s="353"/>
      <c r="P17" s="353"/>
      <c r="Q17" s="353"/>
      <c r="R17" s="353"/>
      <c r="S17" s="353"/>
      <c r="T17" s="353"/>
      <c r="U17" s="353"/>
      <c r="V17" s="354"/>
      <c r="W17" s="279"/>
    </row>
    <row r="18" spans="1:23" ht="8.25" customHeight="1">
      <c r="A18" s="284" t="s">
        <v>62</v>
      </c>
      <c r="B18" s="284" t="s">
        <v>62</v>
      </c>
      <c r="C18" s="284" t="s">
        <v>62</v>
      </c>
      <c r="D18" s="284" t="s">
        <v>65</v>
      </c>
      <c r="E18" s="284" t="s">
        <v>66</v>
      </c>
      <c r="F18" s="284" t="s">
        <v>68</v>
      </c>
      <c r="G18" s="284" t="s">
        <v>72</v>
      </c>
      <c r="H18" s="284" t="s">
        <v>74</v>
      </c>
      <c r="I18" s="284" t="s">
        <v>76</v>
      </c>
      <c r="J18" s="284" t="s">
        <v>75</v>
      </c>
      <c r="K18" s="284" t="s">
        <v>468</v>
      </c>
      <c r="L18" s="284" t="s">
        <v>83</v>
      </c>
      <c r="M18" s="284" t="s">
        <v>43</v>
      </c>
      <c r="N18" s="284" t="s">
        <v>86</v>
      </c>
      <c r="O18" s="284" t="s">
        <v>22</v>
      </c>
      <c r="P18" s="284" t="s">
        <v>87</v>
      </c>
      <c r="Q18" s="284" t="s">
        <v>58</v>
      </c>
      <c r="R18" s="284" t="s">
        <v>92</v>
      </c>
      <c r="S18" s="284" t="s">
        <v>90</v>
      </c>
      <c r="T18" s="284" t="s">
        <v>90</v>
      </c>
      <c r="U18" s="280" t="s">
        <v>47</v>
      </c>
      <c r="V18" s="284" t="s">
        <v>47</v>
      </c>
      <c r="W18" s="279"/>
    </row>
    <row r="19" spans="1:23" ht="8.25" customHeight="1">
      <c r="A19" s="285" t="s">
        <v>63</v>
      </c>
      <c r="B19" s="285" t="s">
        <v>53</v>
      </c>
      <c r="C19" s="285" t="s">
        <v>64</v>
      </c>
      <c r="D19" s="285"/>
      <c r="E19" s="285" t="s">
        <v>67</v>
      </c>
      <c r="F19" s="285" t="s">
        <v>69</v>
      </c>
      <c r="G19" s="285" t="s">
        <v>69</v>
      </c>
      <c r="H19" s="285" t="s">
        <v>69</v>
      </c>
      <c r="I19" s="285" t="s">
        <v>43</v>
      </c>
      <c r="J19" s="285" t="s">
        <v>69</v>
      </c>
      <c r="K19" s="285" t="s">
        <v>79</v>
      </c>
      <c r="L19" s="285" t="s">
        <v>69</v>
      </c>
      <c r="M19" s="285" t="s">
        <v>84</v>
      </c>
      <c r="N19" s="285" t="s">
        <v>69</v>
      </c>
      <c r="O19" s="285" t="s">
        <v>46</v>
      </c>
      <c r="P19" s="285" t="s">
        <v>24</v>
      </c>
      <c r="Q19" s="285" t="s">
        <v>43</v>
      </c>
      <c r="R19" s="285" t="s">
        <v>93</v>
      </c>
      <c r="S19" s="285" t="s">
        <v>91</v>
      </c>
      <c r="T19" s="285" t="s">
        <v>91</v>
      </c>
      <c r="U19" s="281" t="s">
        <v>469</v>
      </c>
      <c r="V19" s="285" t="s">
        <v>470</v>
      </c>
      <c r="W19" s="279"/>
    </row>
    <row r="20" spans="1:23" ht="8.25" customHeight="1">
      <c r="A20" s="286"/>
      <c r="B20" s="286"/>
      <c r="C20" s="286"/>
      <c r="D20" s="286"/>
      <c r="E20" s="286"/>
      <c r="F20" s="286"/>
      <c r="G20" s="286"/>
      <c r="H20" s="286"/>
      <c r="I20" s="286"/>
      <c r="J20" s="286"/>
      <c r="K20" s="286" t="s">
        <v>471</v>
      </c>
      <c r="L20" s="286"/>
      <c r="M20" s="286" t="s">
        <v>85</v>
      </c>
      <c r="N20" s="286"/>
      <c r="O20" s="286"/>
      <c r="P20" s="286" t="s">
        <v>88</v>
      </c>
      <c r="Q20" s="286" t="s">
        <v>89</v>
      </c>
      <c r="R20" s="286" t="s">
        <v>94</v>
      </c>
      <c r="S20" s="286" t="s">
        <v>469</v>
      </c>
      <c r="T20" s="286" t="s">
        <v>470</v>
      </c>
      <c r="U20" s="282"/>
      <c r="V20" s="286"/>
      <c r="W20" s="279"/>
    </row>
    <row r="21" spans="1:23" ht="8.25" customHeight="1">
      <c r="A21" s="368" t="s">
        <v>97</v>
      </c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4"/>
      <c r="W21" s="279"/>
    </row>
    <row r="22" spans="1:23" ht="8.25" customHeight="1">
      <c r="A22" s="287" t="s">
        <v>98</v>
      </c>
      <c r="B22" s="287" t="s">
        <v>120</v>
      </c>
      <c r="C22" s="287" t="s">
        <v>127</v>
      </c>
      <c r="D22" s="287" t="s">
        <v>132</v>
      </c>
      <c r="E22" s="287" t="s">
        <v>147</v>
      </c>
      <c r="F22" s="287" t="s">
        <v>138</v>
      </c>
      <c r="G22" s="287" t="s">
        <v>156</v>
      </c>
      <c r="H22" s="287"/>
      <c r="I22" s="287" t="s">
        <v>195</v>
      </c>
      <c r="J22" s="287" t="s">
        <v>180</v>
      </c>
      <c r="K22" s="287" t="s">
        <v>215</v>
      </c>
      <c r="L22" s="287" t="s">
        <v>261</v>
      </c>
      <c r="M22" s="287" t="s">
        <v>283</v>
      </c>
      <c r="N22" s="287" t="s">
        <v>237</v>
      </c>
      <c r="O22" s="287" t="s">
        <v>245</v>
      </c>
      <c r="P22" s="287" t="s">
        <v>297</v>
      </c>
      <c r="Q22" s="287" t="s">
        <v>316</v>
      </c>
      <c r="R22" s="287" t="s">
        <v>362</v>
      </c>
      <c r="S22" s="287" t="s">
        <v>325</v>
      </c>
      <c r="T22" s="288" t="s">
        <v>345</v>
      </c>
      <c r="U22" s="287" t="s">
        <v>371</v>
      </c>
      <c r="V22" s="288" t="s">
        <v>398</v>
      </c>
      <c r="W22" s="279"/>
    </row>
    <row r="23" spans="1:23" ht="8.25" customHeight="1">
      <c r="A23" s="288" t="s">
        <v>105</v>
      </c>
      <c r="B23" s="288" t="s">
        <v>121</v>
      </c>
      <c r="C23" s="288" t="s">
        <v>129</v>
      </c>
      <c r="D23" s="288" t="s">
        <v>136</v>
      </c>
      <c r="E23" s="288"/>
      <c r="F23" s="288" t="s">
        <v>139</v>
      </c>
      <c r="G23" s="288" t="s">
        <v>158</v>
      </c>
      <c r="H23" s="288" t="s">
        <v>175</v>
      </c>
      <c r="I23" s="288" t="s">
        <v>197</v>
      </c>
      <c r="J23" s="288" t="s">
        <v>185</v>
      </c>
      <c r="K23" s="288" t="s">
        <v>221</v>
      </c>
      <c r="L23" s="288" t="s">
        <v>275</v>
      </c>
      <c r="M23" s="288" t="s">
        <v>292</v>
      </c>
      <c r="N23" s="288" t="s">
        <v>238</v>
      </c>
      <c r="O23" s="288" t="s">
        <v>248</v>
      </c>
      <c r="P23" s="288" t="s">
        <v>298</v>
      </c>
      <c r="Q23" s="288" t="s">
        <v>317</v>
      </c>
      <c r="R23" s="288" t="s">
        <v>365</v>
      </c>
      <c r="S23" s="288" t="s">
        <v>326</v>
      </c>
      <c r="T23" s="288" t="s">
        <v>349</v>
      </c>
      <c r="U23" s="288" t="s">
        <v>372</v>
      </c>
      <c r="V23" s="288" t="s">
        <v>400</v>
      </c>
      <c r="W23" s="279"/>
    </row>
    <row r="24" spans="1:23" ht="8.25" customHeight="1">
      <c r="A24" s="288" t="s">
        <v>106</v>
      </c>
      <c r="B24" s="288" t="s">
        <v>122</v>
      </c>
      <c r="C24" s="288" t="s">
        <v>130</v>
      </c>
      <c r="D24" s="288"/>
      <c r="E24" s="288"/>
      <c r="F24" s="288" t="s">
        <v>143</v>
      </c>
      <c r="G24" s="288" t="s">
        <v>163</v>
      </c>
      <c r="H24" s="288" t="s">
        <v>176</v>
      </c>
      <c r="I24" s="288" t="s">
        <v>201</v>
      </c>
      <c r="J24" s="288" t="s">
        <v>186</v>
      </c>
      <c r="K24" s="288" t="s">
        <v>223</v>
      </c>
      <c r="L24" s="288" t="s">
        <v>277</v>
      </c>
      <c r="M24" s="288"/>
      <c r="N24" s="288" t="s">
        <v>240</v>
      </c>
      <c r="O24" s="288" t="s">
        <v>249</v>
      </c>
      <c r="P24" s="288" t="s">
        <v>301</v>
      </c>
      <c r="Q24" s="288" t="s">
        <v>321</v>
      </c>
      <c r="R24" s="288" t="s">
        <v>366</v>
      </c>
      <c r="S24" s="288" t="s">
        <v>328</v>
      </c>
      <c r="T24" s="288" t="s">
        <v>351</v>
      </c>
      <c r="U24" s="288" t="s">
        <v>373</v>
      </c>
      <c r="V24" s="288" t="s">
        <v>402</v>
      </c>
      <c r="W24" s="279"/>
    </row>
    <row r="25" spans="1:23" ht="8.25" customHeight="1">
      <c r="A25" s="288" t="s">
        <v>108</v>
      </c>
      <c r="B25" s="288" t="s">
        <v>125</v>
      </c>
      <c r="C25" s="288"/>
      <c r="D25" s="288"/>
      <c r="E25" s="288"/>
      <c r="F25" s="288" t="s">
        <v>150</v>
      </c>
      <c r="G25" s="288" t="s">
        <v>164</v>
      </c>
      <c r="H25" s="288" t="s">
        <v>179</v>
      </c>
      <c r="I25" s="288" t="s">
        <v>205</v>
      </c>
      <c r="J25" s="288" t="s">
        <v>190</v>
      </c>
      <c r="K25" s="288" t="s">
        <v>224</v>
      </c>
      <c r="L25" s="288" t="s">
        <v>280</v>
      </c>
      <c r="M25" s="288"/>
      <c r="N25" s="288" t="s">
        <v>244</v>
      </c>
      <c r="O25" s="288" t="s">
        <v>251</v>
      </c>
      <c r="P25" s="288" t="s">
        <v>304</v>
      </c>
      <c r="Q25" s="288" t="s">
        <v>322</v>
      </c>
      <c r="R25" s="288"/>
      <c r="S25" s="288" t="s">
        <v>329</v>
      </c>
      <c r="T25" s="288" t="s">
        <v>352</v>
      </c>
      <c r="U25" s="288" t="s">
        <v>374</v>
      </c>
      <c r="V25" s="288" t="s">
        <v>404</v>
      </c>
      <c r="W25" s="279"/>
    </row>
    <row r="26" spans="1:23" ht="8.25" customHeight="1">
      <c r="A26" s="288" t="s">
        <v>111</v>
      </c>
      <c r="B26" s="288" t="s">
        <v>126</v>
      </c>
      <c r="C26" s="288"/>
      <c r="D26" s="288"/>
      <c r="E26" s="288"/>
      <c r="F26" s="288" t="s">
        <v>151</v>
      </c>
      <c r="G26" s="288" t="s">
        <v>165</v>
      </c>
      <c r="H26" s="288" t="s">
        <v>181</v>
      </c>
      <c r="I26" s="288" t="s">
        <v>206</v>
      </c>
      <c r="J26" s="288" t="s">
        <v>191</v>
      </c>
      <c r="K26" s="288" t="s">
        <v>226</v>
      </c>
      <c r="L26" s="288" t="s">
        <v>281</v>
      </c>
      <c r="M26" s="288"/>
      <c r="N26" s="288" t="s">
        <v>472</v>
      </c>
      <c r="O26" s="288" t="s">
        <v>253</v>
      </c>
      <c r="P26" s="288" t="s">
        <v>305</v>
      </c>
      <c r="Q26" s="288" t="s">
        <v>323</v>
      </c>
      <c r="R26" s="288"/>
      <c r="S26" s="288" t="s">
        <v>330</v>
      </c>
      <c r="T26" s="288" t="s">
        <v>353</v>
      </c>
      <c r="U26" s="288" t="s">
        <v>375</v>
      </c>
      <c r="V26" s="288" t="s">
        <v>405</v>
      </c>
      <c r="W26" s="279"/>
    </row>
    <row r="27" spans="1:23" ht="8.25" customHeight="1">
      <c r="A27" s="288" t="s">
        <v>113</v>
      </c>
      <c r="B27" s="288"/>
      <c r="C27" s="288"/>
      <c r="D27" s="288"/>
      <c r="E27" s="288"/>
      <c r="F27" s="288" t="s">
        <v>152</v>
      </c>
      <c r="G27" s="288" t="s">
        <v>166</v>
      </c>
      <c r="H27" s="288" t="s">
        <v>183</v>
      </c>
      <c r="I27" s="288"/>
      <c r="J27" s="288" t="s">
        <v>192</v>
      </c>
      <c r="K27" s="288" t="s">
        <v>228</v>
      </c>
      <c r="L27" s="288" t="s">
        <v>289</v>
      </c>
      <c r="M27" s="288"/>
      <c r="N27" s="288" t="s">
        <v>262</v>
      </c>
      <c r="O27" s="288" t="s">
        <v>254</v>
      </c>
      <c r="P27" s="288" t="s">
        <v>306</v>
      </c>
      <c r="Q27" s="288"/>
      <c r="R27" s="288"/>
      <c r="S27" s="288" t="s">
        <v>331</v>
      </c>
      <c r="T27" s="288" t="s">
        <v>354</v>
      </c>
      <c r="U27" s="288" t="s">
        <v>376</v>
      </c>
      <c r="V27" s="288" t="s">
        <v>407</v>
      </c>
      <c r="W27" s="279"/>
    </row>
    <row r="28" spans="1:23" ht="8.25" customHeight="1">
      <c r="A28" s="288" t="s">
        <v>116</v>
      </c>
      <c r="B28" s="288"/>
      <c r="C28" s="288"/>
      <c r="D28" s="288"/>
      <c r="E28" s="288"/>
      <c r="F28" s="288" t="s">
        <v>153</v>
      </c>
      <c r="G28" s="288" t="s">
        <v>168</v>
      </c>
      <c r="H28" s="288" t="s">
        <v>184</v>
      </c>
      <c r="I28" s="288"/>
      <c r="J28" s="288" t="s">
        <v>193</v>
      </c>
      <c r="K28" s="288" t="s">
        <v>229</v>
      </c>
      <c r="L28" s="288" t="s">
        <v>290</v>
      </c>
      <c r="M28" s="288"/>
      <c r="N28" s="288" t="s">
        <v>265</v>
      </c>
      <c r="O28" s="288" t="s">
        <v>255</v>
      </c>
      <c r="P28" s="288" t="s">
        <v>308</v>
      </c>
      <c r="Q28" s="288"/>
      <c r="R28" s="288"/>
      <c r="S28" s="288" t="s">
        <v>334</v>
      </c>
      <c r="T28" s="288" t="s">
        <v>359</v>
      </c>
      <c r="U28" s="288" t="s">
        <v>377</v>
      </c>
      <c r="V28" s="288" t="s">
        <v>409</v>
      </c>
      <c r="W28" s="279"/>
    </row>
    <row r="29" spans="1:23" ht="8.25" customHeight="1">
      <c r="A29" s="288" t="s">
        <v>119</v>
      </c>
      <c r="B29" s="288"/>
      <c r="C29" s="288"/>
      <c r="D29" s="288"/>
      <c r="E29" s="288"/>
      <c r="F29" s="288" t="s">
        <v>154</v>
      </c>
      <c r="G29" s="288" t="s">
        <v>169</v>
      </c>
      <c r="H29" s="288"/>
      <c r="I29" s="288"/>
      <c r="J29" s="288" t="s">
        <v>194</v>
      </c>
      <c r="K29" s="288" t="s">
        <v>231</v>
      </c>
      <c r="L29" s="288" t="s">
        <v>295</v>
      </c>
      <c r="M29" s="288"/>
      <c r="N29" s="288" t="s">
        <v>269</v>
      </c>
      <c r="O29" s="288" t="s">
        <v>257</v>
      </c>
      <c r="P29" s="288" t="s">
        <v>309</v>
      </c>
      <c r="Q29" s="288"/>
      <c r="R29" s="288"/>
      <c r="S29" s="288" t="s">
        <v>335</v>
      </c>
      <c r="T29" s="288" t="s">
        <v>360</v>
      </c>
      <c r="U29" s="288" t="s">
        <v>379</v>
      </c>
      <c r="V29" s="288" t="s">
        <v>410</v>
      </c>
      <c r="W29" s="279"/>
    </row>
    <row r="30" spans="1:23" ht="8.25" customHeight="1">
      <c r="A30" s="288"/>
      <c r="B30" s="288"/>
      <c r="C30" s="288"/>
      <c r="D30" s="288"/>
      <c r="E30" s="288"/>
      <c r="F30" s="288" t="s">
        <v>155</v>
      </c>
      <c r="G30" s="288" t="s">
        <v>473</v>
      </c>
      <c r="H30" s="288"/>
      <c r="I30" s="288"/>
      <c r="J30" s="288" t="s">
        <v>198</v>
      </c>
      <c r="K30" s="288" t="s">
        <v>233</v>
      </c>
      <c r="L30" s="288"/>
      <c r="M30" s="288"/>
      <c r="N30" s="288" t="s">
        <v>271</v>
      </c>
      <c r="O30" s="289" t="s">
        <v>260</v>
      </c>
      <c r="P30" s="288" t="s">
        <v>310</v>
      </c>
      <c r="Q30" s="290"/>
      <c r="R30" s="288"/>
      <c r="S30" s="288" t="s">
        <v>337</v>
      </c>
      <c r="T30" s="288" t="s">
        <v>361</v>
      </c>
      <c r="U30" s="288" t="s">
        <v>380</v>
      </c>
      <c r="V30" s="288" t="s">
        <v>415</v>
      </c>
      <c r="W30" s="279"/>
    </row>
    <row r="31" spans="1:23" ht="8.25" customHeight="1">
      <c r="A31" s="288"/>
      <c r="B31" s="288"/>
      <c r="C31" s="288"/>
      <c r="D31" s="288"/>
      <c r="E31" s="288"/>
      <c r="F31" s="288" t="s">
        <v>159</v>
      </c>
      <c r="G31" s="288" t="s">
        <v>474</v>
      </c>
      <c r="H31" s="288"/>
      <c r="I31" s="279"/>
      <c r="J31" s="289" t="s">
        <v>200</v>
      </c>
      <c r="K31" s="288" t="s">
        <v>234</v>
      </c>
      <c r="L31" s="288"/>
      <c r="M31" s="288"/>
      <c r="N31" s="288" t="s">
        <v>272</v>
      </c>
      <c r="O31" s="289" t="s">
        <v>274</v>
      </c>
      <c r="P31" s="288" t="s">
        <v>311</v>
      </c>
      <c r="Q31" s="290"/>
      <c r="R31" s="288"/>
      <c r="S31" s="288" t="s">
        <v>338</v>
      </c>
      <c r="T31" s="288"/>
      <c r="U31" s="288" t="s">
        <v>381</v>
      </c>
      <c r="V31" s="290"/>
      <c r="W31" s="279"/>
    </row>
    <row r="32" spans="1:23" ht="8.25" customHeight="1">
      <c r="A32" s="288"/>
      <c r="B32" s="288"/>
      <c r="C32" s="288"/>
      <c r="D32" s="288"/>
      <c r="E32" s="288"/>
      <c r="F32" s="288"/>
      <c r="G32" s="288" t="s">
        <v>256</v>
      </c>
      <c r="H32" s="288"/>
      <c r="I32" s="288"/>
      <c r="J32" s="288" t="s">
        <v>208</v>
      </c>
      <c r="K32" s="288" t="s">
        <v>235</v>
      </c>
      <c r="L32" s="288"/>
      <c r="M32" s="288"/>
      <c r="N32" s="288" t="s">
        <v>273</v>
      </c>
      <c r="O32" s="289"/>
      <c r="P32" s="288" t="s">
        <v>312</v>
      </c>
      <c r="Q32" s="290"/>
      <c r="R32" s="288"/>
      <c r="S32" s="288" t="s">
        <v>339</v>
      </c>
      <c r="T32" s="288"/>
      <c r="U32" s="288" t="s">
        <v>382</v>
      </c>
      <c r="V32" s="288" t="s">
        <v>419</v>
      </c>
      <c r="W32" s="279"/>
    </row>
    <row r="33" spans="1:23" ht="8.25" customHeight="1">
      <c r="A33" s="288"/>
      <c r="B33" s="288"/>
      <c r="C33" s="288"/>
      <c r="D33" s="288"/>
      <c r="E33" s="288"/>
      <c r="F33" s="288"/>
      <c r="G33" s="288"/>
      <c r="H33" s="288"/>
      <c r="I33" s="288"/>
      <c r="J33" s="288" t="s">
        <v>209</v>
      </c>
      <c r="K33" s="288"/>
      <c r="L33" s="288"/>
      <c r="M33" s="288"/>
      <c r="N33" s="288" t="s">
        <v>282</v>
      </c>
      <c r="O33" s="289"/>
      <c r="P33" s="288" t="s">
        <v>314</v>
      </c>
      <c r="Q33" s="290"/>
      <c r="R33" s="288"/>
      <c r="S33" s="288" t="s">
        <v>340</v>
      </c>
      <c r="T33" s="288"/>
      <c r="U33" s="289" t="s">
        <v>383</v>
      </c>
      <c r="V33" s="288" t="s">
        <v>423</v>
      </c>
      <c r="W33" s="279"/>
    </row>
    <row r="34" spans="1:23" ht="8.25" customHeight="1">
      <c r="A34" s="288"/>
      <c r="B34" s="288"/>
      <c r="C34" s="288"/>
      <c r="D34" s="288"/>
      <c r="E34" s="288"/>
      <c r="F34" s="288"/>
      <c r="G34" s="288"/>
      <c r="H34" s="288"/>
      <c r="I34" s="288"/>
      <c r="J34" s="288" t="s">
        <v>210</v>
      </c>
      <c r="K34" s="288"/>
      <c r="L34" s="288"/>
      <c r="M34" s="288"/>
      <c r="N34" s="288"/>
      <c r="O34" s="289"/>
      <c r="P34" s="288" t="s">
        <v>315</v>
      </c>
      <c r="Q34" s="290"/>
      <c r="R34" s="288"/>
      <c r="S34" s="288" t="s">
        <v>343</v>
      </c>
      <c r="T34" s="288"/>
      <c r="U34" s="288" t="s">
        <v>384</v>
      </c>
      <c r="V34" s="290"/>
      <c r="W34" s="279"/>
    </row>
    <row r="35" spans="1:23" ht="8.25" customHeight="1">
      <c r="A35" s="288"/>
      <c r="B35" s="288"/>
      <c r="C35" s="288"/>
      <c r="D35" s="288"/>
      <c r="E35" s="288"/>
      <c r="F35" s="288"/>
      <c r="G35" s="288"/>
      <c r="H35" s="288"/>
      <c r="I35" s="288"/>
      <c r="J35" s="288" t="s">
        <v>211</v>
      </c>
      <c r="K35" s="288"/>
      <c r="L35" s="288"/>
      <c r="M35" s="288"/>
      <c r="N35" s="288"/>
      <c r="O35" s="289"/>
      <c r="P35" s="288" t="s">
        <v>475</v>
      </c>
      <c r="Q35" s="290"/>
      <c r="R35" s="288"/>
      <c r="S35" s="288" t="s">
        <v>344</v>
      </c>
      <c r="T35" s="288"/>
      <c r="U35" s="288" t="s">
        <v>385</v>
      </c>
      <c r="V35" s="290"/>
      <c r="W35" s="279"/>
    </row>
    <row r="36" spans="1:23" ht="8.25" customHeight="1">
      <c r="A36" s="288"/>
      <c r="B36" s="288"/>
      <c r="C36" s="288"/>
      <c r="D36" s="288"/>
      <c r="E36" s="288"/>
      <c r="F36" s="288"/>
      <c r="G36" s="288"/>
      <c r="H36" s="288"/>
      <c r="I36" s="288"/>
      <c r="J36" s="288" t="s">
        <v>212</v>
      </c>
      <c r="K36" s="288"/>
      <c r="L36" s="288"/>
      <c r="M36" s="288"/>
      <c r="N36" s="288"/>
      <c r="O36" s="289"/>
      <c r="P36" s="288" t="s">
        <v>303</v>
      </c>
      <c r="Q36" s="290"/>
      <c r="R36" s="288"/>
      <c r="S36" s="288"/>
      <c r="T36" s="288"/>
      <c r="U36" s="288" t="s">
        <v>386</v>
      </c>
      <c r="V36" s="290"/>
      <c r="W36" s="279"/>
    </row>
    <row r="37" spans="1:23" ht="8.25" customHeight="1">
      <c r="A37" s="288"/>
      <c r="B37" s="288"/>
      <c r="C37" s="288"/>
      <c r="D37" s="288"/>
      <c r="E37" s="288"/>
      <c r="F37" s="288"/>
      <c r="G37" s="288"/>
      <c r="H37" s="288"/>
      <c r="I37" s="288"/>
      <c r="J37" s="288" t="s">
        <v>213</v>
      </c>
      <c r="K37" s="288"/>
      <c r="L37" s="288"/>
      <c r="M37" s="288"/>
      <c r="N37" s="288"/>
      <c r="O37" s="289"/>
      <c r="P37" s="288"/>
      <c r="Q37" s="290"/>
      <c r="R37" s="288"/>
      <c r="S37" s="288"/>
      <c r="T37" s="288"/>
      <c r="U37" s="288" t="s">
        <v>387</v>
      </c>
      <c r="V37" s="290"/>
      <c r="W37" s="279"/>
    </row>
    <row r="38" spans="1:23" ht="8.25" customHeight="1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9"/>
      <c r="P38" s="288"/>
      <c r="Q38" s="290"/>
      <c r="R38" s="288"/>
      <c r="S38" s="288"/>
      <c r="T38" s="288"/>
      <c r="U38" s="288" t="s">
        <v>389</v>
      </c>
      <c r="V38" s="290"/>
      <c r="W38" s="279"/>
    </row>
    <row r="39" spans="1:23" ht="8.25" customHeight="1">
      <c r="A39" s="288"/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9"/>
      <c r="P39" s="288"/>
      <c r="Q39" s="290"/>
      <c r="R39" s="288"/>
      <c r="S39" s="288"/>
      <c r="T39" s="288"/>
      <c r="U39" s="288" t="s">
        <v>390</v>
      </c>
      <c r="V39" s="290"/>
      <c r="W39" s="279"/>
    </row>
    <row r="40" spans="1:23" ht="8.25" customHeight="1">
      <c r="A40" s="288"/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9"/>
      <c r="P40" s="288"/>
      <c r="Q40" s="290"/>
      <c r="R40" s="288"/>
      <c r="S40" s="288"/>
      <c r="T40" s="288"/>
      <c r="U40" s="288" t="s">
        <v>391</v>
      </c>
      <c r="V40" s="290"/>
      <c r="W40" s="279"/>
    </row>
    <row r="41" spans="1:23" ht="8.25" customHeight="1">
      <c r="A41" s="288"/>
      <c r="B41" s="288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9"/>
      <c r="P41" s="288"/>
      <c r="Q41" s="290"/>
      <c r="R41" s="288"/>
      <c r="S41" s="288"/>
      <c r="T41" s="288"/>
      <c r="U41" s="288" t="s">
        <v>392</v>
      </c>
      <c r="V41" s="290"/>
      <c r="W41" s="279"/>
    </row>
    <row r="42" spans="1:23" ht="8.25" customHeight="1">
      <c r="A42" s="288"/>
      <c r="B42" s="288"/>
      <c r="C42" s="288"/>
      <c r="D42" s="288"/>
      <c r="E42" s="288"/>
      <c r="F42" s="288"/>
      <c r="G42" s="288"/>
      <c r="H42" s="288"/>
      <c r="I42" s="288"/>
      <c r="J42" s="279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 t="s">
        <v>393</v>
      </c>
      <c r="V42" s="290"/>
      <c r="W42" s="279"/>
    </row>
    <row r="43" spans="1:23" ht="8.25" customHeight="1">
      <c r="A43" s="288"/>
      <c r="B43" s="288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 t="s">
        <v>394</v>
      </c>
      <c r="V43" s="290"/>
      <c r="W43" s="279"/>
    </row>
    <row r="44" spans="1:23" ht="8.25" customHeight="1">
      <c r="A44" s="288"/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 t="s">
        <v>395</v>
      </c>
      <c r="V44" s="290"/>
      <c r="W44" s="279"/>
    </row>
    <row r="45" spans="1:23" ht="8.25" customHeight="1">
      <c r="A45" s="288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 t="s">
        <v>396</v>
      </c>
      <c r="V45" s="290"/>
      <c r="W45" s="279"/>
    </row>
    <row r="46" spans="1:23" ht="8.25" customHeight="1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 t="s">
        <v>397</v>
      </c>
      <c r="V46" s="290"/>
      <c r="W46" s="279"/>
    </row>
    <row r="47" spans="1:23" ht="8.25" customHeight="1">
      <c r="A47" s="288"/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90"/>
      <c r="W47" s="279"/>
    </row>
    <row r="48" spans="1:23" ht="8.25" customHeight="1">
      <c r="A48" s="288"/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 t="s">
        <v>417</v>
      </c>
      <c r="V48" s="290"/>
      <c r="W48" s="279"/>
    </row>
    <row r="49" spans="1:23" ht="8.25" customHeight="1">
      <c r="A49" s="288"/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 t="s">
        <v>418</v>
      </c>
      <c r="V49" s="290"/>
      <c r="W49" s="279"/>
    </row>
    <row r="50" spans="1:23" ht="8.25" customHeight="1">
      <c r="A50" s="288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90"/>
      <c r="W50" s="279"/>
    </row>
    <row r="51" spans="1:23" ht="8.25" customHeight="1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90"/>
      <c r="W51" s="279"/>
    </row>
    <row r="52" spans="1:23" ht="8.25" customHeight="1">
      <c r="A52" s="288"/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90"/>
      <c r="W52" s="279"/>
    </row>
    <row r="53" spans="1:23" ht="8.25" customHeight="1">
      <c r="A53" s="291"/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0"/>
      <c r="W53" s="279"/>
    </row>
    <row r="54" spans="1:23" ht="8.25" customHeight="1">
      <c r="A54" s="368" t="s">
        <v>427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4"/>
      <c r="W54" s="279"/>
    </row>
    <row r="55" spans="1:23" ht="8.25" customHeight="1">
      <c r="A55" s="287"/>
      <c r="B55" s="287"/>
      <c r="C55" s="287"/>
      <c r="D55" s="287"/>
      <c r="E55" s="287"/>
      <c r="F55" s="287"/>
      <c r="G55" s="287"/>
      <c r="H55" s="287"/>
      <c r="I55" s="287" t="s">
        <v>428</v>
      </c>
      <c r="J55" s="287"/>
      <c r="K55" s="287" t="s">
        <v>476</v>
      </c>
      <c r="L55" s="287"/>
      <c r="M55" s="287"/>
      <c r="N55" s="287" t="s">
        <v>434</v>
      </c>
      <c r="O55" s="287"/>
      <c r="P55" s="287" t="s">
        <v>436</v>
      </c>
      <c r="Q55" s="287"/>
      <c r="R55" s="287" t="s">
        <v>477</v>
      </c>
      <c r="S55" s="287"/>
      <c r="T55" s="287"/>
      <c r="U55" s="287" t="s">
        <v>445</v>
      </c>
      <c r="V55" s="290"/>
      <c r="W55" s="279"/>
    </row>
    <row r="56" spans="1:23" ht="8.25" customHeight="1">
      <c r="A56" s="288"/>
      <c r="B56" s="288"/>
      <c r="C56" s="288"/>
      <c r="D56" s="288"/>
      <c r="E56" s="288"/>
      <c r="F56" s="288"/>
      <c r="G56" s="288"/>
      <c r="H56" s="288"/>
      <c r="I56" s="288" t="s">
        <v>429</v>
      </c>
      <c r="J56" s="288"/>
      <c r="K56" s="288" t="s">
        <v>432</v>
      </c>
      <c r="L56" s="288"/>
      <c r="M56" s="288"/>
      <c r="N56" s="288" t="s">
        <v>435</v>
      </c>
      <c r="O56" s="288"/>
      <c r="P56" s="288" t="s">
        <v>437</v>
      </c>
      <c r="Q56" s="288"/>
      <c r="R56" s="288" t="s">
        <v>439</v>
      </c>
      <c r="S56" s="288"/>
      <c r="T56" s="288"/>
      <c r="U56" s="288" t="s">
        <v>446</v>
      </c>
      <c r="V56" s="290"/>
      <c r="W56" s="279"/>
    </row>
    <row r="57" spans="1:23" ht="8.25" customHeight="1">
      <c r="A57" s="288"/>
      <c r="B57" s="288"/>
      <c r="C57" s="288"/>
      <c r="D57" s="288"/>
      <c r="E57" s="288"/>
      <c r="F57" s="288"/>
      <c r="G57" s="288"/>
      <c r="H57" s="288"/>
      <c r="I57" s="288" t="s">
        <v>430</v>
      </c>
      <c r="J57" s="288"/>
      <c r="K57" s="288" t="s">
        <v>478</v>
      </c>
      <c r="L57" s="288"/>
      <c r="M57" s="288"/>
      <c r="N57" s="288"/>
      <c r="O57" s="288"/>
      <c r="P57" s="288"/>
      <c r="Q57" s="288"/>
      <c r="R57" s="288" t="s">
        <v>479</v>
      </c>
      <c r="S57" s="288"/>
      <c r="T57" s="288"/>
      <c r="U57" s="288" t="s">
        <v>447</v>
      </c>
      <c r="V57" s="290"/>
      <c r="W57" s="279"/>
    </row>
    <row r="58" spans="1:23" ht="8.25" customHeight="1">
      <c r="A58" s="288"/>
      <c r="B58" s="288"/>
      <c r="C58" s="288"/>
      <c r="D58" s="288"/>
      <c r="E58" s="288"/>
      <c r="F58" s="288"/>
      <c r="G58" s="288"/>
      <c r="H58" s="288"/>
      <c r="I58" s="288" t="s">
        <v>431</v>
      </c>
      <c r="J58" s="288"/>
      <c r="K58" s="288" t="s">
        <v>433</v>
      </c>
      <c r="L58" s="288"/>
      <c r="M58" s="288"/>
      <c r="N58" s="288"/>
      <c r="O58" s="288"/>
      <c r="P58" s="288"/>
      <c r="Q58" s="288"/>
      <c r="R58" s="279" t="s">
        <v>440</v>
      </c>
      <c r="S58" s="288"/>
      <c r="T58" s="288"/>
      <c r="U58" s="288" t="s">
        <v>448</v>
      </c>
      <c r="V58" s="290"/>
      <c r="W58" s="279"/>
    </row>
    <row r="59" spans="1:23" ht="8.25" customHeight="1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 t="s">
        <v>441</v>
      </c>
      <c r="S59" s="288"/>
      <c r="T59" s="288"/>
      <c r="U59" s="288" t="s">
        <v>449</v>
      </c>
      <c r="V59" s="290"/>
      <c r="W59" s="279"/>
    </row>
    <row r="60" spans="1:23" ht="8.25" customHeight="1">
      <c r="A60" s="288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9"/>
      <c r="R60" s="288" t="s">
        <v>442</v>
      </c>
      <c r="S60" s="290"/>
      <c r="T60" s="288"/>
      <c r="U60" s="288"/>
      <c r="V60" s="290"/>
      <c r="W60" s="279"/>
    </row>
    <row r="61" spans="1:23" ht="8.25" customHeight="1">
      <c r="A61" s="288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 t="s">
        <v>443</v>
      </c>
      <c r="S61" s="288"/>
      <c r="T61" s="288"/>
      <c r="U61" s="288"/>
      <c r="V61" s="290"/>
      <c r="W61" s="279"/>
    </row>
    <row r="62" spans="1:23" ht="8.25" customHeight="1">
      <c r="A62" s="291"/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1"/>
      <c r="M62" s="291"/>
      <c r="N62" s="291"/>
      <c r="O62" s="291"/>
      <c r="P62" s="291"/>
      <c r="Q62" s="291"/>
      <c r="R62" s="291" t="s">
        <v>480</v>
      </c>
      <c r="S62" s="291"/>
      <c r="T62" s="291"/>
      <c r="U62" s="291" t="s">
        <v>450</v>
      </c>
      <c r="V62" s="292"/>
      <c r="W62" s="279"/>
    </row>
    <row r="63" spans="1:23" ht="8.25" customHeight="1">
      <c r="A63" s="279"/>
      <c r="B63" s="27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</row>
    <row r="64" spans="1:23" ht="12" customHeight="1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</row>
    <row r="65" spans="1:23" ht="12" customHeight="1">
      <c r="A65" s="293"/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</row>
    <row r="66" spans="1:23" ht="15.75" customHeight="1"/>
    <row r="67" spans="1:23" ht="15.75" customHeight="1"/>
    <row r="68" spans="1:23" ht="15.75" customHeight="1"/>
    <row r="69" spans="1:23" ht="15.75" customHeight="1"/>
    <row r="70" spans="1:23" ht="15.75" customHeight="1"/>
    <row r="71" spans="1:23" ht="15.75" customHeight="1"/>
    <row r="72" spans="1:23" ht="15.75" customHeight="1"/>
    <row r="73" spans="1:23" ht="15.75" customHeight="1"/>
    <row r="74" spans="1:23" ht="15.75" customHeight="1"/>
    <row r="75" spans="1:23" ht="15.75" customHeight="1"/>
    <row r="76" spans="1:23" ht="15.75" customHeight="1"/>
    <row r="77" spans="1:23" ht="15.75" customHeight="1"/>
    <row r="78" spans="1:23" ht="15.75" customHeight="1"/>
    <row r="79" spans="1:23" ht="15.75" customHeight="1"/>
    <row r="80" spans="1:2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7:V17"/>
    <mergeCell ref="A21:V21"/>
    <mergeCell ref="A54:V54"/>
    <mergeCell ref="A12:V12"/>
    <mergeCell ref="A13:D13"/>
    <mergeCell ref="E13:P13"/>
    <mergeCell ref="U13:V13"/>
    <mergeCell ref="A14:D14"/>
    <mergeCell ref="E14:P14"/>
    <mergeCell ref="U15:V15"/>
    <mergeCell ref="Q15:T15"/>
    <mergeCell ref="Q16:T16"/>
    <mergeCell ref="U16:V16"/>
    <mergeCell ref="A15:D15"/>
    <mergeCell ref="A16:D16"/>
    <mergeCell ref="A10:T10"/>
    <mergeCell ref="U10:V10"/>
    <mergeCell ref="A11:T11"/>
    <mergeCell ref="U11:V11"/>
    <mergeCell ref="Q14:T14"/>
    <mergeCell ref="U14:V14"/>
    <mergeCell ref="Q13:T13"/>
    <mergeCell ref="A6:V6"/>
    <mergeCell ref="A7:V7"/>
    <mergeCell ref="A8:V8"/>
    <mergeCell ref="A9:T9"/>
    <mergeCell ref="U9:V9"/>
    <mergeCell ref="A1:V1"/>
    <mergeCell ref="A2:V2"/>
    <mergeCell ref="S3:V3"/>
    <mergeCell ref="A4:V4"/>
    <mergeCell ref="A5:V5"/>
  </mergeCells>
  <pageMargins left="0.7" right="0.7" top="0.75" bottom="0.75" header="0" footer="0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zoomScaleNormal="100" workbookViewId="0">
      <selection sqref="A1:P1"/>
    </sheetView>
  </sheetViews>
  <sheetFormatPr defaultColWidth="14.453125" defaultRowHeight="15" customHeight="1"/>
  <cols>
    <col min="1" max="1" width="11.54296875" customWidth="1"/>
    <col min="2" max="2" width="10.81640625" customWidth="1"/>
    <col min="3" max="3" width="7" customWidth="1"/>
    <col min="4" max="6" width="5.36328125" bestFit="1" customWidth="1"/>
    <col min="7" max="7" width="4.81640625" customWidth="1"/>
    <col min="8" max="8" width="5.36328125" bestFit="1" customWidth="1"/>
    <col min="9" max="9" width="4.453125" customWidth="1"/>
    <col min="10" max="13" width="5.36328125" bestFit="1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349" t="s">
        <v>39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2"/>
    </row>
    <row r="2" spans="1:17" ht="14.25" customHeight="1">
      <c r="A2" s="349" t="s">
        <v>40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2"/>
    </row>
    <row r="3" spans="1:17" ht="11.25" customHeight="1">
      <c r="A3" s="351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2"/>
    </row>
    <row r="4" spans="1:17" ht="11.25" customHeight="1">
      <c r="A4" s="3" t="s">
        <v>41</v>
      </c>
      <c r="B4" s="3" t="s">
        <v>2</v>
      </c>
      <c r="C4" s="3" t="s">
        <v>2</v>
      </c>
      <c r="D4" s="352" t="s">
        <v>3</v>
      </c>
      <c r="E4" s="353"/>
      <c r="F4" s="353"/>
      <c r="G4" s="353"/>
      <c r="H4" s="353"/>
      <c r="I4" s="353"/>
      <c r="J4" s="353"/>
      <c r="K4" s="353"/>
      <c r="L4" s="353"/>
      <c r="M4" s="354"/>
      <c r="N4" s="352" t="s">
        <v>4</v>
      </c>
      <c r="O4" s="353"/>
      <c r="P4" s="354"/>
      <c r="Q4" s="2"/>
    </row>
    <row r="5" spans="1:17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2"/>
    </row>
    <row r="6" spans="1:17" ht="11.25" customHeight="1">
      <c r="A6" s="11"/>
      <c r="B6" s="11"/>
      <c r="C6" s="11"/>
      <c r="D6" s="8" t="s">
        <v>20</v>
      </c>
      <c r="E6" s="9" t="s">
        <v>20</v>
      </c>
      <c r="F6" s="9" t="s">
        <v>20</v>
      </c>
      <c r="G6" s="9" t="s">
        <v>20</v>
      </c>
      <c r="H6" s="9" t="s">
        <v>21</v>
      </c>
      <c r="I6" s="9" t="s">
        <v>21</v>
      </c>
      <c r="J6" s="9" t="s">
        <v>21</v>
      </c>
      <c r="K6" s="9" t="s">
        <v>21</v>
      </c>
      <c r="L6" s="9" t="s">
        <v>21</v>
      </c>
      <c r="M6" s="10" t="s">
        <v>21</v>
      </c>
      <c r="N6" s="15" t="s">
        <v>6</v>
      </c>
      <c r="O6" s="16" t="s">
        <v>6</v>
      </c>
      <c r="P6" s="17" t="s">
        <v>18</v>
      </c>
      <c r="Q6" s="2"/>
    </row>
    <row r="7" spans="1:17" ht="11.25" customHeight="1">
      <c r="A7" s="41" t="s">
        <v>42</v>
      </c>
      <c r="B7" s="18" t="s">
        <v>23</v>
      </c>
      <c r="C7" s="26">
        <f>SUM('By Area'!C18+'By Area'!C35)</f>
        <v>2283</v>
      </c>
      <c r="D7" s="20">
        <f>SUM('By Area'!D7+'By Area'!D18+'By Area'!D35)</f>
        <v>1425</v>
      </c>
      <c r="E7" s="21">
        <f>SUM('By Area'!E7+'By Area'!E18+'By Area'!E35)</f>
        <v>1145</v>
      </c>
      <c r="F7" s="21">
        <f>SUM('By Area'!F7+'By Area'!F18+'By Area'!F35)</f>
        <v>1000</v>
      </c>
      <c r="G7" s="21">
        <f>SUM('By Area'!G7+'By Area'!G18+'By Area'!G35)</f>
        <v>932</v>
      </c>
      <c r="H7" s="21">
        <f>SUM('By Area'!H7+'By Area'!H18+'By Area'!H35)</f>
        <v>907</v>
      </c>
      <c r="I7" s="21">
        <f>SUM('By Area'!I7+'By Area'!I18+'By Area'!I35)</f>
        <v>950</v>
      </c>
      <c r="J7" s="21">
        <f>SUM('By Area'!J7+'By Area'!J18+'By Area'!J35)</f>
        <v>1001</v>
      </c>
      <c r="K7" s="21">
        <f>SUM('By Area'!K7+'By Area'!K18+'By Area'!K35)</f>
        <v>1075</v>
      </c>
      <c r="L7" s="21">
        <f>SUM('By Area'!L7+'By Area'!L18+'By Area'!L35)</f>
        <v>1220</v>
      </c>
      <c r="M7" s="22">
        <f>SUM('By Area'!M7+'By Area'!M18+'By Area'!M35)</f>
        <v>1358</v>
      </c>
      <c r="N7" s="163">
        <f t="shared" ref="N7:N22" si="0">MIN(D7:M7)</f>
        <v>907</v>
      </c>
      <c r="O7" s="23">
        <f t="shared" ref="O7:O22" si="1">C7-N7</f>
        <v>1376</v>
      </c>
      <c r="P7" s="24">
        <f t="shared" ref="P7:P22" si="2">O7/C7</f>
        <v>0.60271572492334646</v>
      </c>
      <c r="Q7" s="2"/>
    </row>
    <row r="8" spans="1:17" ht="11.25" customHeight="1">
      <c r="A8" s="26" t="s">
        <v>43</v>
      </c>
      <c r="B8" s="18" t="s">
        <v>25</v>
      </c>
      <c r="C8" s="26">
        <f>SUM('By Area'!C8+'By Area'!C23+'By Area'!C36)</f>
        <v>5890</v>
      </c>
      <c r="D8" s="19">
        <f>SUM('By Area'!D8+'By Area'!D23+'By Area'!D36)</f>
        <v>4204</v>
      </c>
      <c r="E8" s="23">
        <f>SUM('By Area'!E8+'By Area'!E23+'By Area'!E36)</f>
        <v>3716</v>
      </c>
      <c r="F8" s="23">
        <f>SUM('By Area'!F8+'By Area'!F23+'By Area'!F36)</f>
        <v>3490</v>
      </c>
      <c r="G8" s="23">
        <f>SUM('By Area'!G8+'By Area'!G23+'By Area'!G36)</f>
        <v>3368</v>
      </c>
      <c r="H8" s="23">
        <f>SUM('By Area'!H8+'By Area'!H23+'By Area'!H36)</f>
        <v>3358</v>
      </c>
      <c r="I8" s="23">
        <f>SUM('By Area'!I8+'By Area'!I23+'By Area'!I36)</f>
        <v>3466</v>
      </c>
      <c r="J8" s="23">
        <f>SUM('By Area'!J8+'By Area'!J23+'By Area'!J36)</f>
        <v>3501</v>
      </c>
      <c r="K8" s="23">
        <f>SUM('By Area'!K8+'By Area'!K23+'By Area'!K36)</f>
        <v>3765</v>
      </c>
      <c r="L8" s="23">
        <f>SUM('By Area'!L8+'By Area'!L23+'By Area'!L36)</f>
        <v>3976</v>
      </c>
      <c r="M8" s="25">
        <f>SUM('By Area'!M8+'By Area'!M23+'By Area'!M36)</f>
        <v>4401</v>
      </c>
      <c r="N8" s="163">
        <f t="shared" si="0"/>
        <v>3358</v>
      </c>
      <c r="O8" s="23">
        <f t="shared" si="1"/>
        <v>2532</v>
      </c>
      <c r="P8" s="24">
        <f t="shared" si="2"/>
        <v>0.4298811544991511</v>
      </c>
      <c r="Q8" s="2"/>
    </row>
    <row r="9" spans="1:17" ht="11.25" customHeight="1">
      <c r="A9" s="26"/>
      <c r="B9" s="18" t="s">
        <v>30</v>
      </c>
      <c r="C9" s="26">
        <f>SUM('By Area'!C38)</f>
        <v>1166</v>
      </c>
      <c r="D9" s="26">
        <f>SUM('By Area'!D38)</f>
        <v>1044</v>
      </c>
      <c r="E9" s="2">
        <f>SUM('By Area'!E38)</f>
        <v>1006</v>
      </c>
      <c r="F9" s="2">
        <f>SUM('By Area'!F38)</f>
        <v>934</v>
      </c>
      <c r="G9" s="2">
        <f>SUM('By Area'!G38)</f>
        <v>966</v>
      </c>
      <c r="H9" s="2">
        <f>SUM('By Area'!H38)</f>
        <v>969</v>
      </c>
      <c r="I9" s="23">
        <f>SUM('By Area'!I38)</f>
        <v>1020</v>
      </c>
      <c r="J9" s="23">
        <f>SUM('By Area'!J38)</f>
        <v>1015</v>
      </c>
      <c r="K9" s="23">
        <f>SUM('By Area'!K38)</f>
        <v>1019</v>
      </c>
      <c r="L9" s="23">
        <f>SUM('By Area'!L38)</f>
        <v>1056</v>
      </c>
      <c r="M9" s="25">
        <f>SUM('By Area'!M38)</f>
        <v>1088</v>
      </c>
      <c r="N9" s="163">
        <f t="shared" si="0"/>
        <v>934</v>
      </c>
      <c r="O9" s="23">
        <f t="shared" si="1"/>
        <v>232</v>
      </c>
      <c r="P9" s="24">
        <f t="shared" si="2"/>
        <v>0.19897084048027444</v>
      </c>
      <c r="Q9" s="2"/>
    </row>
    <row r="10" spans="1:17" ht="11.25" customHeight="1">
      <c r="A10" s="26"/>
      <c r="B10" s="18" t="s">
        <v>27</v>
      </c>
      <c r="C10" s="26">
        <f>SUM('By Area'!C9+'By Area'!C24+'By Area'!C37)</f>
        <v>1321</v>
      </c>
      <c r="D10" s="26">
        <f>SUM('By Area'!D9+'By Area'!D24+'By Area'!D37)</f>
        <v>1172</v>
      </c>
      <c r="E10" s="2">
        <f>SUM('By Area'!E9+'By Area'!E24+'By Area'!E37)</f>
        <v>1244</v>
      </c>
      <c r="F10" s="2">
        <f>SUM('By Area'!F9+'By Area'!F24+'By Area'!F37)</f>
        <v>1110</v>
      </c>
      <c r="G10" s="2">
        <f>SUM('By Area'!G9+'By Area'!G24+'By Area'!G37)</f>
        <v>1143</v>
      </c>
      <c r="H10" s="2">
        <f>SUM('By Area'!H9+'By Area'!H24+'By Area'!H37)</f>
        <v>1357</v>
      </c>
      <c r="I10" s="2">
        <f>SUM('By Area'!I9+'By Area'!I24+'By Area'!I37)</f>
        <v>1146</v>
      </c>
      <c r="J10" s="2">
        <f>SUM('By Area'!J9+'By Area'!J24+'By Area'!J37)</f>
        <v>1153</v>
      </c>
      <c r="K10" s="2">
        <f>SUM('By Area'!K9+'By Area'!K24+'By Area'!K37)</f>
        <v>1227</v>
      </c>
      <c r="L10" s="2">
        <f>SUM('By Area'!L9+'By Area'!L24+'By Area'!L37)</f>
        <v>1228</v>
      </c>
      <c r="M10" s="27">
        <f>SUM('By Area'!M9+'By Area'!M24+'By Area'!M37)</f>
        <v>1249</v>
      </c>
      <c r="N10" s="180">
        <f t="shared" si="0"/>
        <v>1110</v>
      </c>
      <c r="O10" s="2">
        <f t="shared" si="1"/>
        <v>211</v>
      </c>
      <c r="P10" s="24">
        <f t="shared" si="2"/>
        <v>0.15972747918243754</v>
      </c>
      <c r="Q10" s="2"/>
    </row>
    <row r="11" spans="1:17" ht="11.25" customHeight="1">
      <c r="A11" s="26"/>
      <c r="B11" s="18" t="s">
        <v>29</v>
      </c>
      <c r="C11" s="26">
        <f>SUM('By Area'!C25)</f>
        <v>228</v>
      </c>
      <c r="D11" s="26">
        <f>SUM('By Area'!D25)</f>
        <v>223</v>
      </c>
      <c r="E11" s="2">
        <f>SUM('By Area'!E25)</f>
        <v>222</v>
      </c>
      <c r="F11" s="2">
        <f>SUM('By Area'!F25)</f>
        <v>224</v>
      </c>
      <c r="G11" s="2">
        <f>SUM('By Area'!G25)</f>
        <v>224</v>
      </c>
      <c r="H11" s="2">
        <f>SUM('By Area'!H25)</f>
        <v>224</v>
      </c>
      <c r="I11" s="23">
        <f>SUM('By Area'!I25)</f>
        <v>225</v>
      </c>
      <c r="J11" s="23">
        <f>SUM('By Area'!J25)</f>
        <v>227</v>
      </c>
      <c r="K11" s="23">
        <f>SUM('By Area'!K25)</f>
        <v>227</v>
      </c>
      <c r="L11" s="23">
        <f>SUM('By Area'!L25)</f>
        <v>227</v>
      </c>
      <c r="M11" s="25">
        <f>SUM('By Area'!M25)</f>
        <v>227</v>
      </c>
      <c r="N11" s="180">
        <f t="shared" si="0"/>
        <v>222</v>
      </c>
      <c r="O11" s="2">
        <f t="shared" si="1"/>
        <v>6</v>
      </c>
      <c r="P11" s="24">
        <f t="shared" si="2"/>
        <v>2.6315789473684209E-2</v>
      </c>
      <c r="Q11" s="2"/>
    </row>
    <row r="12" spans="1:17" ht="11.25" customHeight="1">
      <c r="A12" s="26"/>
      <c r="B12" s="18" t="s">
        <v>44</v>
      </c>
      <c r="C12" s="19">
        <f>'By Area'!C26</f>
        <v>398</v>
      </c>
      <c r="D12" s="19">
        <f>'By Area'!D26</f>
        <v>397</v>
      </c>
      <c r="E12" s="23">
        <f>'By Area'!E26</f>
        <v>397</v>
      </c>
      <c r="F12" s="23">
        <f>'By Area'!F26</f>
        <v>396</v>
      </c>
      <c r="G12" s="23">
        <f>'By Area'!G26</f>
        <v>396</v>
      </c>
      <c r="H12" s="23">
        <f>'By Area'!H26</f>
        <v>396</v>
      </c>
      <c r="I12" s="23">
        <f>'By Area'!I26</f>
        <v>395</v>
      </c>
      <c r="J12" s="23">
        <f>'By Area'!J26</f>
        <v>395</v>
      </c>
      <c r="K12" s="23">
        <f>'By Area'!K26</f>
        <v>396</v>
      </c>
      <c r="L12" s="23">
        <f>'By Area'!L26</f>
        <v>396</v>
      </c>
      <c r="M12" s="25">
        <f>'By Area'!M26</f>
        <v>396</v>
      </c>
      <c r="N12" s="163">
        <f t="shared" si="0"/>
        <v>395</v>
      </c>
      <c r="O12" s="23">
        <f t="shared" si="1"/>
        <v>3</v>
      </c>
      <c r="P12" s="24">
        <f t="shared" si="2"/>
        <v>7.537688442211055E-3</v>
      </c>
      <c r="Q12" s="2"/>
    </row>
    <row r="13" spans="1:17" ht="11.25" customHeight="1">
      <c r="A13" s="26"/>
      <c r="B13" s="18" t="s">
        <v>31</v>
      </c>
      <c r="C13" s="19">
        <f>SUM('By Area'!C10+'By Area'!C27+'By Area'!C40)</f>
        <v>1833</v>
      </c>
      <c r="D13" s="19">
        <f>SUM('By Area'!D10+'By Area'!D27+'By Area'!D40)</f>
        <v>1213</v>
      </c>
      <c r="E13" s="23">
        <f>SUM('By Area'!E10+'By Area'!E27+'By Area'!E40)</f>
        <v>1068</v>
      </c>
      <c r="F13" s="23">
        <f>SUM('By Area'!F10+'By Area'!F27+'By Area'!F40)</f>
        <v>961</v>
      </c>
      <c r="G13" s="23">
        <f>SUM('By Area'!G10+'By Area'!G27+'By Area'!G40)</f>
        <v>913</v>
      </c>
      <c r="H13" s="23">
        <f>SUM('By Area'!H10+'By Area'!H27+'By Area'!H40)</f>
        <v>957</v>
      </c>
      <c r="I13" s="23">
        <f>SUM('By Area'!I10+'By Area'!I27+'By Area'!I40)</f>
        <v>896</v>
      </c>
      <c r="J13" s="23">
        <f>SUM('By Area'!J10+'By Area'!J27+'By Area'!J40)</f>
        <v>916</v>
      </c>
      <c r="K13" s="23">
        <f>SUM('By Area'!K10+'By Area'!K27+'By Area'!K40)</f>
        <v>1024</v>
      </c>
      <c r="L13" s="23">
        <f>SUM('By Area'!L10+'By Area'!L27+'By Area'!L40)</f>
        <v>1119</v>
      </c>
      <c r="M13" s="25">
        <f>SUM('By Area'!M10+'By Area'!M27+'By Area'!M40)</f>
        <v>1162</v>
      </c>
      <c r="N13" s="163">
        <f t="shared" si="0"/>
        <v>896</v>
      </c>
      <c r="O13" s="23">
        <f t="shared" si="1"/>
        <v>937</v>
      </c>
      <c r="P13" s="24">
        <f t="shared" si="2"/>
        <v>0.51118385160938351</v>
      </c>
      <c r="Q13" s="2"/>
    </row>
    <row r="14" spans="1:17" ht="11.25" customHeight="1">
      <c r="A14" s="26"/>
      <c r="B14" s="18" t="s">
        <v>32</v>
      </c>
      <c r="C14" s="19">
        <f>SUM('By Area'!C11+'By Area'!C28+'By Area'!C41)</f>
        <v>494</v>
      </c>
      <c r="D14" s="19">
        <f>SUM('By Area'!D11+'By Area'!D28+'By Area'!D41)</f>
        <v>396</v>
      </c>
      <c r="E14" s="23">
        <f>SUM('By Area'!E11+'By Area'!E28+'By Area'!E41)</f>
        <v>390</v>
      </c>
      <c r="F14" s="23">
        <f>SUM('By Area'!F11+'By Area'!F28+'By Area'!F41)</f>
        <v>379</v>
      </c>
      <c r="G14" s="23">
        <f>SUM('By Area'!G11+'By Area'!G28+'By Area'!G41)</f>
        <v>378</v>
      </c>
      <c r="H14" s="23">
        <f>SUM('By Area'!H11+'By Area'!H28+'By Area'!H41)</f>
        <v>368</v>
      </c>
      <c r="I14" s="23">
        <f>SUM('By Area'!I11+'By Area'!I28+'By Area'!I41)</f>
        <v>359</v>
      </c>
      <c r="J14" s="23">
        <f>SUM('By Area'!J11+'By Area'!J28+'By Area'!J41)</f>
        <v>359</v>
      </c>
      <c r="K14" s="23">
        <f>SUM('By Area'!K11+'By Area'!K28+'By Area'!K41)</f>
        <v>365</v>
      </c>
      <c r="L14" s="23">
        <f>SUM('By Area'!L11+'By Area'!L28+'By Area'!L41)</f>
        <v>376</v>
      </c>
      <c r="M14" s="25">
        <f>SUM('By Area'!M11+'By Area'!M28+'By Area'!M41)</f>
        <v>390</v>
      </c>
      <c r="N14" s="163">
        <f t="shared" si="0"/>
        <v>359</v>
      </c>
      <c r="O14" s="23">
        <f t="shared" si="1"/>
        <v>135</v>
      </c>
      <c r="P14" s="24">
        <f t="shared" si="2"/>
        <v>0.27327935222672067</v>
      </c>
      <c r="Q14" s="2"/>
    </row>
    <row r="15" spans="1:17" ht="11.25" customHeight="1">
      <c r="A15" s="26"/>
      <c r="B15" s="18" t="s">
        <v>33</v>
      </c>
      <c r="C15" s="19">
        <f>SUM('By Area'!C12+'By Area'!C29+'By Area'!C42)</f>
        <v>1542</v>
      </c>
      <c r="D15" s="19">
        <f>SUM('By Area'!D12+'By Area'!D29+'By Area'!D42)</f>
        <v>945</v>
      </c>
      <c r="E15" s="23">
        <f>SUM('By Area'!E12+'By Area'!E29+'By Area'!E42)</f>
        <v>911</v>
      </c>
      <c r="F15" s="23">
        <f>SUM('By Area'!F12+'By Area'!F29+'By Area'!F42)</f>
        <v>874</v>
      </c>
      <c r="G15" s="23">
        <f>SUM('By Area'!G12+'By Area'!G29+'By Area'!G42)</f>
        <v>856</v>
      </c>
      <c r="H15" s="23">
        <f>SUM('By Area'!H12+'By Area'!H29+'By Area'!H42)</f>
        <v>837</v>
      </c>
      <c r="I15" s="23">
        <f>SUM('By Area'!I12+'By Area'!I29+'By Area'!I42)</f>
        <v>834</v>
      </c>
      <c r="J15" s="23">
        <f>SUM('By Area'!J12+'By Area'!J29+'By Area'!J42)</f>
        <v>816</v>
      </c>
      <c r="K15" s="23">
        <f>SUM('By Area'!K12+'By Area'!K29+'By Area'!K42)</f>
        <v>858</v>
      </c>
      <c r="L15" s="23">
        <f>SUM('By Area'!L12+'By Area'!L29+'By Area'!L42)</f>
        <v>882</v>
      </c>
      <c r="M15" s="25">
        <f>SUM('By Area'!M12+'By Area'!M29+'By Area'!M42)</f>
        <v>914</v>
      </c>
      <c r="N15" s="163">
        <f t="shared" si="0"/>
        <v>816</v>
      </c>
      <c r="O15" s="23">
        <f t="shared" si="1"/>
        <v>726</v>
      </c>
      <c r="P15" s="24">
        <f t="shared" si="2"/>
        <v>0.47081712062256809</v>
      </c>
      <c r="Q15" s="2"/>
    </row>
    <row r="16" spans="1:17" ht="11.25" customHeight="1">
      <c r="A16" s="26"/>
      <c r="B16" s="18" t="s">
        <v>34</v>
      </c>
      <c r="C16" s="19">
        <f>SUM('By Area'!C13+'By Area'!C30+'By Area'!C43)</f>
        <v>681</v>
      </c>
      <c r="D16" s="19">
        <f>SUM('By Area'!D13+'By Area'!D30+'By Area'!D43)</f>
        <v>484</v>
      </c>
      <c r="E16" s="23">
        <f>SUM('By Area'!E13+'By Area'!E30+'By Area'!E43)</f>
        <v>453</v>
      </c>
      <c r="F16" s="23">
        <f>SUM('By Area'!F13+'By Area'!F30+'By Area'!F43)</f>
        <v>416</v>
      </c>
      <c r="G16" s="23">
        <f>SUM('By Area'!G13+'By Area'!G30+'By Area'!G43)</f>
        <v>406</v>
      </c>
      <c r="H16" s="23">
        <f>SUM('By Area'!H13+'By Area'!H30+'By Area'!H43)</f>
        <v>425</v>
      </c>
      <c r="I16" s="23">
        <f>SUM('By Area'!I13+'By Area'!I30+'By Area'!I43)</f>
        <v>419</v>
      </c>
      <c r="J16" s="23">
        <f>SUM('By Area'!J13+'By Area'!J30+'By Area'!J43)</f>
        <v>421</v>
      </c>
      <c r="K16" s="23">
        <f>SUM('By Area'!K13+'By Area'!K30+'By Area'!K43)</f>
        <v>440</v>
      </c>
      <c r="L16" s="23">
        <f>SUM('By Area'!L13+'By Area'!L30+'By Area'!L43)</f>
        <v>455</v>
      </c>
      <c r="M16" s="25">
        <f>SUM('By Area'!M13+'By Area'!M30+'By Area'!M43)</f>
        <v>484</v>
      </c>
      <c r="N16" s="163">
        <f t="shared" si="0"/>
        <v>406</v>
      </c>
      <c r="O16" s="23">
        <f t="shared" si="1"/>
        <v>275</v>
      </c>
      <c r="P16" s="24">
        <f t="shared" si="2"/>
        <v>0.40381791483113066</v>
      </c>
      <c r="Q16" s="2"/>
    </row>
    <row r="17" spans="1:17" ht="11.25" customHeight="1">
      <c r="A17" s="26"/>
      <c r="B17" s="18" t="s">
        <v>35</v>
      </c>
      <c r="C17" s="26">
        <f>SUM('By Area'!C14+'By Area'!C31+'By Area'!C44)</f>
        <v>259</v>
      </c>
      <c r="D17" s="19">
        <f>SUM('By Area'!D14+'By Area'!D31+'By Area'!D44)</f>
        <v>125</v>
      </c>
      <c r="E17" s="23">
        <f>SUM('By Area'!E14+'By Area'!E31+'By Area'!E44)</f>
        <v>126</v>
      </c>
      <c r="F17" s="23">
        <f>SUM('By Area'!F14+'By Area'!F31+'By Area'!F44)</f>
        <v>129</v>
      </c>
      <c r="G17" s="23">
        <f>SUM('By Area'!G14+'By Area'!G31+'By Area'!G44)</f>
        <v>116</v>
      </c>
      <c r="H17" s="23">
        <f>SUM('By Area'!H14+'By Area'!H31+'By Area'!H44)</f>
        <v>111</v>
      </c>
      <c r="I17" s="23">
        <f>SUM('By Area'!I14+'By Area'!I31+'By Area'!I44)</f>
        <v>121</v>
      </c>
      <c r="J17" s="23">
        <f>SUM('By Area'!J14+'By Area'!J31+'By Area'!J44)</f>
        <v>121</v>
      </c>
      <c r="K17" s="23">
        <f>SUM('By Area'!K14+'By Area'!K31+'By Area'!K44)</f>
        <v>130</v>
      </c>
      <c r="L17" s="23">
        <f>SUM('By Area'!L14+'By Area'!L31+'By Area'!L44)</f>
        <v>112</v>
      </c>
      <c r="M17" s="25">
        <f>SUM('By Area'!M14+'By Area'!M31+'By Area'!M44)</f>
        <v>112</v>
      </c>
      <c r="N17" s="163">
        <f t="shared" si="0"/>
        <v>111</v>
      </c>
      <c r="O17" s="23">
        <f t="shared" si="1"/>
        <v>148</v>
      </c>
      <c r="P17" s="24">
        <f t="shared" si="2"/>
        <v>0.5714285714285714</v>
      </c>
      <c r="Q17" s="2"/>
    </row>
    <row r="18" spans="1:17" ht="11.25" customHeight="1">
      <c r="A18" s="26"/>
      <c r="B18" s="18" t="s">
        <v>36</v>
      </c>
      <c r="C18" s="19">
        <f>SUM('By Area'!C15+'By Area'!C32+'By Area'!C45)</f>
        <v>103</v>
      </c>
      <c r="D18" s="19">
        <f>SUM('By Area'!D15+'By Area'!D32+'By Area'!D45)</f>
        <v>57</v>
      </c>
      <c r="E18" s="23">
        <f>SUM('By Area'!E15+'By Area'!E32+'By Area'!E45)</f>
        <v>49</v>
      </c>
      <c r="F18" s="23">
        <f>SUM('By Area'!F15+'By Area'!F32+'By Area'!F45)</f>
        <v>55</v>
      </c>
      <c r="G18" s="23">
        <f>SUM('By Area'!G15+'By Area'!G32+'By Area'!G45)</f>
        <v>53</v>
      </c>
      <c r="H18" s="23">
        <f>SUM('By Area'!H15+'By Area'!H32+'By Area'!H45)</f>
        <v>49</v>
      </c>
      <c r="I18" s="23">
        <f>SUM('By Area'!I15+'By Area'!I32+'By Area'!I45)</f>
        <v>50</v>
      </c>
      <c r="J18" s="23">
        <f>SUM('By Area'!J15+'By Area'!J32+'By Area'!J45)</f>
        <v>52</v>
      </c>
      <c r="K18" s="23">
        <f>SUM('By Area'!K15+'By Area'!K32+'By Area'!K45)</f>
        <v>53</v>
      </c>
      <c r="L18" s="23">
        <f>SUM('By Area'!L15+'By Area'!L32+'By Area'!L45)</f>
        <v>57</v>
      </c>
      <c r="M18" s="25">
        <f>SUM('By Area'!M15+'By Area'!M32+'By Area'!M45)</f>
        <v>56</v>
      </c>
      <c r="N18" s="163">
        <f t="shared" si="0"/>
        <v>49</v>
      </c>
      <c r="O18" s="23">
        <f t="shared" si="1"/>
        <v>54</v>
      </c>
      <c r="P18" s="24">
        <f t="shared" si="2"/>
        <v>0.52427184466019416</v>
      </c>
      <c r="Q18" s="2"/>
    </row>
    <row r="19" spans="1:17" ht="11.25" customHeight="1">
      <c r="A19" s="26"/>
      <c r="B19" s="18" t="s">
        <v>37</v>
      </c>
      <c r="C19" s="19">
        <f>SUM('By Area'!C16+'By Area'!C33+'By Area'!C46)</f>
        <v>129</v>
      </c>
      <c r="D19" s="29">
        <f>SUM('By Area'!D16+'By Area'!D33+'By Area'!D46)</f>
        <v>109</v>
      </c>
      <c r="E19" s="30">
        <f>SUM('By Area'!E16+'By Area'!E33+'By Area'!E46)</f>
        <v>105</v>
      </c>
      <c r="F19" s="30">
        <f>SUM('By Area'!F16+'By Area'!F33+'By Area'!F46)</f>
        <v>84</v>
      </c>
      <c r="G19" s="30">
        <f>SUM('By Area'!G16+'By Area'!G33+'By Area'!G46)</f>
        <v>90</v>
      </c>
      <c r="H19" s="30">
        <f>SUM('By Area'!H16+'By Area'!H33+'By Area'!H46)</f>
        <v>93</v>
      </c>
      <c r="I19" s="30">
        <f>SUM('By Area'!I16+'By Area'!I33+'By Area'!I46)</f>
        <v>93</v>
      </c>
      <c r="J19" s="30">
        <f>SUM('By Area'!J16+'By Area'!J33+'By Area'!J46)</f>
        <v>98</v>
      </c>
      <c r="K19" s="30">
        <f>SUM('By Area'!K16+'By Area'!K33+'By Area'!K46)</f>
        <v>101</v>
      </c>
      <c r="L19" s="30">
        <f>SUM('By Area'!L16+'By Area'!L33+'By Area'!L46)</f>
        <v>95</v>
      </c>
      <c r="M19" s="31">
        <f>SUM('By Area'!M16+'By Area'!M33+'By Area'!M46)</f>
        <v>101</v>
      </c>
      <c r="N19" s="163">
        <f t="shared" si="0"/>
        <v>84</v>
      </c>
      <c r="O19" s="23">
        <f t="shared" si="1"/>
        <v>45</v>
      </c>
      <c r="P19" s="24">
        <f t="shared" si="2"/>
        <v>0.34883720930232559</v>
      </c>
      <c r="Q19" s="2"/>
    </row>
    <row r="20" spans="1:17" ht="11.25" customHeight="1">
      <c r="A20" s="42"/>
      <c r="B20" s="33" t="s">
        <v>38</v>
      </c>
      <c r="C20" s="43">
        <f t="shared" ref="C20:M20" si="3">SUM(C7:C19)</f>
        <v>16327</v>
      </c>
      <c r="D20" s="44">
        <f t="shared" si="3"/>
        <v>11794</v>
      </c>
      <c r="E20" s="45">
        <f t="shared" si="3"/>
        <v>10832</v>
      </c>
      <c r="F20" s="45">
        <f t="shared" si="3"/>
        <v>10052</v>
      </c>
      <c r="G20" s="45">
        <f t="shared" si="3"/>
        <v>9841</v>
      </c>
      <c r="H20" s="45">
        <f t="shared" si="3"/>
        <v>10051</v>
      </c>
      <c r="I20" s="45">
        <f t="shared" si="3"/>
        <v>9974</v>
      </c>
      <c r="J20" s="45">
        <f t="shared" si="3"/>
        <v>10075</v>
      </c>
      <c r="K20" s="45">
        <f t="shared" si="3"/>
        <v>10680</v>
      </c>
      <c r="L20" s="45">
        <f t="shared" si="3"/>
        <v>11199</v>
      </c>
      <c r="M20" s="46">
        <f t="shared" si="3"/>
        <v>11938</v>
      </c>
      <c r="N20" s="38">
        <f t="shared" si="0"/>
        <v>9841</v>
      </c>
      <c r="O20" s="39">
        <f t="shared" si="1"/>
        <v>6486</v>
      </c>
      <c r="P20" s="40">
        <f t="shared" si="2"/>
        <v>0.39725607888773196</v>
      </c>
      <c r="Q20" s="2"/>
    </row>
    <row r="21" spans="1:17" ht="11.25" customHeight="1">
      <c r="A21" s="20" t="s">
        <v>45</v>
      </c>
      <c r="B21" s="20" t="s">
        <v>23</v>
      </c>
      <c r="C21" s="47">
        <f>SUM('By Area'!C48)</f>
        <v>263</v>
      </c>
      <c r="D21" s="48">
        <f>SUM('By Area'!D48)</f>
        <v>177</v>
      </c>
      <c r="E21" s="48">
        <f>SUM('By Area'!E48)</f>
        <v>59</v>
      </c>
      <c r="F21" s="48">
        <f>SUM('By Area'!F48)</f>
        <v>43</v>
      </c>
      <c r="G21" s="48">
        <f>SUM('By Area'!G48)</f>
        <v>41</v>
      </c>
      <c r="H21" s="48">
        <f>SUM('By Area'!H48)</f>
        <v>43</v>
      </c>
      <c r="I21" s="48">
        <f>SUM('By Area'!I48)</f>
        <v>59</v>
      </c>
      <c r="J21" s="48">
        <f>SUM('By Area'!J48)</f>
        <v>63</v>
      </c>
      <c r="K21" s="48">
        <f>SUM('By Area'!K48)</f>
        <v>57</v>
      </c>
      <c r="L21" s="48">
        <f>SUM('By Area'!L48)</f>
        <v>88</v>
      </c>
      <c r="M21" s="48">
        <f>SUM('By Area'!M48)</f>
        <v>111</v>
      </c>
      <c r="N21" s="49">
        <f t="shared" si="0"/>
        <v>41</v>
      </c>
      <c r="O21" s="48">
        <f t="shared" si="1"/>
        <v>222</v>
      </c>
      <c r="P21" s="50">
        <f t="shared" si="2"/>
        <v>0.844106463878327</v>
      </c>
      <c r="Q21" s="2"/>
    </row>
    <row r="22" spans="1:17" ht="11.25" customHeight="1">
      <c r="A22" s="19" t="s">
        <v>46</v>
      </c>
      <c r="B22" s="19" t="s">
        <v>25</v>
      </c>
      <c r="C22" s="51">
        <f>SUM('By Area'!C49)</f>
        <v>1227</v>
      </c>
      <c r="D22" s="52">
        <f>SUM('By Area'!D49)</f>
        <v>616</v>
      </c>
      <c r="E22" s="52">
        <f>SUM('By Area'!E49)</f>
        <v>524</v>
      </c>
      <c r="F22" s="52">
        <f>SUM('By Area'!F49)</f>
        <v>479</v>
      </c>
      <c r="G22" s="52">
        <f>SUM('By Area'!G49)</f>
        <v>473</v>
      </c>
      <c r="H22" s="52">
        <f>SUM('By Area'!H49)</f>
        <v>479</v>
      </c>
      <c r="I22" s="52">
        <f>SUM('By Area'!I49)</f>
        <v>455</v>
      </c>
      <c r="J22" s="52">
        <f>SUM('By Area'!J49)</f>
        <v>446</v>
      </c>
      <c r="K22" s="52">
        <f>SUM('By Area'!K49)</f>
        <v>505</v>
      </c>
      <c r="L22" s="52">
        <f>SUM('By Area'!L49)</f>
        <v>626</v>
      </c>
      <c r="M22" s="52">
        <f>SUM('By Area'!M49)</f>
        <v>731</v>
      </c>
      <c r="N22" s="53">
        <f t="shared" si="0"/>
        <v>446</v>
      </c>
      <c r="O22" s="52">
        <f t="shared" si="1"/>
        <v>781</v>
      </c>
      <c r="P22" s="54">
        <f t="shared" si="2"/>
        <v>0.63651181744091279</v>
      </c>
      <c r="Q22" s="2"/>
    </row>
    <row r="23" spans="1:17" ht="11.25" customHeight="1">
      <c r="A23" s="19" t="s">
        <v>47</v>
      </c>
      <c r="B23" s="19" t="s">
        <v>27</v>
      </c>
      <c r="C23" s="51"/>
      <c r="D23" s="23"/>
      <c r="E23" s="55"/>
      <c r="F23" s="55"/>
      <c r="G23" s="55"/>
      <c r="H23" s="55"/>
      <c r="I23" s="55"/>
      <c r="J23" s="55"/>
      <c r="K23" s="55"/>
      <c r="L23" s="55"/>
      <c r="M23" s="55"/>
      <c r="N23" s="19"/>
      <c r="O23" s="55"/>
      <c r="P23" s="56"/>
      <c r="Q23" s="2"/>
    </row>
    <row r="24" spans="1:17" ht="11.25" customHeight="1">
      <c r="A24" s="57"/>
      <c r="B24" s="19" t="s">
        <v>31</v>
      </c>
      <c r="C24" s="51">
        <f>SUM('By Area'!C51)</f>
        <v>365</v>
      </c>
      <c r="D24" s="52">
        <f>SUM('By Area'!D51)</f>
        <v>206</v>
      </c>
      <c r="E24" s="52">
        <f>SUM('By Area'!E51)</f>
        <v>174</v>
      </c>
      <c r="F24" s="52">
        <f>SUM('By Area'!F51)</f>
        <v>164</v>
      </c>
      <c r="G24" s="52">
        <f>SUM('By Area'!G51)</f>
        <v>159</v>
      </c>
      <c r="H24" s="52">
        <f>SUM('By Area'!H51)</f>
        <v>163</v>
      </c>
      <c r="I24" s="52">
        <f>SUM('By Area'!I51)</f>
        <v>170</v>
      </c>
      <c r="J24" s="52">
        <f>SUM('By Area'!J51)</f>
        <v>173</v>
      </c>
      <c r="K24" s="52">
        <f>SUM('By Area'!K51)</f>
        <v>180</v>
      </c>
      <c r="L24" s="52">
        <f>SUM('By Area'!L51)</f>
        <v>195</v>
      </c>
      <c r="M24" s="52">
        <f>SUM('By Area'!M51)</f>
        <v>205</v>
      </c>
      <c r="N24" s="53">
        <f t="shared" ref="N24:N31" si="4">MIN(D24:M24)</f>
        <v>159</v>
      </c>
      <c r="O24" s="52">
        <f t="shared" ref="O24:O31" si="5">C24-N24</f>
        <v>206</v>
      </c>
      <c r="P24" s="54">
        <f t="shared" ref="P24:P31" si="6">O24/C24</f>
        <v>0.56438356164383563</v>
      </c>
      <c r="Q24" s="2"/>
    </row>
    <row r="25" spans="1:17" ht="11.25" customHeight="1">
      <c r="A25" s="57"/>
      <c r="B25" s="19" t="s">
        <v>32</v>
      </c>
      <c r="C25" s="51">
        <f>SUM('By Area'!C52)</f>
        <v>98</v>
      </c>
      <c r="D25" s="52">
        <f>SUM('By Area'!D52)</f>
        <v>82</v>
      </c>
      <c r="E25" s="52">
        <f>SUM('By Area'!E52)</f>
        <v>73</v>
      </c>
      <c r="F25" s="52">
        <f>SUM('By Area'!F52)</f>
        <v>72</v>
      </c>
      <c r="G25" s="52">
        <f>SUM('By Area'!G52)</f>
        <v>69</v>
      </c>
      <c r="H25" s="52">
        <f>SUM('By Area'!H52)</f>
        <v>67</v>
      </c>
      <c r="I25" s="52">
        <f>SUM('By Area'!I52)</f>
        <v>69</v>
      </c>
      <c r="J25" s="52">
        <f>SUM('By Area'!J52)</f>
        <v>63</v>
      </c>
      <c r="K25" s="52">
        <f>SUM('By Area'!K52)</f>
        <v>62</v>
      </c>
      <c r="L25" s="52">
        <f>SUM('By Area'!L52)</f>
        <v>64</v>
      </c>
      <c r="M25" s="52">
        <f>SUM('By Area'!M52)</f>
        <v>65</v>
      </c>
      <c r="N25" s="53">
        <f t="shared" si="4"/>
        <v>62</v>
      </c>
      <c r="O25" s="52">
        <f t="shared" si="5"/>
        <v>36</v>
      </c>
      <c r="P25" s="54">
        <f t="shared" si="6"/>
        <v>0.36734693877551022</v>
      </c>
      <c r="Q25" s="2"/>
    </row>
    <row r="26" spans="1:17" ht="11.25" customHeight="1">
      <c r="A26" s="57"/>
      <c r="B26" s="19" t="s">
        <v>33</v>
      </c>
      <c r="C26" s="51">
        <f>SUM('By Area'!C53)</f>
        <v>120</v>
      </c>
      <c r="D26" s="52">
        <f>SUM('By Area'!D53)</f>
        <v>86</v>
      </c>
      <c r="E26" s="52">
        <f>SUM('By Area'!E53)</f>
        <v>75</v>
      </c>
      <c r="F26" s="52">
        <f>SUM('By Area'!F53)</f>
        <v>70</v>
      </c>
      <c r="G26" s="52">
        <f>SUM('By Area'!G53)</f>
        <v>67</v>
      </c>
      <c r="H26" s="52">
        <f>SUM('By Area'!H53)</f>
        <v>71</v>
      </c>
      <c r="I26" s="52">
        <f>SUM('By Area'!I53)</f>
        <v>75</v>
      </c>
      <c r="J26" s="52">
        <f>SUM('By Area'!J53)</f>
        <v>76</v>
      </c>
      <c r="K26" s="52">
        <f>SUM('By Area'!K53)</f>
        <v>78</v>
      </c>
      <c r="L26" s="52">
        <f>SUM('By Area'!L53)</f>
        <v>84</v>
      </c>
      <c r="M26" s="52">
        <f>SUM('By Area'!M53)</f>
        <v>82</v>
      </c>
      <c r="N26" s="53">
        <f t="shared" si="4"/>
        <v>67</v>
      </c>
      <c r="O26" s="52">
        <f t="shared" si="5"/>
        <v>53</v>
      </c>
      <c r="P26" s="54">
        <f t="shared" si="6"/>
        <v>0.44166666666666665</v>
      </c>
      <c r="Q26" s="2"/>
    </row>
    <row r="27" spans="1:17" ht="11.25" customHeight="1">
      <c r="A27" s="19"/>
      <c r="B27" s="19" t="s">
        <v>34</v>
      </c>
      <c r="C27" s="51">
        <f>SUM('By Area'!C54)</f>
        <v>54</v>
      </c>
      <c r="D27" s="52">
        <f>SUM('By Area'!D54)</f>
        <v>14</v>
      </c>
      <c r="E27" s="52">
        <f>SUM('By Area'!E54)</f>
        <v>13</v>
      </c>
      <c r="F27" s="52">
        <f>SUM('By Area'!F54)</f>
        <v>13</v>
      </c>
      <c r="G27" s="52">
        <f>SUM('By Area'!G54)</f>
        <v>13</v>
      </c>
      <c r="H27" s="52">
        <f>SUM('By Area'!H54)</f>
        <v>14</v>
      </c>
      <c r="I27" s="52">
        <f>SUM('By Area'!I54)</f>
        <v>14</v>
      </c>
      <c r="J27" s="52">
        <f>SUM('By Area'!J54)</f>
        <v>13</v>
      </c>
      <c r="K27" s="52">
        <f>SUM('By Area'!K54)</f>
        <v>11</v>
      </c>
      <c r="L27" s="52">
        <f>SUM('By Area'!L54)</f>
        <v>22</v>
      </c>
      <c r="M27" s="52">
        <f>SUM('By Area'!M54)</f>
        <v>24</v>
      </c>
      <c r="N27" s="53">
        <f t="shared" si="4"/>
        <v>11</v>
      </c>
      <c r="O27" s="52">
        <f t="shared" si="5"/>
        <v>43</v>
      </c>
      <c r="P27" s="54">
        <f t="shared" si="6"/>
        <v>0.79629629629629628</v>
      </c>
      <c r="Q27" s="2"/>
    </row>
    <row r="28" spans="1:17" ht="11.25" customHeight="1">
      <c r="A28" s="19"/>
      <c r="B28" s="19" t="s">
        <v>35</v>
      </c>
      <c r="C28" s="51">
        <f>SUM('By Area'!C55)</f>
        <v>15</v>
      </c>
      <c r="D28" s="52">
        <f>SUM('By Area'!D55)</f>
        <v>3</v>
      </c>
      <c r="E28" s="52">
        <f>SUM('By Area'!E55)</f>
        <v>1</v>
      </c>
      <c r="F28" s="52">
        <f>SUM('By Area'!F55)</f>
        <v>3</v>
      </c>
      <c r="G28" s="52">
        <f>SUM('By Area'!G55)</f>
        <v>3</v>
      </c>
      <c r="H28" s="52">
        <f>SUM('By Area'!H55)</f>
        <v>3</v>
      </c>
      <c r="I28" s="52">
        <f>SUM('By Area'!I55)</f>
        <v>4</v>
      </c>
      <c r="J28" s="52">
        <f>SUM('By Area'!J55)</f>
        <v>4</v>
      </c>
      <c r="K28" s="52">
        <f>SUM('By Area'!K55)</f>
        <v>4</v>
      </c>
      <c r="L28" s="52">
        <f>SUM('By Area'!L55)</f>
        <v>5</v>
      </c>
      <c r="M28" s="52">
        <f>SUM('By Area'!M55)</f>
        <v>5</v>
      </c>
      <c r="N28" s="53">
        <f t="shared" si="4"/>
        <v>1</v>
      </c>
      <c r="O28" s="52">
        <f t="shared" si="5"/>
        <v>14</v>
      </c>
      <c r="P28" s="54">
        <f t="shared" si="6"/>
        <v>0.93333333333333335</v>
      </c>
      <c r="Q28" s="2"/>
    </row>
    <row r="29" spans="1:17" ht="11.25" customHeight="1">
      <c r="A29" s="19"/>
      <c r="B29" s="19" t="s">
        <v>36</v>
      </c>
      <c r="C29" s="51">
        <f>SUM('By Area'!C56)</f>
        <v>13</v>
      </c>
      <c r="D29" s="52">
        <f>SUM('By Area'!D56)</f>
        <v>0</v>
      </c>
      <c r="E29" s="52">
        <f>SUM('By Area'!E56)</f>
        <v>3</v>
      </c>
      <c r="F29" s="52">
        <f>SUM('By Area'!F56)</f>
        <v>2</v>
      </c>
      <c r="G29" s="52">
        <f>SUM('By Area'!G56)</f>
        <v>2</v>
      </c>
      <c r="H29" s="52">
        <f>SUM('By Area'!H56)</f>
        <v>2</v>
      </c>
      <c r="I29" s="52">
        <f>SUM('By Area'!I56)</f>
        <v>3</v>
      </c>
      <c r="J29" s="52">
        <f>SUM('By Area'!J56)</f>
        <v>0</v>
      </c>
      <c r="K29" s="52">
        <f>SUM('By Area'!K56)</f>
        <v>1</v>
      </c>
      <c r="L29" s="52">
        <f>SUM('By Area'!L56)</f>
        <v>0</v>
      </c>
      <c r="M29" s="52">
        <f>SUM('By Area'!M56)</f>
        <v>0</v>
      </c>
      <c r="N29" s="53">
        <f t="shared" si="4"/>
        <v>0</v>
      </c>
      <c r="O29" s="52">
        <f t="shared" si="5"/>
        <v>13</v>
      </c>
      <c r="P29" s="54">
        <f t="shared" si="6"/>
        <v>1</v>
      </c>
      <c r="Q29" s="2"/>
    </row>
    <row r="30" spans="1:17" ht="11.25" customHeight="1">
      <c r="A30" s="19"/>
      <c r="B30" s="19" t="s">
        <v>37</v>
      </c>
      <c r="C30" s="58">
        <f>SUM('By Area'!C57)</f>
        <v>13</v>
      </c>
      <c r="D30" s="52">
        <f>SUM('By Area'!D57)</f>
        <v>2</v>
      </c>
      <c r="E30" s="52">
        <f>SUM('By Area'!E57)</f>
        <v>1</v>
      </c>
      <c r="F30" s="52">
        <f>SUM('By Area'!F57)</f>
        <v>0</v>
      </c>
      <c r="G30" s="52">
        <f>SUM('By Area'!G57)</f>
        <v>2</v>
      </c>
      <c r="H30" s="52">
        <f>SUM('By Area'!H57)</f>
        <v>2</v>
      </c>
      <c r="I30" s="52">
        <f>SUM('By Area'!I57)</f>
        <v>1</v>
      </c>
      <c r="J30" s="52">
        <f>SUM('By Area'!J57)</f>
        <v>1</v>
      </c>
      <c r="K30" s="52">
        <f>SUM('By Area'!K57)</f>
        <v>0</v>
      </c>
      <c r="L30" s="52">
        <f>SUM('By Area'!L57)</f>
        <v>1</v>
      </c>
      <c r="M30" s="52">
        <f>SUM('By Area'!M57)</f>
        <v>0</v>
      </c>
      <c r="N30" s="53">
        <f t="shared" si="4"/>
        <v>0</v>
      </c>
      <c r="O30" s="52">
        <f t="shared" si="5"/>
        <v>13</v>
      </c>
      <c r="P30" s="54">
        <f t="shared" si="6"/>
        <v>1</v>
      </c>
      <c r="Q30" s="2"/>
    </row>
    <row r="31" spans="1:17" ht="11.25" customHeight="1">
      <c r="A31" s="59"/>
      <c r="B31" s="60" t="s">
        <v>38</v>
      </c>
      <c r="C31" s="61">
        <f t="shared" ref="C31:M31" si="7">SUM(C21:C30)</f>
        <v>2168</v>
      </c>
      <c r="D31" s="62">
        <f t="shared" si="7"/>
        <v>1186</v>
      </c>
      <c r="E31" s="62">
        <f t="shared" si="7"/>
        <v>923</v>
      </c>
      <c r="F31" s="62">
        <f t="shared" si="7"/>
        <v>846</v>
      </c>
      <c r="G31" s="62">
        <f t="shared" si="7"/>
        <v>829</v>
      </c>
      <c r="H31" s="62">
        <f t="shared" si="7"/>
        <v>844</v>
      </c>
      <c r="I31" s="62">
        <f t="shared" si="7"/>
        <v>850</v>
      </c>
      <c r="J31" s="62">
        <f t="shared" si="7"/>
        <v>839</v>
      </c>
      <c r="K31" s="62">
        <f t="shared" si="7"/>
        <v>898</v>
      </c>
      <c r="L31" s="62">
        <f t="shared" si="7"/>
        <v>1085</v>
      </c>
      <c r="M31" s="63">
        <f t="shared" si="7"/>
        <v>1223</v>
      </c>
      <c r="N31" s="64">
        <f t="shared" si="4"/>
        <v>829</v>
      </c>
      <c r="O31" s="62">
        <f t="shared" si="5"/>
        <v>1339</v>
      </c>
      <c r="P31" s="65">
        <f t="shared" si="6"/>
        <v>0.61761992619926198</v>
      </c>
      <c r="Q31" s="2"/>
    </row>
    <row r="32" spans="1:17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showGridLines="0" zoomScaleNormal="100" workbookViewId="0">
      <pane ySplit="6" topLeftCell="A7" activePane="bottomLeft" state="frozen"/>
      <selection pane="bottomLeft" activeCell="A7" sqref="A7"/>
    </sheetView>
  </sheetViews>
  <sheetFormatPr defaultColWidth="14.453125" defaultRowHeight="15" customHeight="1"/>
  <cols>
    <col min="1" max="1" width="11.54296875" customWidth="1"/>
    <col min="2" max="2" width="11.816406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349" t="s">
        <v>39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2"/>
    </row>
    <row r="2" spans="1:17" ht="14.25" customHeight="1">
      <c r="A2" s="349" t="s">
        <v>48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2"/>
    </row>
    <row r="3" spans="1:17" ht="11.25" customHeight="1">
      <c r="A3" s="351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2"/>
    </row>
    <row r="4" spans="1:17" ht="11.25" customHeight="1">
      <c r="A4" s="3" t="s">
        <v>49</v>
      </c>
      <c r="B4" s="3" t="s">
        <v>2</v>
      </c>
      <c r="C4" s="3" t="s">
        <v>2</v>
      </c>
      <c r="D4" s="352" t="s">
        <v>3</v>
      </c>
      <c r="E4" s="353"/>
      <c r="F4" s="353"/>
      <c r="G4" s="353"/>
      <c r="H4" s="353"/>
      <c r="I4" s="353"/>
      <c r="J4" s="353"/>
      <c r="K4" s="353"/>
      <c r="L4" s="353"/>
      <c r="M4" s="354"/>
      <c r="N4" s="352" t="s">
        <v>4</v>
      </c>
      <c r="O4" s="353"/>
      <c r="P4" s="354"/>
      <c r="Q4" s="2"/>
    </row>
    <row r="5" spans="1:17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2"/>
    </row>
    <row r="6" spans="1:17" ht="11.25" customHeight="1">
      <c r="A6" s="11"/>
      <c r="B6" s="11"/>
      <c r="C6" s="11"/>
      <c r="D6" s="15" t="s">
        <v>20</v>
      </c>
      <c r="E6" s="16" t="s">
        <v>20</v>
      </c>
      <c r="F6" s="16" t="s">
        <v>20</v>
      </c>
      <c r="G6" s="16" t="s">
        <v>20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7" t="s">
        <v>21</v>
      </c>
      <c r="N6" s="15" t="s">
        <v>6</v>
      </c>
      <c r="O6" s="16" t="s">
        <v>6</v>
      </c>
      <c r="P6" s="17" t="s">
        <v>18</v>
      </c>
      <c r="Q6" s="2"/>
    </row>
    <row r="7" spans="1:17" ht="11.25" customHeight="1">
      <c r="A7" s="66" t="s">
        <v>50</v>
      </c>
      <c r="B7" s="18" t="s">
        <v>23</v>
      </c>
      <c r="C7" s="18"/>
      <c r="D7" s="26"/>
      <c r="E7" s="2"/>
      <c r="F7" s="2"/>
      <c r="G7" s="2"/>
      <c r="H7" s="2"/>
      <c r="I7" s="2"/>
      <c r="J7" s="2"/>
      <c r="K7" s="2"/>
      <c r="L7" s="2"/>
      <c r="M7" s="27"/>
      <c r="N7" s="26"/>
      <c r="O7" s="2"/>
      <c r="P7" s="24"/>
      <c r="Q7" s="2"/>
    </row>
    <row r="8" spans="1:17" ht="11.25" customHeight="1">
      <c r="A8" s="18" t="s">
        <v>51</v>
      </c>
      <c r="B8" s="18" t="s">
        <v>25</v>
      </c>
      <c r="C8" s="18">
        <f>SUM('By Neighborhood'!C8,'By Neighborhood'!C19,'By Neighborhood'!C30,'By Neighborhood'!C41)</f>
        <v>109</v>
      </c>
      <c r="D8" s="26">
        <f>SUM('By Neighborhood'!D8,'By Neighborhood'!D19,'By Neighborhood'!D30,'By Neighborhood'!D41)</f>
        <v>94</v>
      </c>
      <c r="E8" s="2">
        <f>SUM('By Neighborhood'!E8,'By Neighborhood'!E19,'By Neighborhood'!E30,'By Neighborhood'!E41)</f>
        <v>93</v>
      </c>
      <c r="F8" s="2">
        <f>SUM('By Neighborhood'!F8,'By Neighborhood'!F19,'By Neighborhood'!F30,'By Neighborhood'!F41)</f>
        <v>89</v>
      </c>
      <c r="G8" s="2">
        <f>SUM('By Neighborhood'!G8,'By Neighborhood'!G19,'By Neighborhood'!G30,'By Neighborhood'!G41)</f>
        <v>90</v>
      </c>
      <c r="H8" s="2">
        <f>SUM('By Neighborhood'!H8,'By Neighborhood'!H19,'By Neighborhood'!H30,'By Neighborhood'!H41)</f>
        <v>89</v>
      </c>
      <c r="I8" s="2">
        <f>SUM('By Neighborhood'!I8,'By Neighborhood'!I19,'By Neighborhood'!I30,'By Neighborhood'!I41)</f>
        <v>81</v>
      </c>
      <c r="J8" s="2">
        <f>SUM('By Neighborhood'!J8,'By Neighborhood'!J19,'By Neighborhood'!J30,'By Neighborhood'!J41)</f>
        <v>83</v>
      </c>
      <c r="K8" s="2">
        <f>SUM('By Neighborhood'!K8,'By Neighborhood'!K19,'By Neighborhood'!K30,'By Neighborhood'!K41)</f>
        <v>83</v>
      </c>
      <c r="L8" s="2">
        <f>SUM('By Neighborhood'!L8,'By Neighborhood'!L19,'By Neighborhood'!L30,'By Neighborhood'!L41)</f>
        <v>85</v>
      </c>
      <c r="M8" s="27">
        <f>SUM('By Neighborhood'!M8,'By Neighborhood'!M19,'By Neighborhood'!M30,'By Neighborhood'!M41)</f>
        <v>86</v>
      </c>
      <c r="N8" s="26">
        <f t="shared" ref="N8:N38" si="0">MIN(D8:M8)</f>
        <v>81</v>
      </c>
      <c r="O8" s="2">
        <f t="shared" ref="O8:O38" si="1">C8-N8</f>
        <v>28</v>
      </c>
      <c r="P8" s="24">
        <f t="shared" ref="P8:P38" si="2">O8/C8</f>
        <v>0.25688073394495414</v>
      </c>
      <c r="Q8" s="2"/>
    </row>
    <row r="9" spans="1:17" ht="11.25" customHeight="1">
      <c r="A9" s="18" t="s">
        <v>24</v>
      </c>
      <c r="B9" s="18" t="s">
        <v>27</v>
      </c>
      <c r="C9" s="18">
        <f>SUM('By Neighborhood'!C9,'By Neighborhood'!C20,'By Neighborhood'!C31,'By Neighborhood'!C42)</f>
        <v>66</v>
      </c>
      <c r="D9" s="26">
        <f>SUM('By Neighborhood'!D9,'By Neighborhood'!D20,'By Neighborhood'!D31,'By Neighborhood'!D42)</f>
        <v>63</v>
      </c>
      <c r="E9" s="2">
        <f>SUM('By Neighborhood'!E9,'By Neighborhood'!E20,'By Neighborhood'!E31,'By Neighborhood'!E42)</f>
        <v>63</v>
      </c>
      <c r="F9" s="2">
        <f>SUM('By Neighborhood'!F9,'By Neighborhood'!F20,'By Neighborhood'!F31,'By Neighborhood'!F42)</f>
        <v>61</v>
      </c>
      <c r="G9" s="2">
        <f>SUM('By Neighborhood'!G9,'By Neighborhood'!G20,'By Neighborhood'!G31,'By Neighborhood'!G42)</f>
        <v>60</v>
      </c>
      <c r="H9" s="2">
        <f>SUM('By Neighborhood'!H9,'By Neighborhood'!H20,'By Neighborhood'!H31,'By Neighborhood'!H42)</f>
        <v>59</v>
      </c>
      <c r="I9" s="2">
        <f>SUM('By Neighborhood'!I9,'By Neighborhood'!I20,'By Neighborhood'!I31,'By Neighborhood'!I42)</f>
        <v>62</v>
      </c>
      <c r="J9" s="2">
        <f>SUM('By Neighborhood'!J9,'By Neighborhood'!J20,'By Neighborhood'!J31,'By Neighborhood'!J42)</f>
        <v>61</v>
      </c>
      <c r="K9" s="2">
        <f>SUM('By Neighborhood'!K9,'By Neighborhood'!K20,'By Neighborhood'!K31,'By Neighborhood'!K42)</f>
        <v>58</v>
      </c>
      <c r="L9" s="2">
        <f>SUM('By Neighborhood'!L9,'By Neighborhood'!L20,'By Neighborhood'!L31,'By Neighborhood'!L42)</f>
        <v>55</v>
      </c>
      <c r="M9" s="27">
        <f>SUM('By Neighborhood'!M9,'By Neighborhood'!M20,'By Neighborhood'!M31,'By Neighborhood'!M42)</f>
        <v>55</v>
      </c>
      <c r="N9" s="26">
        <f t="shared" si="0"/>
        <v>55</v>
      </c>
      <c r="O9" s="2">
        <f t="shared" si="1"/>
        <v>11</v>
      </c>
      <c r="P9" s="24">
        <f t="shared" si="2"/>
        <v>0.16666666666666666</v>
      </c>
      <c r="Q9" s="2"/>
    </row>
    <row r="10" spans="1:17" ht="11.25" customHeight="1">
      <c r="A10" s="18" t="s">
        <v>52</v>
      </c>
      <c r="B10" s="18" t="s">
        <v>31</v>
      </c>
      <c r="C10" s="18">
        <f>SUM('By Neighborhood'!C10,'By Neighborhood'!C21,'By Neighborhood'!C32,'By Neighborhood'!C43)</f>
        <v>4</v>
      </c>
      <c r="D10" s="26">
        <f>SUM('By Neighborhood'!D10,'By Neighborhood'!D21,'By Neighborhood'!D32,'By Neighborhood'!D43)</f>
        <v>4</v>
      </c>
      <c r="E10" s="2">
        <f>SUM('By Neighborhood'!E10,'By Neighborhood'!E21,'By Neighborhood'!E32,'By Neighborhood'!E43)</f>
        <v>4</v>
      </c>
      <c r="F10" s="2">
        <f>SUM('By Neighborhood'!F10,'By Neighborhood'!F21,'By Neighborhood'!F32,'By Neighborhood'!F43)</f>
        <v>4</v>
      </c>
      <c r="G10" s="2">
        <f>SUM('By Neighborhood'!G10,'By Neighborhood'!G21,'By Neighborhood'!G32,'By Neighborhood'!G43)</f>
        <v>4</v>
      </c>
      <c r="H10" s="2">
        <f>SUM('By Neighborhood'!H10,'By Neighborhood'!H21,'By Neighborhood'!H32,'By Neighborhood'!H43)</f>
        <v>4</v>
      </c>
      <c r="I10" s="2">
        <f>SUM('By Neighborhood'!I10,'By Neighborhood'!I21,'By Neighborhood'!I32,'By Neighborhood'!I43)</f>
        <v>4</v>
      </c>
      <c r="J10" s="2">
        <f>SUM('By Neighborhood'!J10,'By Neighborhood'!J21,'By Neighborhood'!J32,'By Neighborhood'!J43)</f>
        <v>4</v>
      </c>
      <c r="K10" s="2">
        <f>SUM('By Neighborhood'!K10,'By Neighborhood'!K21,'By Neighborhood'!K32,'By Neighborhood'!K43)</f>
        <v>4</v>
      </c>
      <c r="L10" s="2">
        <f>SUM('By Neighborhood'!L10,'By Neighborhood'!L21,'By Neighborhood'!L32,'By Neighborhood'!L43)</f>
        <v>4</v>
      </c>
      <c r="M10" s="27">
        <f>SUM('By Neighborhood'!M10,'By Neighborhood'!M21,'By Neighborhood'!M32,'By Neighborhood'!M43)</f>
        <v>4</v>
      </c>
      <c r="N10" s="26">
        <f t="shared" si="0"/>
        <v>4</v>
      </c>
      <c r="O10" s="2">
        <f t="shared" si="1"/>
        <v>0</v>
      </c>
      <c r="P10" s="24">
        <f t="shared" si="2"/>
        <v>0</v>
      </c>
      <c r="Q10" s="2"/>
    </row>
    <row r="11" spans="1:17" ht="11.25" customHeight="1">
      <c r="A11" s="18"/>
      <c r="B11" s="18" t="s">
        <v>32</v>
      </c>
      <c r="C11" s="18">
        <f>SUM('By Neighborhood'!C11,'By Neighborhood'!C22,'By Neighborhood'!C33,'By Neighborhood'!C44)</f>
        <v>1</v>
      </c>
      <c r="D11" s="26">
        <f>SUM('By Neighborhood'!D11,'By Neighborhood'!D22,'By Neighborhood'!D33,'By Neighborhood'!D44)</f>
        <v>1</v>
      </c>
      <c r="E11" s="2">
        <f>SUM('By Neighborhood'!E11,'By Neighborhood'!E22,'By Neighborhood'!E33,'By Neighborhood'!E44)</f>
        <v>1</v>
      </c>
      <c r="F11" s="2">
        <f>SUM('By Neighborhood'!F11,'By Neighborhood'!F22,'By Neighborhood'!F33,'By Neighborhood'!F44)</f>
        <v>1</v>
      </c>
      <c r="G11" s="2">
        <f>SUM('By Neighborhood'!G11,'By Neighborhood'!G22,'By Neighborhood'!G33,'By Neighborhood'!G44)</f>
        <v>1</v>
      </c>
      <c r="H11" s="2">
        <f>SUM('By Neighborhood'!H11,'By Neighborhood'!H22,'By Neighborhood'!H33,'By Neighborhood'!H44)</f>
        <v>1</v>
      </c>
      <c r="I11" s="2">
        <f>SUM('By Neighborhood'!I11,'By Neighborhood'!I22,'By Neighborhood'!I33,'By Neighborhood'!I44)</f>
        <v>1</v>
      </c>
      <c r="J11" s="2">
        <f>SUM('By Neighborhood'!J11,'By Neighborhood'!J22,'By Neighborhood'!J33,'By Neighborhood'!J44)</f>
        <v>0</v>
      </c>
      <c r="K11" s="2">
        <f>SUM('By Neighborhood'!K11,'By Neighborhood'!K22,'By Neighborhood'!K33,'By Neighborhood'!K44)</f>
        <v>0</v>
      </c>
      <c r="L11" s="2">
        <f>SUM('By Neighborhood'!L11,'By Neighborhood'!L22,'By Neighborhood'!L33,'By Neighborhood'!L44)</f>
        <v>0</v>
      </c>
      <c r="M11" s="27">
        <f>SUM('By Neighborhood'!M11,'By Neighborhood'!M22,'By Neighborhood'!M33,'By Neighborhood'!M44)</f>
        <v>1</v>
      </c>
      <c r="N11" s="26">
        <f t="shared" si="0"/>
        <v>0</v>
      </c>
      <c r="O11" s="2">
        <f t="shared" si="1"/>
        <v>1</v>
      </c>
      <c r="P11" s="24">
        <f t="shared" si="2"/>
        <v>1</v>
      </c>
      <c r="Q11" s="2"/>
    </row>
    <row r="12" spans="1:17" ht="11.25" customHeight="1">
      <c r="A12" s="18"/>
      <c r="B12" s="18" t="s">
        <v>33</v>
      </c>
      <c r="C12" s="18">
        <f>SUM('By Neighborhood'!C12,'By Neighborhood'!C23,'By Neighborhood'!C34,'By Neighborhood'!C45)</f>
        <v>545</v>
      </c>
      <c r="D12" s="26">
        <f>SUM('By Neighborhood'!D12,'By Neighborhood'!D23,'By Neighborhood'!D34,'By Neighborhood'!D45)</f>
        <v>244</v>
      </c>
      <c r="E12" s="2">
        <f>SUM('By Neighborhood'!E12,'By Neighborhood'!E23,'By Neighborhood'!E34,'By Neighborhood'!E45)</f>
        <v>238</v>
      </c>
      <c r="F12" s="2">
        <f>SUM('By Neighborhood'!F12,'By Neighborhood'!F23,'By Neighborhood'!F34,'By Neighborhood'!F45)</f>
        <v>226</v>
      </c>
      <c r="G12" s="2">
        <f>SUM('By Neighborhood'!G12,'By Neighborhood'!G23,'By Neighborhood'!G34,'By Neighborhood'!G45)</f>
        <v>219</v>
      </c>
      <c r="H12" s="2">
        <f>SUM('By Neighborhood'!H12,'By Neighborhood'!H23,'By Neighborhood'!H34,'By Neighborhood'!H45)</f>
        <v>210</v>
      </c>
      <c r="I12" s="2">
        <f>SUM('By Neighborhood'!I12,'By Neighborhood'!I23,'By Neighborhood'!I34,'By Neighborhood'!I45)</f>
        <v>216</v>
      </c>
      <c r="J12" s="2">
        <f>SUM('By Neighborhood'!J12,'By Neighborhood'!J23,'By Neighborhood'!J34,'By Neighborhood'!J45)</f>
        <v>213</v>
      </c>
      <c r="K12" s="2">
        <f>SUM('By Neighborhood'!K12,'By Neighborhood'!K23,'By Neighborhood'!K34,'By Neighborhood'!K45)</f>
        <v>219</v>
      </c>
      <c r="L12" s="2">
        <f>SUM('By Neighborhood'!L12,'By Neighborhood'!L23,'By Neighborhood'!L34,'By Neighborhood'!L45)</f>
        <v>222</v>
      </c>
      <c r="M12" s="27">
        <f>SUM('By Neighborhood'!M12,'By Neighborhood'!M23,'By Neighborhood'!M34,'By Neighborhood'!M45)</f>
        <v>225</v>
      </c>
      <c r="N12" s="26">
        <f t="shared" si="0"/>
        <v>210</v>
      </c>
      <c r="O12" s="2">
        <f t="shared" si="1"/>
        <v>335</v>
      </c>
      <c r="P12" s="24">
        <f t="shared" si="2"/>
        <v>0.61467889908256879</v>
      </c>
      <c r="Q12" s="2"/>
    </row>
    <row r="13" spans="1:17" ht="11.25" customHeight="1">
      <c r="A13" s="18"/>
      <c r="B13" s="18" t="s">
        <v>34</v>
      </c>
      <c r="C13" s="18">
        <f>SUM('By Neighborhood'!C13,'By Neighborhood'!C24,'By Neighborhood'!C35,'By Neighborhood'!C46)</f>
        <v>28</v>
      </c>
      <c r="D13" s="26">
        <f>SUM('By Neighborhood'!D13,'By Neighborhood'!D24,'By Neighborhood'!D35,'By Neighborhood'!D46)</f>
        <v>17</v>
      </c>
      <c r="E13" s="2">
        <f>SUM('By Neighborhood'!E13,'By Neighborhood'!E24,'By Neighborhood'!E35,'By Neighborhood'!E46)</f>
        <v>16</v>
      </c>
      <c r="F13" s="2">
        <f>SUM('By Neighborhood'!F13,'By Neighborhood'!F24,'By Neighborhood'!F35,'By Neighborhood'!F46)</f>
        <v>16</v>
      </c>
      <c r="G13" s="2">
        <f>SUM('By Neighborhood'!G13,'By Neighborhood'!G24,'By Neighborhood'!G35,'By Neighborhood'!G46)</f>
        <v>15</v>
      </c>
      <c r="H13" s="2">
        <f>SUM('By Neighborhood'!H13,'By Neighborhood'!H24,'By Neighborhood'!H35,'By Neighborhood'!H46)</f>
        <v>15</v>
      </c>
      <c r="I13" s="2">
        <f>SUM('By Neighborhood'!I13,'By Neighborhood'!I24,'By Neighborhood'!I35,'By Neighborhood'!I46)</f>
        <v>14</v>
      </c>
      <c r="J13" s="2">
        <f>SUM('By Neighborhood'!J13,'By Neighborhood'!J24,'By Neighborhood'!J35,'By Neighborhood'!J46)</f>
        <v>16</v>
      </c>
      <c r="K13" s="2">
        <f>SUM('By Neighborhood'!K13,'By Neighborhood'!K24,'By Neighborhood'!K35,'By Neighborhood'!K46)</f>
        <v>19</v>
      </c>
      <c r="L13" s="2">
        <f>SUM('By Neighborhood'!L13,'By Neighborhood'!L24,'By Neighborhood'!L35,'By Neighborhood'!L46)</f>
        <v>19</v>
      </c>
      <c r="M13" s="27">
        <f>SUM('By Neighborhood'!M13,'By Neighborhood'!M24,'By Neighborhood'!M35,'By Neighborhood'!M46)</f>
        <v>16</v>
      </c>
      <c r="N13" s="26">
        <f t="shared" si="0"/>
        <v>14</v>
      </c>
      <c r="O13" s="2">
        <f t="shared" si="1"/>
        <v>14</v>
      </c>
      <c r="P13" s="24">
        <f t="shared" si="2"/>
        <v>0.5</v>
      </c>
      <c r="Q13" s="2"/>
    </row>
    <row r="14" spans="1:17" ht="11.25" customHeight="1">
      <c r="A14" s="18"/>
      <c r="B14" s="18" t="s">
        <v>35</v>
      </c>
      <c r="C14" s="18">
        <f>SUM('By Neighborhood'!C14,'By Neighborhood'!C25,'By Neighborhood'!C36,'By Neighborhood'!C47)</f>
        <v>7</v>
      </c>
      <c r="D14" s="26">
        <f>SUM('By Neighborhood'!D14,'By Neighborhood'!D25,'By Neighborhood'!D36,'By Neighborhood'!D47)</f>
        <v>1</v>
      </c>
      <c r="E14" s="2">
        <f>SUM('By Neighborhood'!E14,'By Neighborhood'!E25,'By Neighborhood'!E36,'By Neighborhood'!E47)</f>
        <v>1</v>
      </c>
      <c r="F14" s="2">
        <f>SUM('By Neighborhood'!F14,'By Neighborhood'!F25,'By Neighborhood'!F36,'By Neighborhood'!F47)</f>
        <v>0</v>
      </c>
      <c r="G14" s="2">
        <f>SUM('By Neighborhood'!G14,'By Neighborhood'!G25,'By Neighborhood'!G36,'By Neighborhood'!G47)</f>
        <v>0</v>
      </c>
      <c r="H14" s="2">
        <f>SUM('By Neighborhood'!H14,'By Neighborhood'!H25,'By Neighborhood'!H36,'By Neighborhood'!H47)</f>
        <v>0</v>
      </c>
      <c r="I14" s="2">
        <f>SUM('By Neighborhood'!I14,'By Neighborhood'!I25,'By Neighborhood'!I36,'By Neighborhood'!I47)</f>
        <v>2</v>
      </c>
      <c r="J14" s="2">
        <f>SUM('By Neighborhood'!J14,'By Neighborhood'!J25,'By Neighborhood'!J36,'By Neighborhood'!J47)</f>
        <v>1</v>
      </c>
      <c r="K14" s="2">
        <f>SUM('By Neighborhood'!K14,'By Neighborhood'!K25,'By Neighborhood'!K36,'By Neighborhood'!K47)</f>
        <v>2</v>
      </c>
      <c r="L14" s="2">
        <f>SUM('By Neighborhood'!L14,'By Neighborhood'!L25,'By Neighborhood'!L36,'By Neighborhood'!L47)</f>
        <v>2</v>
      </c>
      <c r="M14" s="27">
        <f>SUM('By Neighborhood'!M14,'By Neighborhood'!M25,'By Neighborhood'!M36,'By Neighborhood'!M47)</f>
        <v>2</v>
      </c>
      <c r="N14" s="26">
        <f t="shared" si="0"/>
        <v>0</v>
      </c>
      <c r="O14" s="2">
        <f t="shared" si="1"/>
        <v>7</v>
      </c>
      <c r="P14" s="24">
        <f t="shared" si="2"/>
        <v>1</v>
      </c>
      <c r="Q14" s="2"/>
    </row>
    <row r="15" spans="1:17" ht="11.25" customHeight="1">
      <c r="A15" s="18"/>
      <c r="B15" s="18" t="s">
        <v>36</v>
      </c>
      <c r="C15" s="18">
        <f>SUM('By Neighborhood'!C15,'By Neighborhood'!C26,'By Neighborhood'!C37,'By Neighborhood'!C48)</f>
        <v>3</v>
      </c>
      <c r="D15" s="26">
        <f>SUM('By Neighborhood'!D15,'By Neighborhood'!D26,'By Neighborhood'!D37,'By Neighborhood'!D48)</f>
        <v>3</v>
      </c>
      <c r="E15" s="2">
        <f>SUM('By Neighborhood'!E15,'By Neighborhood'!E26,'By Neighborhood'!E37,'By Neighborhood'!E48)</f>
        <v>3</v>
      </c>
      <c r="F15" s="2">
        <f>SUM('By Neighborhood'!F15,'By Neighborhood'!F26,'By Neighborhood'!F37,'By Neighborhood'!F48)</f>
        <v>1</v>
      </c>
      <c r="G15" s="2">
        <f>SUM('By Neighborhood'!G15,'By Neighborhood'!G26,'By Neighborhood'!G37,'By Neighborhood'!G48)</f>
        <v>0</v>
      </c>
      <c r="H15" s="2">
        <f>SUM('By Neighborhood'!H15,'By Neighborhood'!H26,'By Neighborhood'!H37,'By Neighborhood'!H48)</f>
        <v>0</v>
      </c>
      <c r="I15" s="2">
        <f>SUM('By Neighborhood'!I15,'By Neighborhood'!I26,'By Neighborhood'!I37,'By Neighborhood'!I48)</f>
        <v>2</v>
      </c>
      <c r="J15" s="2">
        <f>SUM('By Neighborhood'!J15,'By Neighborhood'!J26,'By Neighborhood'!J37,'By Neighborhood'!J48)</f>
        <v>2</v>
      </c>
      <c r="K15" s="2">
        <f>SUM('By Neighborhood'!K15,'By Neighborhood'!K26,'By Neighborhood'!K37,'By Neighborhood'!K48)</f>
        <v>1</v>
      </c>
      <c r="L15" s="2">
        <f>SUM('By Neighborhood'!L15,'By Neighborhood'!L26,'By Neighborhood'!L37,'By Neighborhood'!L48)</f>
        <v>1</v>
      </c>
      <c r="M15" s="27">
        <f>SUM('By Neighborhood'!M15,'By Neighborhood'!M26,'By Neighborhood'!M37,'By Neighborhood'!M48)</f>
        <v>1</v>
      </c>
      <c r="N15" s="26">
        <f t="shared" si="0"/>
        <v>0</v>
      </c>
      <c r="O15" s="2">
        <f t="shared" si="1"/>
        <v>3</v>
      </c>
      <c r="P15" s="24">
        <f t="shared" si="2"/>
        <v>1</v>
      </c>
      <c r="Q15" s="2"/>
    </row>
    <row r="16" spans="1:17" ht="11.25" customHeight="1">
      <c r="A16" s="18"/>
      <c r="B16" s="18" t="s">
        <v>37</v>
      </c>
      <c r="C16" s="18">
        <f>SUM('By Neighborhood'!C16,'By Neighborhood'!C27,'By Neighborhood'!C38,'By Neighborhood'!C49)</f>
        <v>12</v>
      </c>
      <c r="D16" s="26">
        <f>SUM('By Neighborhood'!D16,'By Neighborhood'!D27,'By Neighborhood'!D38,'By Neighborhood'!D49)</f>
        <v>5</v>
      </c>
      <c r="E16" s="2">
        <f>SUM('By Neighborhood'!E16,'By Neighborhood'!E27,'By Neighborhood'!E38,'By Neighborhood'!E49)</f>
        <v>7</v>
      </c>
      <c r="F16" s="2">
        <f>SUM('By Neighborhood'!F16,'By Neighborhood'!F27,'By Neighborhood'!F38,'By Neighborhood'!F49)</f>
        <v>5</v>
      </c>
      <c r="G16" s="2">
        <f>SUM('By Neighborhood'!G16,'By Neighborhood'!G27,'By Neighborhood'!G38,'By Neighborhood'!G49)</f>
        <v>6</v>
      </c>
      <c r="H16" s="2">
        <f>SUM('By Neighborhood'!H16,'By Neighborhood'!H27,'By Neighborhood'!H38,'By Neighborhood'!H49)</f>
        <v>6</v>
      </c>
      <c r="I16" s="2">
        <f>SUM('By Neighborhood'!I16,'By Neighborhood'!I27,'By Neighborhood'!I38,'By Neighborhood'!I49)</f>
        <v>5</v>
      </c>
      <c r="J16" s="2">
        <f>SUM('By Neighborhood'!J16,'By Neighborhood'!J27,'By Neighborhood'!J38,'By Neighborhood'!J49)</f>
        <v>5</v>
      </c>
      <c r="K16" s="2">
        <f>SUM('By Neighborhood'!K16,'By Neighborhood'!K27,'By Neighborhood'!K38,'By Neighborhood'!K49)</f>
        <v>3</v>
      </c>
      <c r="L16" s="2">
        <f>SUM('By Neighborhood'!L16,'By Neighborhood'!L27,'By Neighborhood'!L38,'By Neighborhood'!L49)</f>
        <v>5</v>
      </c>
      <c r="M16" s="27">
        <f>SUM('By Neighborhood'!M16,'By Neighborhood'!M27,'By Neighborhood'!M38,'By Neighborhood'!M49)</f>
        <v>4</v>
      </c>
      <c r="N16" s="26">
        <f t="shared" si="0"/>
        <v>3</v>
      </c>
      <c r="O16" s="2">
        <f t="shared" si="1"/>
        <v>9</v>
      </c>
      <c r="P16" s="24">
        <f t="shared" si="2"/>
        <v>0.75</v>
      </c>
      <c r="Q16" s="2"/>
    </row>
    <row r="17" spans="1:17" ht="11.25" customHeight="1">
      <c r="A17" s="32"/>
      <c r="B17" s="33" t="s">
        <v>38</v>
      </c>
      <c r="C17" s="33">
        <f t="shared" ref="C17:M17" si="3">SUM(C7:C16)</f>
        <v>775</v>
      </c>
      <c r="D17" s="67">
        <f t="shared" si="3"/>
        <v>432</v>
      </c>
      <c r="E17" s="68">
        <f t="shared" si="3"/>
        <v>426</v>
      </c>
      <c r="F17" s="68">
        <f t="shared" si="3"/>
        <v>403</v>
      </c>
      <c r="G17" s="68">
        <f t="shared" si="3"/>
        <v>395</v>
      </c>
      <c r="H17" s="68">
        <f t="shared" si="3"/>
        <v>384</v>
      </c>
      <c r="I17" s="68">
        <f t="shared" si="3"/>
        <v>387</v>
      </c>
      <c r="J17" s="68">
        <f t="shared" si="3"/>
        <v>385</v>
      </c>
      <c r="K17" s="68">
        <f t="shared" si="3"/>
        <v>389</v>
      </c>
      <c r="L17" s="68">
        <f t="shared" si="3"/>
        <v>393</v>
      </c>
      <c r="M17" s="69">
        <f t="shared" si="3"/>
        <v>394</v>
      </c>
      <c r="N17" s="70">
        <f t="shared" si="0"/>
        <v>384</v>
      </c>
      <c r="O17" s="71">
        <f t="shared" si="1"/>
        <v>391</v>
      </c>
      <c r="P17" s="40">
        <f t="shared" si="2"/>
        <v>0.50451612903225806</v>
      </c>
      <c r="Q17" s="2"/>
    </row>
    <row r="18" spans="1:17" ht="11.25" customHeight="1">
      <c r="A18" s="66" t="s">
        <v>53</v>
      </c>
      <c r="B18" s="18" t="s">
        <v>23</v>
      </c>
      <c r="C18" s="26">
        <f>SUM('By Neighborhood'!C62+'By Neighborhood'!C75+'By Neighborhood'!C88+'By Neighborhood'!C99+'By Neighborhood'!C111+'By Neighborhood'!C134+'By Neighborhood'!C146+'By Neighborhood'!C157+'By Neighborhood'!C169+'By Neighborhood'!C181)</f>
        <v>1728</v>
      </c>
      <c r="D18" s="20">
        <f>SUM('By Neighborhood'!D62+'By Neighborhood'!D75+'By Neighborhood'!D88+'By Neighborhood'!D99+'By Neighborhood'!D111+'By Neighborhood'!D134+'By Neighborhood'!D146+'By Neighborhood'!D157+'By Neighborhood'!D169+'By Neighborhood'!D181)</f>
        <v>1274</v>
      </c>
      <c r="E18" s="21">
        <f>SUM('By Neighborhood'!E62+'By Neighborhood'!E75+'By Neighborhood'!E88+'By Neighborhood'!E99+'By Neighborhood'!E111+'By Neighborhood'!E134+'By Neighborhood'!E146+'By Neighborhood'!E157+'By Neighborhood'!E169+'By Neighborhood'!E181)</f>
        <v>1098</v>
      </c>
      <c r="F18" s="21">
        <f>SUM('By Neighborhood'!F62+'By Neighborhood'!F75+'By Neighborhood'!F88+'By Neighborhood'!F99+'By Neighborhood'!F111+'By Neighborhood'!F134+'By Neighborhood'!F146+'By Neighborhood'!F157+'By Neighborhood'!F169+'By Neighborhood'!F181)</f>
        <v>970</v>
      </c>
      <c r="G18" s="21">
        <f>SUM('By Neighborhood'!G62+'By Neighborhood'!G75+'By Neighborhood'!G88+'By Neighborhood'!G99+'By Neighborhood'!G111+'By Neighborhood'!G134+'By Neighborhood'!G146+'By Neighborhood'!G157+'By Neighborhood'!G169+'By Neighborhood'!G181)</f>
        <v>908</v>
      </c>
      <c r="H18" s="21">
        <f>SUM('By Neighborhood'!H62+'By Neighborhood'!H75+'By Neighborhood'!H88+'By Neighborhood'!H99+'By Neighborhood'!H111+'By Neighborhood'!H134+'By Neighborhood'!H146+'By Neighborhood'!H157+'By Neighborhood'!H169+'By Neighborhood'!H181)</f>
        <v>880</v>
      </c>
      <c r="I18" s="21">
        <f>SUM('By Neighborhood'!I62+'By Neighborhood'!I75+'By Neighborhood'!I88+'By Neighborhood'!I99+'By Neighborhood'!I111+'By Neighborhood'!I134+'By Neighborhood'!I146+'By Neighborhood'!I157+'By Neighborhood'!I169+'By Neighborhood'!I181)</f>
        <v>916</v>
      </c>
      <c r="J18" s="21">
        <f>SUM('By Neighborhood'!J62+'By Neighborhood'!J75+'By Neighborhood'!J88+'By Neighborhood'!J99+'By Neighborhood'!J111+'By Neighborhood'!J134+'By Neighborhood'!J146+'By Neighborhood'!J157+'By Neighborhood'!J169+'By Neighborhood'!J181)</f>
        <v>946</v>
      </c>
      <c r="K18" s="21">
        <f>SUM('By Neighborhood'!K62+'By Neighborhood'!K75+'By Neighborhood'!K88+'By Neighborhood'!K99+'By Neighborhood'!K111+'By Neighborhood'!K134+'By Neighborhood'!K146+'By Neighborhood'!K157+'By Neighborhood'!K169+'By Neighborhood'!K181)</f>
        <v>1000</v>
      </c>
      <c r="L18" s="21">
        <f>SUM('By Neighborhood'!L62+'By Neighborhood'!L75+'By Neighborhood'!L88+'By Neighborhood'!L99+'By Neighborhood'!L111+'By Neighborhood'!L134+'By Neighborhood'!L146+'By Neighborhood'!L157+'By Neighborhood'!L169+'By Neighborhood'!L181)</f>
        <v>1105</v>
      </c>
      <c r="M18" s="22">
        <f>SUM('By Neighborhood'!M62+'By Neighborhood'!M75+'By Neighborhood'!M88+'By Neighborhood'!M99+'By Neighborhood'!M111+'By Neighborhood'!M134+'By Neighborhood'!M146+'By Neighborhood'!M157+'By Neighborhood'!M169+'By Neighborhood'!M181)</f>
        <v>1210</v>
      </c>
      <c r="N18" s="23">
        <f t="shared" si="0"/>
        <v>880</v>
      </c>
      <c r="O18" s="23">
        <f t="shared" si="1"/>
        <v>848</v>
      </c>
      <c r="P18" s="24">
        <f t="shared" si="2"/>
        <v>0.49074074074074076</v>
      </c>
      <c r="Q18" s="2"/>
    </row>
    <row r="19" spans="1:17" ht="11.25" customHeight="1">
      <c r="A19" s="18" t="s">
        <v>43</v>
      </c>
      <c r="B19" s="18" t="s">
        <v>54</v>
      </c>
      <c r="C19" s="19">
        <f>SUM('By Neighborhood'!C64,'By Neighborhood'!C170)</f>
        <v>44</v>
      </c>
      <c r="D19" s="19">
        <f>SUM('By Neighborhood'!D64,'By Neighborhood'!D170)</f>
        <v>32</v>
      </c>
      <c r="E19" s="23">
        <f>SUM('By Neighborhood'!E64,'By Neighborhood'!E170)</f>
        <v>31</v>
      </c>
      <c r="F19" s="23">
        <f>SUM('By Neighborhood'!F64,'By Neighborhood'!F170)</f>
        <v>30</v>
      </c>
      <c r="G19" s="23">
        <f>SUM('By Neighborhood'!G64,'By Neighborhood'!G170)</f>
        <v>30</v>
      </c>
      <c r="H19" s="23">
        <f>SUM('By Neighborhood'!H64,'By Neighborhood'!H170)</f>
        <v>30</v>
      </c>
      <c r="I19" s="23">
        <f>SUM('By Neighborhood'!I64,'By Neighborhood'!I170)</f>
        <v>29</v>
      </c>
      <c r="J19" s="23">
        <f>SUM('By Neighborhood'!J64,'By Neighborhood'!J170)</f>
        <v>27</v>
      </c>
      <c r="K19" s="23">
        <f>SUM('By Neighborhood'!K64,'By Neighborhood'!K170)</f>
        <v>30</v>
      </c>
      <c r="L19" s="23">
        <f>SUM('By Neighborhood'!L64,'By Neighborhood'!L170)</f>
        <v>33</v>
      </c>
      <c r="M19" s="25">
        <f>SUM('By Neighborhood'!M64,'By Neighborhood'!M170)</f>
        <v>32</v>
      </c>
      <c r="N19" s="23">
        <f t="shared" si="0"/>
        <v>27</v>
      </c>
      <c r="O19" s="23">
        <f t="shared" si="1"/>
        <v>17</v>
      </c>
      <c r="P19" s="24">
        <f t="shared" si="2"/>
        <v>0.38636363636363635</v>
      </c>
      <c r="Q19" s="2"/>
    </row>
    <row r="20" spans="1:17" ht="11.25" customHeight="1">
      <c r="A20" s="18"/>
      <c r="B20" s="18" t="s">
        <v>55</v>
      </c>
      <c r="C20" s="26">
        <f>'By Neighborhood'!C77</f>
        <v>18</v>
      </c>
      <c r="D20" s="19">
        <f>'By Neighborhood'!D77</f>
        <v>18</v>
      </c>
      <c r="E20" s="2">
        <f>'By Neighborhood'!E77</f>
        <v>18</v>
      </c>
      <c r="F20" s="2">
        <f>'By Neighborhood'!F77</f>
        <v>18</v>
      </c>
      <c r="G20" s="2">
        <f>'By Neighborhood'!G77</f>
        <v>18</v>
      </c>
      <c r="H20" s="2">
        <f>'By Neighborhood'!H77</f>
        <v>18</v>
      </c>
      <c r="I20" s="23">
        <f>'By Neighborhood'!I77</f>
        <v>18</v>
      </c>
      <c r="J20" s="23">
        <f>'By Neighborhood'!J77</f>
        <v>18</v>
      </c>
      <c r="K20" s="23">
        <f>'By Neighborhood'!K77</f>
        <v>18</v>
      </c>
      <c r="L20" s="23">
        <f>'By Neighborhood'!L77</f>
        <v>16</v>
      </c>
      <c r="M20" s="25">
        <f>'By Neighborhood'!M77</f>
        <v>18</v>
      </c>
      <c r="N20" s="23">
        <f t="shared" si="0"/>
        <v>16</v>
      </c>
      <c r="O20" s="23">
        <f t="shared" si="1"/>
        <v>2</v>
      </c>
      <c r="P20" s="24">
        <f t="shared" si="2"/>
        <v>0.1111111111111111</v>
      </c>
      <c r="Q20" s="2"/>
    </row>
    <row r="21" spans="1:17" ht="11.25" customHeight="1">
      <c r="A21" s="18"/>
      <c r="B21" s="18" t="s">
        <v>56</v>
      </c>
      <c r="C21" s="26">
        <f>'By Neighborhood'!C135</f>
        <v>8</v>
      </c>
      <c r="D21" s="19">
        <f>'By Neighborhood'!D135</f>
        <v>7</v>
      </c>
      <c r="E21" s="2">
        <f>'By Neighborhood'!E135</f>
        <v>7</v>
      </c>
      <c r="F21" s="2">
        <f>'By Neighborhood'!F135</f>
        <v>6</v>
      </c>
      <c r="G21" s="2">
        <f>'By Neighborhood'!G135</f>
        <v>3</v>
      </c>
      <c r="H21" s="2">
        <f>'By Neighborhood'!H135</f>
        <v>3</v>
      </c>
      <c r="I21" s="23">
        <f>'By Neighborhood'!I135</f>
        <v>3</v>
      </c>
      <c r="J21" s="23">
        <f>'By Neighborhood'!J135</f>
        <v>3</v>
      </c>
      <c r="K21" s="23">
        <f>'By Neighborhood'!K135</f>
        <v>3</v>
      </c>
      <c r="L21" s="23">
        <f>'By Neighborhood'!L135</f>
        <v>5</v>
      </c>
      <c r="M21" s="25">
        <f>'By Neighborhood'!M135</f>
        <v>4</v>
      </c>
      <c r="N21" s="23">
        <f t="shared" si="0"/>
        <v>3</v>
      </c>
      <c r="O21" s="23">
        <f t="shared" si="1"/>
        <v>5</v>
      </c>
      <c r="P21" s="24">
        <f t="shared" si="2"/>
        <v>0.625</v>
      </c>
      <c r="Q21" s="2"/>
    </row>
    <row r="22" spans="1:17" ht="11.25" customHeight="1">
      <c r="A22" s="18"/>
      <c r="B22" s="18" t="s">
        <v>57</v>
      </c>
      <c r="C22" s="26">
        <f>SUM('By Neighborhood'!C63,'By Neighborhood'!C76,'By Neighborhood'!C158)</f>
        <v>104</v>
      </c>
      <c r="D22" s="19">
        <f>SUM('By Neighborhood'!D63,'By Neighborhood'!D76,'By Neighborhood'!D158)</f>
        <v>78</v>
      </c>
      <c r="E22" s="2">
        <f>SUM('By Neighborhood'!E63,'By Neighborhood'!E76,'By Neighborhood'!E158)</f>
        <v>65</v>
      </c>
      <c r="F22" s="2">
        <f>SUM('By Neighborhood'!F63,'By Neighborhood'!F76,'By Neighborhood'!F158)</f>
        <v>86</v>
      </c>
      <c r="G22" s="2">
        <f>SUM('By Neighborhood'!G63,'By Neighborhood'!G76,'By Neighborhood'!G158)</f>
        <v>84</v>
      </c>
      <c r="H22" s="2">
        <f>SUM('By Neighborhood'!H63,'By Neighborhood'!H76,'By Neighborhood'!H158)</f>
        <v>86</v>
      </c>
      <c r="I22" s="23">
        <f>SUM('By Neighborhood'!I63,'By Neighborhood'!I76,'By Neighborhood'!I158)</f>
        <v>72</v>
      </c>
      <c r="J22" s="23">
        <f>SUM('By Neighborhood'!J63,'By Neighborhood'!J76,'By Neighborhood'!J158)</f>
        <v>75</v>
      </c>
      <c r="K22" s="23">
        <f>SUM('By Neighborhood'!K63,'By Neighborhood'!K76,'By Neighborhood'!K158)</f>
        <v>77</v>
      </c>
      <c r="L22" s="23">
        <f>SUM('By Neighborhood'!L63,'By Neighborhood'!L76,'By Neighborhood'!L158)</f>
        <v>77</v>
      </c>
      <c r="M22" s="25">
        <f>SUM('By Neighborhood'!M63,'By Neighborhood'!M76,'By Neighborhood'!M158)</f>
        <v>79</v>
      </c>
      <c r="N22" s="23">
        <f t="shared" si="0"/>
        <v>65</v>
      </c>
      <c r="O22" s="23">
        <f t="shared" si="1"/>
        <v>39</v>
      </c>
      <c r="P22" s="24">
        <f t="shared" si="2"/>
        <v>0.375</v>
      </c>
      <c r="Q22" s="2"/>
    </row>
    <row r="23" spans="1:17" ht="11.25" customHeight="1">
      <c r="A23" s="18"/>
      <c r="B23" s="18" t="s">
        <v>25</v>
      </c>
      <c r="C23" s="26">
        <f>SUM('By Neighborhood'!C65+'By Neighborhood'!C78+'By Neighborhood'!C89+'By Neighborhood'!C100+'By Neighborhood'!C112+'By Neighborhood'!C123+'By Neighborhood'!C136+'By Neighborhood'!C147+'By Neighborhood'!C159+'By Neighborhood'!C171+'By Neighborhood'!C182)</f>
        <v>3414</v>
      </c>
      <c r="D23" s="19">
        <f>SUM('By Neighborhood'!D65+'By Neighborhood'!D78+'By Neighborhood'!D89+'By Neighborhood'!D100+'By Neighborhood'!D112+'By Neighborhood'!D123+'By Neighborhood'!D136+'By Neighborhood'!D147+'By Neighborhood'!D159+'By Neighborhood'!D171+'By Neighborhood'!D182)</f>
        <v>2678</v>
      </c>
      <c r="E23" s="23">
        <f>SUM('By Neighborhood'!E65+'By Neighborhood'!E78+'By Neighborhood'!E89+'By Neighborhood'!E100+'By Neighborhood'!E112+'By Neighborhood'!E123+'By Neighborhood'!E136+'By Neighborhood'!E147+'By Neighborhood'!E159+'By Neighborhood'!E171+'By Neighborhood'!E182)</f>
        <v>2559</v>
      </c>
      <c r="F23" s="23">
        <f>SUM('By Neighborhood'!F65+'By Neighborhood'!F78+'By Neighborhood'!F89+'By Neighborhood'!F100+'By Neighborhood'!F112+'By Neighborhood'!F123+'By Neighborhood'!F136+'By Neighborhood'!F147+'By Neighborhood'!F159+'By Neighborhood'!F171+'By Neighborhood'!F182)</f>
        <v>2465</v>
      </c>
      <c r="G23" s="23">
        <f>SUM('By Neighborhood'!G65+'By Neighborhood'!G78+'By Neighborhood'!G89+'By Neighborhood'!G100+'By Neighborhood'!G112+'By Neighborhood'!G123+'By Neighborhood'!G136+'By Neighborhood'!G147+'By Neighborhood'!G159+'By Neighborhood'!G171+'By Neighborhood'!G182)</f>
        <v>2396</v>
      </c>
      <c r="H23" s="23">
        <f>SUM('By Neighborhood'!H65+'By Neighborhood'!H78+'By Neighborhood'!H89+'By Neighborhood'!H100+'By Neighborhood'!H112+'By Neighborhood'!H123+'By Neighborhood'!H136+'By Neighborhood'!H147+'By Neighborhood'!H159+'By Neighborhood'!H171+'By Neighborhood'!H182)</f>
        <v>2364</v>
      </c>
      <c r="I23" s="23">
        <f>SUM('By Neighborhood'!I65+'By Neighborhood'!I78+'By Neighborhood'!I89+'By Neighborhood'!I100+'By Neighborhood'!I112+'By Neighborhood'!I123+'By Neighborhood'!I136+'By Neighborhood'!I147+'By Neighborhood'!I159+'By Neighborhood'!I171+'By Neighborhood'!I182)</f>
        <v>2488</v>
      </c>
      <c r="J23" s="23">
        <f>SUM('By Neighborhood'!J65+'By Neighborhood'!J78+'By Neighborhood'!J89+'By Neighborhood'!J100+'By Neighborhood'!J112+'By Neighborhood'!J123+'By Neighborhood'!J136+'By Neighborhood'!J147+'By Neighborhood'!J159+'By Neighborhood'!J171+'By Neighborhood'!J182)</f>
        <v>2506</v>
      </c>
      <c r="K23" s="23">
        <f>SUM('By Neighborhood'!K65+'By Neighborhood'!K78+'By Neighborhood'!K89+'By Neighborhood'!K100+'By Neighborhood'!K112+'By Neighborhood'!K123+'By Neighborhood'!K136+'By Neighborhood'!K147+'By Neighborhood'!K159+'By Neighborhood'!K171+'By Neighborhood'!K182)</f>
        <v>2726</v>
      </c>
      <c r="L23" s="23">
        <f>SUM('By Neighborhood'!L65+'By Neighborhood'!L78+'By Neighborhood'!L89+'By Neighborhood'!L100+'By Neighborhood'!L112+'By Neighborhood'!L123+'By Neighborhood'!L136+'By Neighborhood'!L147+'By Neighborhood'!L159+'By Neighborhood'!L171+'By Neighborhood'!L182)</f>
        <v>2774</v>
      </c>
      <c r="M23" s="25">
        <f>SUM('By Neighborhood'!M65+'By Neighborhood'!M78+'By Neighborhood'!M89+'By Neighborhood'!M100+'By Neighborhood'!M112+'By Neighborhood'!M123+'By Neighborhood'!M136+'By Neighborhood'!M147+'By Neighborhood'!M159+'By Neighborhood'!M171+'By Neighborhood'!M182)</f>
        <v>2962</v>
      </c>
      <c r="N23" s="23">
        <f t="shared" si="0"/>
        <v>2364</v>
      </c>
      <c r="O23" s="23">
        <f t="shared" si="1"/>
        <v>1050</v>
      </c>
      <c r="P23" s="24">
        <f t="shared" si="2"/>
        <v>0.30755711775043937</v>
      </c>
      <c r="Q23" s="2"/>
    </row>
    <row r="24" spans="1:17" ht="11.25" customHeight="1">
      <c r="A24" s="18"/>
      <c r="B24" s="18" t="s">
        <v>27</v>
      </c>
      <c r="C24" s="26">
        <f>SUM('By Neighborhood'!C66+'By Neighborhood'!C101+'By Neighborhood'!C124+'By Neighborhood'!C137+'By Neighborhood'!C160+'By Neighborhood'!C172)</f>
        <v>998</v>
      </c>
      <c r="D24" s="26">
        <f>SUM('By Neighborhood'!D66+'By Neighborhood'!D101+'By Neighborhood'!D124+'By Neighborhood'!D137+'By Neighborhood'!D160+'By Neighborhood'!D172)</f>
        <v>862</v>
      </c>
      <c r="E24" s="2">
        <f>SUM('By Neighborhood'!E66+'By Neighborhood'!E101+'By Neighborhood'!E124+'By Neighborhood'!E137+'By Neighborhood'!E160+'By Neighborhood'!E172)</f>
        <v>834</v>
      </c>
      <c r="F24" s="2">
        <f>SUM('By Neighborhood'!F66+'By Neighborhood'!F101+'By Neighborhood'!F124+'By Neighborhood'!F137+'By Neighborhood'!F160+'By Neighborhood'!F172)</f>
        <v>802</v>
      </c>
      <c r="G24" s="2">
        <f>SUM('By Neighborhood'!G66+'By Neighborhood'!G101+'By Neighborhood'!G124+'By Neighborhood'!G137+'By Neighborhood'!G160+'By Neighborhood'!G172)</f>
        <v>836</v>
      </c>
      <c r="H24" s="2">
        <f>SUM('By Neighborhood'!H66+'By Neighborhood'!H101+'By Neighborhood'!H124+'By Neighborhood'!H137+'By Neighborhood'!H160+'By Neighborhood'!H172)</f>
        <v>834</v>
      </c>
      <c r="I24" s="2">
        <f>SUM('By Neighborhood'!I66+'By Neighborhood'!I101+'By Neighborhood'!I124+'By Neighborhood'!I137+'By Neighborhood'!I160+'By Neighborhood'!I172)</f>
        <v>837</v>
      </c>
      <c r="J24" s="2">
        <f>SUM('By Neighborhood'!J66+'By Neighborhood'!J101+'By Neighborhood'!J124+'By Neighborhood'!J137+'By Neighborhood'!J160+'By Neighborhood'!J172)</f>
        <v>845</v>
      </c>
      <c r="K24" s="2">
        <f>SUM('By Neighborhood'!K66+'By Neighborhood'!K101+'By Neighborhood'!K124+'By Neighborhood'!K137+'By Neighborhood'!K160+'By Neighborhood'!K172)</f>
        <v>917</v>
      </c>
      <c r="L24" s="2">
        <f>SUM('By Neighborhood'!L66+'By Neighborhood'!L101+'By Neighborhood'!L124+'By Neighborhood'!L137+'By Neighborhood'!L160+'By Neighborhood'!L172)</f>
        <v>921</v>
      </c>
      <c r="M24" s="27">
        <f>SUM('By Neighborhood'!M66+'By Neighborhood'!M101+'By Neighborhood'!M124+'By Neighborhood'!M137+'By Neighborhood'!M160+'By Neighborhood'!M172)</f>
        <v>942</v>
      </c>
      <c r="N24" s="2">
        <f t="shared" si="0"/>
        <v>802</v>
      </c>
      <c r="O24" s="2">
        <f t="shared" si="1"/>
        <v>196</v>
      </c>
      <c r="P24" s="24">
        <f t="shared" si="2"/>
        <v>0.19639278557114229</v>
      </c>
      <c r="Q24" s="2"/>
    </row>
    <row r="25" spans="1:17" ht="11.25" customHeight="1">
      <c r="A25" s="18"/>
      <c r="B25" s="18" t="s">
        <v>29</v>
      </c>
      <c r="C25" s="26">
        <f>'By Neighborhood'!C102</f>
        <v>228</v>
      </c>
      <c r="D25" s="26">
        <f>'By Neighborhood'!D102</f>
        <v>223</v>
      </c>
      <c r="E25" s="2">
        <f>'By Neighborhood'!E102</f>
        <v>222</v>
      </c>
      <c r="F25" s="2">
        <f>'By Neighborhood'!F102</f>
        <v>224</v>
      </c>
      <c r="G25" s="2">
        <f>'By Neighborhood'!G102</f>
        <v>224</v>
      </c>
      <c r="H25" s="2">
        <f>'By Neighborhood'!H102</f>
        <v>224</v>
      </c>
      <c r="I25" s="23">
        <f>'By Neighborhood'!I102</f>
        <v>225</v>
      </c>
      <c r="J25" s="23">
        <f>'By Neighborhood'!J102</f>
        <v>227</v>
      </c>
      <c r="K25" s="23">
        <f>'By Neighborhood'!K102</f>
        <v>227</v>
      </c>
      <c r="L25" s="23">
        <f>'By Neighborhood'!L102</f>
        <v>227</v>
      </c>
      <c r="M25" s="25">
        <f>'By Neighborhood'!M102</f>
        <v>227</v>
      </c>
      <c r="N25" s="2">
        <f t="shared" si="0"/>
        <v>222</v>
      </c>
      <c r="O25" s="2">
        <f t="shared" si="1"/>
        <v>6</v>
      </c>
      <c r="P25" s="24">
        <f t="shared" si="2"/>
        <v>2.6315789473684209E-2</v>
      </c>
      <c r="Q25" s="2"/>
    </row>
    <row r="26" spans="1:17" ht="11.25" customHeight="1">
      <c r="A26" s="18"/>
      <c r="B26" s="18" t="s">
        <v>44</v>
      </c>
      <c r="C26" s="26">
        <f>SUM('By Neighborhood'!C125)</f>
        <v>398</v>
      </c>
      <c r="D26" s="26">
        <f>'By Neighborhood'!D125</f>
        <v>397</v>
      </c>
      <c r="E26" s="2">
        <f>'By Neighborhood'!E125</f>
        <v>397</v>
      </c>
      <c r="F26" s="2">
        <f>'By Neighborhood'!F125</f>
        <v>396</v>
      </c>
      <c r="G26" s="2">
        <f>'By Neighborhood'!G125</f>
        <v>396</v>
      </c>
      <c r="H26" s="2">
        <f>'By Neighborhood'!H125</f>
        <v>396</v>
      </c>
      <c r="I26" s="2">
        <f>'By Neighborhood'!I125</f>
        <v>395</v>
      </c>
      <c r="J26" s="2">
        <f>'By Neighborhood'!J125</f>
        <v>395</v>
      </c>
      <c r="K26" s="2">
        <f>'By Neighborhood'!K125</f>
        <v>396</v>
      </c>
      <c r="L26" s="2">
        <f>'By Neighborhood'!L125</f>
        <v>396</v>
      </c>
      <c r="M26" s="27">
        <f>'By Neighborhood'!M125</f>
        <v>396</v>
      </c>
      <c r="N26" s="2">
        <f t="shared" si="0"/>
        <v>395</v>
      </c>
      <c r="O26" s="2">
        <f t="shared" si="1"/>
        <v>3</v>
      </c>
      <c r="P26" s="24">
        <f t="shared" si="2"/>
        <v>7.537688442211055E-3</v>
      </c>
      <c r="Q26" s="2"/>
    </row>
    <row r="27" spans="1:17" ht="11.25" customHeight="1">
      <c r="A27" s="18"/>
      <c r="B27" s="18" t="s">
        <v>31</v>
      </c>
      <c r="C27" s="19">
        <f>SUM('By Neighborhood'!C67+'By Neighborhood'!C80+'By Neighborhood'!C91+'By Neighborhood'!C103+'By Neighborhood'!C114+'By Neighborhood'!C126+'By Neighborhood'!C138+'By Neighborhood'!C149+'By Neighborhood'!C161+'By Neighborhood'!C173+'By Neighborhood'!C184)</f>
        <v>907</v>
      </c>
      <c r="D27" s="19">
        <f>SUM('By Neighborhood'!D67+'By Neighborhood'!D80+'By Neighborhood'!D91+'By Neighborhood'!D103+'By Neighborhood'!D114+'By Neighborhood'!D126+'By Neighborhood'!D138+'By Neighborhood'!D149+'By Neighborhood'!D161+'By Neighborhood'!D173+'By Neighborhood'!D184)</f>
        <v>652</v>
      </c>
      <c r="E27" s="23">
        <f>SUM('By Neighborhood'!E67+'By Neighborhood'!E80+'By Neighborhood'!E91+'By Neighborhood'!E103+'By Neighborhood'!E114+'By Neighborhood'!E126+'By Neighborhood'!E138+'By Neighborhood'!E149+'By Neighborhood'!E161+'By Neighborhood'!E173+'By Neighborhood'!E184)</f>
        <v>585</v>
      </c>
      <c r="F27" s="23">
        <f>SUM('By Neighborhood'!F67+'By Neighborhood'!F80+'By Neighborhood'!F91+'By Neighborhood'!F103+'By Neighborhood'!F114+'By Neighborhood'!F126+'By Neighborhood'!F138+'By Neighborhood'!F149+'By Neighborhood'!F161+'By Neighborhood'!F173+'By Neighborhood'!F184)</f>
        <v>532</v>
      </c>
      <c r="G27" s="23">
        <f>SUM('By Neighborhood'!G67+'By Neighborhood'!G80+'By Neighborhood'!G91+'By Neighborhood'!G103+'By Neighborhood'!G114+'By Neighborhood'!G126+'By Neighborhood'!G138+'By Neighborhood'!G149+'By Neighborhood'!G161+'By Neighborhood'!G173+'By Neighborhood'!G184)</f>
        <v>508</v>
      </c>
      <c r="H27" s="23">
        <f>SUM('By Neighborhood'!H67+'By Neighborhood'!H80+'By Neighborhood'!H91+'By Neighborhood'!H103+'By Neighborhood'!H114+'By Neighborhood'!H126+'By Neighborhood'!H138+'By Neighborhood'!H149+'By Neighborhood'!H161+'By Neighborhood'!H173+'By Neighborhood'!H184)</f>
        <v>511</v>
      </c>
      <c r="I27" s="23">
        <f>SUM('By Neighborhood'!I67+'By Neighborhood'!I80+'By Neighborhood'!I91+'By Neighborhood'!I103+'By Neighborhood'!I114+'By Neighborhood'!I126+'By Neighborhood'!I138+'By Neighborhood'!I149+'By Neighborhood'!I161+'By Neighborhood'!I173+'By Neighborhood'!I184)</f>
        <v>505</v>
      </c>
      <c r="J27" s="23">
        <f>SUM('By Neighborhood'!J67+'By Neighborhood'!J80+'By Neighborhood'!J91+'By Neighborhood'!J103+'By Neighborhood'!J114+'By Neighborhood'!J126+'By Neighborhood'!J138+'By Neighborhood'!J149+'By Neighborhood'!J161+'By Neighborhood'!J173+'By Neighborhood'!J184)</f>
        <v>513</v>
      </c>
      <c r="K27" s="23">
        <f>SUM('By Neighborhood'!K67+'By Neighborhood'!K80+'By Neighborhood'!K91+'By Neighborhood'!K103+'By Neighborhood'!K114+'By Neighborhood'!K126+'By Neighborhood'!K138+'By Neighborhood'!K149+'By Neighborhood'!K161+'By Neighborhood'!K173+'By Neighborhood'!K184)</f>
        <v>570</v>
      </c>
      <c r="L27" s="23">
        <f>SUM('By Neighborhood'!L67+'By Neighborhood'!L80+'By Neighborhood'!L91+'By Neighborhood'!L103+'By Neighborhood'!L114+'By Neighborhood'!L126+'By Neighborhood'!L138+'By Neighborhood'!L149+'By Neighborhood'!L161+'By Neighborhood'!L173+'By Neighborhood'!L184)</f>
        <v>622</v>
      </c>
      <c r="M27" s="25">
        <f>SUM('By Neighborhood'!M67+'By Neighborhood'!M80+'By Neighborhood'!M91+'By Neighborhood'!M103+'By Neighborhood'!M114+'By Neighborhood'!M126+'By Neighborhood'!M138+'By Neighborhood'!M149+'By Neighborhood'!M161+'By Neighborhood'!M173+'By Neighborhood'!M184)</f>
        <v>656</v>
      </c>
      <c r="N27" s="23">
        <f t="shared" si="0"/>
        <v>505</v>
      </c>
      <c r="O27" s="23">
        <f t="shared" si="1"/>
        <v>402</v>
      </c>
      <c r="P27" s="24">
        <f t="shared" si="2"/>
        <v>0.44321940463065052</v>
      </c>
      <c r="Q27" s="2"/>
    </row>
    <row r="28" spans="1:17" ht="11.25" customHeight="1">
      <c r="A28" s="18"/>
      <c r="B28" s="18" t="s">
        <v>32</v>
      </c>
      <c r="C28" s="19">
        <f>SUM('By Neighborhood'!C68+'By Neighborhood'!C81+'By Neighborhood'!C92+'By Neighborhood'!C104+'By Neighborhood'!C115+'By Neighborhood'!C127+'By Neighborhood'!C139+'By Neighborhood'!C162+'By Neighborhood'!C174+'By Neighborhood'!C185)</f>
        <v>378</v>
      </c>
      <c r="D28" s="19">
        <f>SUM('By Neighborhood'!D68+'By Neighborhood'!D81+'By Neighborhood'!D92+'By Neighborhood'!D104+'By Neighborhood'!D115+'By Neighborhood'!D127+'By Neighborhood'!D139+'By Neighborhood'!D162+'By Neighborhood'!D174+'By Neighborhood'!D185)</f>
        <v>312</v>
      </c>
      <c r="E28" s="23">
        <f>SUM('By Neighborhood'!E68+'By Neighborhood'!E81+'By Neighborhood'!E92+'By Neighborhood'!E104+'By Neighborhood'!E115+'By Neighborhood'!E127+'By Neighborhood'!E139+'By Neighborhood'!E162+'By Neighborhood'!E174+'By Neighborhood'!E185)</f>
        <v>308</v>
      </c>
      <c r="F28" s="23">
        <f>SUM('By Neighborhood'!F68+'By Neighborhood'!F81+'By Neighborhood'!F92+'By Neighborhood'!F104+'By Neighborhood'!F115+'By Neighborhood'!F127+'By Neighborhood'!F139+'By Neighborhood'!F162+'By Neighborhood'!F174+'By Neighborhood'!F185)</f>
        <v>298</v>
      </c>
      <c r="G28" s="23">
        <f>SUM('By Neighborhood'!G68+'By Neighborhood'!G81+'By Neighborhood'!G92+'By Neighborhood'!G104+'By Neighborhood'!G115+'By Neighborhood'!G127+'By Neighborhood'!G139+'By Neighborhood'!G162+'By Neighborhood'!G174+'By Neighborhood'!G185)</f>
        <v>302</v>
      </c>
      <c r="H28" s="23">
        <f>SUM('By Neighborhood'!H68+'By Neighborhood'!H81+'By Neighborhood'!H92+'By Neighborhood'!H104+'By Neighborhood'!H115+'By Neighborhood'!H127+'By Neighborhood'!H139+'By Neighborhood'!H162+'By Neighborhood'!H174+'By Neighborhood'!H185)</f>
        <v>291</v>
      </c>
      <c r="I28" s="23">
        <f>SUM('By Neighborhood'!I68+'By Neighborhood'!I81+'By Neighborhood'!I92+'By Neighborhood'!I104+'By Neighborhood'!I115+'By Neighborhood'!I127+'By Neighborhood'!I139+'By Neighborhood'!I162+'By Neighborhood'!I174+'By Neighborhood'!I185)</f>
        <v>285</v>
      </c>
      <c r="J28" s="23">
        <f>SUM('By Neighborhood'!J68+'By Neighborhood'!J81+'By Neighborhood'!J92+'By Neighborhood'!J104+'By Neighborhood'!J115+'By Neighborhood'!J127+'By Neighborhood'!J139+'By Neighborhood'!J162+'By Neighborhood'!J174+'By Neighborhood'!J185)</f>
        <v>287</v>
      </c>
      <c r="K28" s="23">
        <f>SUM('By Neighborhood'!K68+'By Neighborhood'!K81+'By Neighborhood'!K92+'By Neighborhood'!K104+'By Neighborhood'!K115+'By Neighborhood'!K127+'By Neighborhood'!K139+'By Neighborhood'!K162+'By Neighborhood'!K174+'By Neighborhood'!K185)</f>
        <v>290</v>
      </c>
      <c r="L28" s="23">
        <f>SUM('By Neighborhood'!L68+'By Neighborhood'!L81+'By Neighborhood'!L92+'By Neighborhood'!L104+'By Neighborhood'!L115+'By Neighborhood'!L127+'By Neighborhood'!L139+'By Neighborhood'!L162+'By Neighborhood'!L174+'By Neighborhood'!L185)</f>
        <v>293</v>
      </c>
      <c r="M28" s="25">
        <f>SUM('By Neighborhood'!M68+'By Neighborhood'!M81+'By Neighborhood'!M92+'By Neighborhood'!M104+'By Neighborhood'!M115+'By Neighborhood'!M127+'By Neighborhood'!M139+'By Neighborhood'!M162+'By Neighborhood'!M174+'By Neighborhood'!M185)</f>
        <v>305</v>
      </c>
      <c r="N28" s="23">
        <f t="shared" si="0"/>
        <v>285</v>
      </c>
      <c r="O28" s="23">
        <f t="shared" si="1"/>
        <v>93</v>
      </c>
      <c r="P28" s="24">
        <f t="shared" si="2"/>
        <v>0.24603174603174602</v>
      </c>
      <c r="Q28" s="2"/>
    </row>
    <row r="29" spans="1:17" ht="11.25" customHeight="1">
      <c r="A29" s="18"/>
      <c r="B29" s="18" t="s">
        <v>33</v>
      </c>
      <c r="C29" s="19">
        <f>SUM('By Neighborhood'!C56+'By Neighborhood'!C69+'By Neighborhood'!C82+'By Neighborhood'!C93+'By Neighborhood'!C105+'By Neighborhood'!C116+'By Neighborhood'!C128+'By Neighborhood'!C151+'By Neighborhood'!C163+'By Neighborhood'!C175+'By Neighborhood'!C186)</f>
        <v>530</v>
      </c>
      <c r="D29" s="19">
        <f>SUM('By Neighborhood'!D56+'By Neighborhood'!D69+'By Neighborhood'!D82+'By Neighborhood'!D93+'By Neighborhood'!D105+'By Neighborhood'!D116+'By Neighborhood'!D128+'By Neighborhood'!D151+'By Neighborhood'!D163+'By Neighborhood'!D175+'By Neighborhood'!D186)</f>
        <v>427</v>
      </c>
      <c r="E29" s="23">
        <f>SUM('By Neighborhood'!E56+'By Neighborhood'!E69+'By Neighborhood'!E82+'By Neighborhood'!E93+'By Neighborhood'!E105+'By Neighborhood'!E116+'By Neighborhood'!E128+'By Neighborhood'!E151+'By Neighborhood'!E163+'By Neighborhood'!E175+'By Neighborhood'!E186)</f>
        <v>412</v>
      </c>
      <c r="F29" s="23">
        <f>SUM('By Neighborhood'!F56+'By Neighborhood'!F69+'By Neighborhood'!F82+'By Neighborhood'!F93+'By Neighborhood'!F105+'By Neighborhood'!F116+'By Neighborhood'!F128+'By Neighborhood'!F151+'By Neighborhood'!F163+'By Neighborhood'!F175+'By Neighborhood'!F186)</f>
        <v>396</v>
      </c>
      <c r="G29" s="23">
        <f>SUM('By Neighborhood'!G56+'By Neighborhood'!G69+'By Neighborhood'!G82+'By Neighborhood'!G93+'By Neighborhood'!G105+'By Neighborhood'!G116+'By Neighborhood'!G128+'By Neighborhood'!G151+'By Neighborhood'!G163+'By Neighborhood'!G175+'By Neighborhood'!G186)</f>
        <v>383</v>
      </c>
      <c r="H29" s="23">
        <f>SUM('By Neighborhood'!H56+'By Neighborhood'!H69+'By Neighborhood'!H82+'By Neighborhood'!H93+'By Neighborhood'!H105+'By Neighborhood'!H116+'By Neighborhood'!H128+'By Neighborhood'!H151+'By Neighborhood'!H163+'By Neighborhood'!H175+'By Neighborhood'!H186)</f>
        <v>377</v>
      </c>
      <c r="I29" s="23">
        <f>SUM('By Neighborhood'!I56+'By Neighborhood'!I69+'By Neighborhood'!I82+'By Neighborhood'!I93+'By Neighborhood'!I105+'By Neighborhood'!I116+'By Neighborhood'!I128+'By Neighborhood'!I151+'By Neighborhood'!I163+'By Neighborhood'!I175+'By Neighborhood'!I186)</f>
        <v>379</v>
      </c>
      <c r="J29" s="23">
        <f>SUM('By Neighborhood'!J56+'By Neighborhood'!J69+'By Neighborhood'!J82+'By Neighborhood'!J93+'By Neighborhood'!J105+'By Neighborhood'!J116+'By Neighborhood'!J128+'By Neighborhood'!J151+'By Neighborhood'!J163+'By Neighborhood'!J175+'By Neighborhood'!J186)</f>
        <v>375</v>
      </c>
      <c r="K29" s="23">
        <f>SUM('By Neighborhood'!K56+'By Neighborhood'!K69+'By Neighborhood'!K82+'By Neighborhood'!K93+'By Neighborhood'!K105+'By Neighborhood'!K116+'By Neighborhood'!K128+'By Neighborhood'!K151+'By Neighborhood'!K163+'By Neighborhood'!K175+'By Neighborhood'!K186)</f>
        <v>399</v>
      </c>
      <c r="L29" s="23">
        <f>SUM('By Neighborhood'!L56+'By Neighborhood'!L69+'By Neighborhood'!L82+'By Neighborhood'!L93+'By Neighborhood'!L105+'By Neighborhood'!L116+'By Neighborhood'!L128+'By Neighborhood'!L151+'By Neighborhood'!L163+'By Neighborhood'!L175+'By Neighborhood'!L186)</f>
        <v>408</v>
      </c>
      <c r="M29" s="25">
        <f>SUM('By Neighborhood'!M56+'By Neighborhood'!M69+'By Neighborhood'!M82+'By Neighborhood'!M93+'By Neighborhood'!M105+'By Neighborhood'!M116+'By Neighborhood'!M128+'By Neighborhood'!M151+'By Neighborhood'!M163+'By Neighborhood'!M175+'By Neighborhood'!M186)</f>
        <v>423</v>
      </c>
      <c r="N29" s="23">
        <f t="shared" si="0"/>
        <v>375</v>
      </c>
      <c r="O29" s="23">
        <f t="shared" si="1"/>
        <v>155</v>
      </c>
      <c r="P29" s="24">
        <f t="shared" si="2"/>
        <v>0.29245283018867924</v>
      </c>
      <c r="Q29" s="2"/>
    </row>
    <row r="30" spans="1:17" ht="11.25" customHeight="1">
      <c r="A30" s="18"/>
      <c r="B30" s="18" t="s">
        <v>34</v>
      </c>
      <c r="C30" s="19">
        <f>SUM('By Neighborhood'!C70+'By Neighborhood'!C83+'By Neighborhood'!C94+'By Neighborhood'!C106+'By Neighborhood'!C117+'By Neighborhood'!C129+'By Neighborhood'!C141+'By Neighborhood'!C152+'By Neighborhood'!C164+'By Neighborhood'!C176+'By Neighborhood'!C187)</f>
        <v>345</v>
      </c>
      <c r="D30" s="19">
        <f>SUM('By Neighborhood'!D70+'By Neighborhood'!D83+'By Neighborhood'!D94+'By Neighborhood'!D106+'By Neighborhood'!D117+'By Neighborhood'!D129+'By Neighborhood'!D141+'By Neighborhood'!D152+'By Neighborhood'!D164+'By Neighborhood'!D176+'By Neighborhood'!D187)</f>
        <v>276</v>
      </c>
      <c r="E30" s="23">
        <f>SUM('By Neighborhood'!E70+'By Neighborhood'!E83+'By Neighborhood'!E94+'By Neighborhood'!E106+'By Neighborhood'!E117+'By Neighborhood'!E129+'By Neighborhood'!E141+'By Neighborhood'!E152+'By Neighborhood'!E164+'By Neighborhood'!E176+'By Neighborhood'!E187)</f>
        <v>270</v>
      </c>
      <c r="F30" s="23">
        <f>SUM('By Neighborhood'!F70+'By Neighborhood'!F83+'By Neighborhood'!F94+'By Neighborhood'!F106+'By Neighborhood'!F117+'By Neighborhood'!F129+'By Neighborhood'!F141+'By Neighborhood'!F152+'By Neighborhood'!F164+'By Neighborhood'!F176+'By Neighborhood'!F187)</f>
        <v>260</v>
      </c>
      <c r="G30" s="23">
        <f>SUM('By Neighborhood'!G70+'By Neighborhood'!G83+'By Neighborhood'!G94+'By Neighborhood'!G106+'By Neighborhood'!G117+'By Neighborhood'!G129+'By Neighborhood'!G141+'By Neighborhood'!G152+'By Neighborhood'!G164+'By Neighborhood'!G176+'By Neighborhood'!G187)</f>
        <v>254</v>
      </c>
      <c r="H30" s="23">
        <f>SUM('By Neighborhood'!H70+'By Neighborhood'!H83+'By Neighborhood'!H94+'By Neighborhood'!H106+'By Neighborhood'!H117+'By Neighborhood'!H129+'By Neighborhood'!H141+'By Neighborhood'!H152+'By Neighborhood'!H164+'By Neighborhood'!H176+'By Neighborhood'!H187)</f>
        <v>263</v>
      </c>
      <c r="I30" s="23">
        <f>SUM('By Neighborhood'!I70+'By Neighborhood'!I83+'By Neighborhood'!I94+'By Neighborhood'!I106+'By Neighborhood'!I117+'By Neighborhood'!I129+'By Neighborhood'!I141+'By Neighborhood'!I152+'By Neighborhood'!I164+'By Neighborhood'!I176+'By Neighborhood'!I187)</f>
        <v>276</v>
      </c>
      <c r="J30" s="23">
        <f>SUM('By Neighborhood'!J70+'By Neighborhood'!J83+'By Neighborhood'!J94+'By Neighborhood'!J106+'By Neighborhood'!J117+'By Neighborhood'!J129+'By Neighborhood'!J141+'By Neighborhood'!J152+'By Neighborhood'!J164+'By Neighborhood'!J176+'By Neighborhood'!J187)</f>
        <v>275</v>
      </c>
      <c r="K30" s="23">
        <f>SUM('By Neighborhood'!K70+'By Neighborhood'!K83+'By Neighborhood'!K94+'By Neighborhood'!K106+'By Neighborhood'!K117+'By Neighborhood'!K129+'By Neighborhood'!K141+'By Neighborhood'!K152+'By Neighborhood'!K164+'By Neighborhood'!K176+'By Neighborhood'!K187)</f>
        <v>276</v>
      </c>
      <c r="L30" s="23">
        <f>SUM('By Neighborhood'!L70+'By Neighborhood'!L83+'By Neighborhood'!L94+'By Neighborhood'!L106+'By Neighborhood'!L117+'By Neighborhood'!L129+'By Neighborhood'!L141+'By Neighborhood'!L152+'By Neighborhood'!L164+'By Neighborhood'!L176+'By Neighborhood'!L187)</f>
        <v>282</v>
      </c>
      <c r="M30" s="25">
        <f>SUM('By Neighborhood'!M70+'By Neighborhood'!M83+'By Neighborhood'!M94+'By Neighborhood'!M106+'By Neighborhood'!M117+'By Neighborhood'!M129+'By Neighborhood'!M141+'By Neighborhood'!M152+'By Neighborhood'!M164+'By Neighborhood'!M176+'By Neighborhood'!M187)</f>
        <v>298</v>
      </c>
      <c r="N30" s="23">
        <f t="shared" si="0"/>
        <v>254</v>
      </c>
      <c r="O30" s="23">
        <f t="shared" si="1"/>
        <v>91</v>
      </c>
      <c r="P30" s="24">
        <f t="shared" si="2"/>
        <v>0.26376811594202898</v>
      </c>
      <c r="Q30" s="2"/>
    </row>
    <row r="31" spans="1:17" ht="11.25" customHeight="1">
      <c r="A31" s="18"/>
      <c r="B31" s="18" t="s">
        <v>35</v>
      </c>
      <c r="C31" s="26">
        <f>SUM('By Neighborhood'!C71+'By Neighborhood'!C84+'By Neighborhood'!C107+'By Neighborhood'!C118+'By Neighborhood'!C130+'By Neighborhood'!C153+'By Neighborhood'!C165+'By Neighborhood'!C177+'By Neighborhood'!C188)</f>
        <v>235</v>
      </c>
      <c r="D31" s="19">
        <f>SUM('By Neighborhood'!D71+'By Neighborhood'!D84+'By Neighborhood'!D107+'By Neighborhood'!D118+'By Neighborhood'!D130+'By Neighborhood'!D153+'By Neighborhood'!D165+'By Neighborhood'!D177+'By Neighborhood'!D188)</f>
        <v>116</v>
      </c>
      <c r="E31" s="23">
        <f>SUM('By Neighborhood'!E71+'By Neighborhood'!E84+'By Neighborhood'!E107+'By Neighborhood'!E118+'By Neighborhood'!E130+'By Neighborhood'!E153+'By Neighborhood'!E165+'By Neighborhood'!E177+'By Neighborhood'!E188)</f>
        <v>116</v>
      </c>
      <c r="F31" s="23">
        <f>SUM('By Neighborhood'!F71+'By Neighborhood'!F84+'By Neighborhood'!F107+'By Neighborhood'!F118+'By Neighborhood'!F130+'By Neighborhood'!F153+'By Neighborhood'!F165+'By Neighborhood'!F177+'By Neighborhood'!F188)</f>
        <v>121</v>
      </c>
      <c r="G31" s="23">
        <f>SUM('By Neighborhood'!G71+'By Neighborhood'!G84+'By Neighborhood'!G107+'By Neighborhood'!G118+'By Neighborhood'!G130+'By Neighborhood'!G153+'By Neighborhood'!G165+'By Neighborhood'!G177+'By Neighborhood'!G188)</f>
        <v>107</v>
      </c>
      <c r="H31" s="23">
        <f>SUM('By Neighborhood'!H71+'By Neighborhood'!H84+'By Neighborhood'!H107+'By Neighborhood'!H118+'By Neighborhood'!H130+'By Neighborhood'!H153+'By Neighborhood'!H165+'By Neighborhood'!H177+'By Neighborhood'!H188)</f>
        <v>102</v>
      </c>
      <c r="I31" s="23">
        <f>SUM('By Neighborhood'!I71+'By Neighborhood'!I84+'By Neighborhood'!I107+'By Neighborhood'!I118+'By Neighborhood'!I130+'By Neighborhood'!I153+'By Neighborhood'!I165+'By Neighborhood'!I177+'By Neighborhood'!I188)</f>
        <v>111</v>
      </c>
      <c r="J31" s="23">
        <f>SUM('By Neighborhood'!J71+'By Neighborhood'!J84+'By Neighborhood'!J107+'By Neighborhood'!J118+'By Neighborhood'!J130+'By Neighborhood'!J153+'By Neighborhood'!J165+'By Neighborhood'!J177+'By Neighborhood'!J188)</f>
        <v>113</v>
      </c>
      <c r="K31" s="23">
        <f>SUM('By Neighborhood'!K71+'By Neighborhood'!K84+'By Neighborhood'!K107+'By Neighborhood'!K118+'By Neighborhood'!K130+'By Neighborhood'!K153+'By Neighborhood'!K165+'By Neighborhood'!K177+'By Neighborhood'!K188)</f>
        <v>122</v>
      </c>
      <c r="L31" s="23">
        <f>SUM('By Neighborhood'!L71+'By Neighborhood'!L84+'By Neighborhood'!L107+'By Neighborhood'!L118+'By Neighborhood'!L130+'By Neighborhood'!L153+'By Neighborhood'!L165+'By Neighborhood'!L177+'By Neighborhood'!L188)</f>
        <v>101</v>
      </c>
      <c r="M31" s="25">
        <f>SUM('By Neighborhood'!M71+'By Neighborhood'!M84+'By Neighborhood'!M107+'By Neighborhood'!M118+'By Neighborhood'!M130+'By Neighborhood'!M153+'By Neighborhood'!M165+'By Neighborhood'!M177+'By Neighborhood'!M188)</f>
        <v>101</v>
      </c>
      <c r="N31" s="23">
        <f t="shared" si="0"/>
        <v>101</v>
      </c>
      <c r="O31" s="23">
        <f t="shared" si="1"/>
        <v>134</v>
      </c>
      <c r="P31" s="24">
        <f t="shared" si="2"/>
        <v>0.57021276595744685</v>
      </c>
      <c r="Q31" s="2"/>
    </row>
    <row r="32" spans="1:17" ht="11.25" customHeight="1">
      <c r="A32" s="18"/>
      <c r="B32" s="18" t="s">
        <v>36</v>
      </c>
      <c r="C32" s="19">
        <f>SUM('By Neighborhood'!C72+'By Neighborhood'!C85+'By Neighborhood'!C96+'By Neighborhood'!C108+'By Neighborhood'!C119+'By Neighborhood'!C131+'By Neighborhood'!C143+'By Neighborhood'!C154+'By Neighborhood'!C166+'By Neighborhood'!C178+'By Neighborhood'!C189)</f>
        <v>97</v>
      </c>
      <c r="D32" s="19">
        <f>SUM('By Neighborhood'!D72+'By Neighborhood'!D85+'By Neighborhood'!D96+'By Neighborhood'!D108+'By Neighborhood'!D119+'By Neighborhood'!D131+'By Neighborhood'!D143+'By Neighborhood'!D154+'By Neighborhood'!D166+'By Neighborhood'!D178+'By Neighborhood'!D189)</f>
        <v>54</v>
      </c>
      <c r="E32" s="23">
        <f>SUM('By Neighborhood'!E72+'By Neighborhood'!E85+'By Neighborhood'!E96+'By Neighborhood'!E108+'By Neighborhood'!E119+'By Neighborhood'!E131+'By Neighborhood'!E143+'By Neighborhood'!E154+'By Neighborhood'!E166+'By Neighborhood'!E178+'By Neighborhood'!E189)</f>
        <v>46</v>
      </c>
      <c r="F32" s="23">
        <f>SUM('By Neighborhood'!F72+'By Neighborhood'!F85+'By Neighborhood'!F96+'By Neighborhood'!F108+'By Neighborhood'!F119+'By Neighborhood'!F131+'By Neighborhood'!F143+'By Neighborhood'!F154+'By Neighborhood'!F166+'By Neighborhood'!F178+'By Neighborhood'!F189)</f>
        <v>53</v>
      </c>
      <c r="G32" s="23">
        <f>SUM('By Neighborhood'!G72+'By Neighborhood'!G85+'By Neighborhood'!G96+'By Neighborhood'!G108+'By Neighborhood'!G119+'By Neighborhood'!G131+'By Neighborhood'!G143+'By Neighborhood'!G154+'By Neighborhood'!G166+'By Neighborhood'!G178+'By Neighborhood'!G189)</f>
        <v>52</v>
      </c>
      <c r="H32" s="23">
        <f>SUM('By Neighborhood'!H72+'By Neighborhood'!H85+'By Neighborhood'!H96+'By Neighborhood'!H108+'By Neighborhood'!H119+'By Neighborhood'!H131+'By Neighborhood'!H143+'By Neighborhood'!H154+'By Neighborhood'!H166+'By Neighborhood'!H178+'By Neighborhood'!H189)</f>
        <v>49</v>
      </c>
      <c r="I32" s="23">
        <f>SUM('By Neighborhood'!I72+'By Neighborhood'!I85+'By Neighborhood'!I96+'By Neighborhood'!I108+'By Neighborhood'!I119+'By Neighborhood'!I131+'By Neighborhood'!I143+'By Neighborhood'!I154+'By Neighborhood'!I166+'By Neighborhood'!I178+'By Neighborhood'!I189)</f>
        <v>48</v>
      </c>
      <c r="J32" s="23">
        <f>SUM('By Neighborhood'!J72+'By Neighborhood'!J85+'By Neighborhood'!J96+'By Neighborhood'!J108+'By Neighborhood'!J119+'By Neighborhood'!J131+'By Neighborhood'!J143+'By Neighborhood'!J154+'By Neighborhood'!J166+'By Neighborhood'!J178+'By Neighborhood'!J189)</f>
        <v>50</v>
      </c>
      <c r="K32" s="23">
        <f>SUM('By Neighborhood'!K72+'By Neighborhood'!K85+'By Neighborhood'!K96+'By Neighborhood'!K108+'By Neighborhood'!K119+'By Neighborhood'!K131+'By Neighborhood'!K143+'By Neighborhood'!K154+'By Neighborhood'!K166+'By Neighborhood'!K178+'By Neighborhood'!K189)</f>
        <v>52</v>
      </c>
      <c r="L32" s="23">
        <f>SUM('By Neighborhood'!L72+'By Neighborhood'!L85+'By Neighborhood'!L96+'By Neighborhood'!L108+'By Neighborhood'!L119+'By Neighborhood'!L131+'By Neighborhood'!L143+'By Neighborhood'!L154+'By Neighborhood'!L166+'By Neighborhood'!L178+'By Neighborhood'!L189)</f>
        <v>56</v>
      </c>
      <c r="M32" s="25">
        <f>SUM('By Neighborhood'!M72+'By Neighborhood'!M85+'By Neighborhood'!M96+'By Neighborhood'!M108+'By Neighborhood'!M119+'By Neighborhood'!M131+'By Neighborhood'!M143+'By Neighborhood'!M154+'By Neighborhood'!M166+'By Neighborhood'!M178+'By Neighborhood'!M189)</f>
        <v>55</v>
      </c>
      <c r="N32" s="23">
        <f t="shared" si="0"/>
        <v>46</v>
      </c>
      <c r="O32" s="23">
        <f t="shared" si="1"/>
        <v>51</v>
      </c>
      <c r="P32" s="24">
        <f t="shared" si="2"/>
        <v>0.52577319587628868</v>
      </c>
      <c r="Q32" s="2"/>
    </row>
    <row r="33" spans="1:17" ht="11.25" customHeight="1">
      <c r="A33" s="18"/>
      <c r="B33" s="18" t="s">
        <v>37</v>
      </c>
      <c r="C33" s="19">
        <f>SUM('By Neighborhood'!C73+'By Neighborhood'!C86+'By Neighborhood'!C97+'By Neighborhood'!C109+'By Neighborhood'!C132+'By Neighborhood'!C144+'By Neighborhood'!C155+'By Neighborhood'!C167+'By Neighborhood'!C179+'By Neighborhood'!C190)</f>
        <v>104</v>
      </c>
      <c r="D33" s="29">
        <f>SUM('By Neighborhood'!D73+'By Neighborhood'!D86+'By Neighborhood'!D97+'By Neighborhood'!D109+'By Neighborhood'!D132+'By Neighborhood'!D144+'By Neighborhood'!D155+'By Neighborhood'!D167+'By Neighborhood'!D179+'By Neighborhood'!D190)</f>
        <v>98</v>
      </c>
      <c r="E33" s="30">
        <f>SUM('By Neighborhood'!E73+'By Neighborhood'!E86+'By Neighborhood'!E97+'By Neighborhood'!E109+'By Neighborhood'!E132+'By Neighborhood'!E144+'By Neighborhood'!E155+'By Neighborhood'!E167+'By Neighborhood'!E179+'By Neighborhood'!E190)</f>
        <v>92</v>
      </c>
      <c r="F33" s="30">
        <f>SUM('By Neighborhood'!F73+'By Neighborhood'!F86+'By Neighborhood'!F97+'By Neighborhood'!F109+'By Neighborhood'!F132+'By Neighborhood'!F144+'By Neighborhood'!F155+'By Neighborhood'!F167+'By Neighborhood'!F179+'By Neighborhood'!F190)</f>
        <v>75</v>
      </c>
      <c r="G33" s="30">
        <f>SUM('By Neighborhood'!G73+'By Neighborhood'!G86+'By Neighborhood'!G97+'By Neighborhood'!G109+'By Neighborhood'!G132+'By Neighborhood'!G144+'By Neighborhood'!G155+'By Neighborhood'!G167+'By Neighborhood'!G179+'By Neighborhood'!G190)</f>
        <v>81</v>
      </c>
      <c r="H33" s="30">
        <f>SUM('By Neighborhood'!H73+'By Neighborhood'!H86+'By Neighborhood'!H97+'By Neighborhood'!H109+'By Neighborhood'!H132+'By Neighborhood'!H144+'By Neighborhood'!H155+'By Neighborhood'!H167+'By Neighborhood'!H179+'By Neighborhood'!H190)</f>
        <v>81</v>
      </c>
      <c r="I33" s="30">
        <f>SUM('By Neighborhood'!I73+'By Neighborhood'!I86+'By Neighborhood'!I97+'By Neighborhood'!I109+'By Neighborhood'!I132+'By Neighborhood'!I144+'By Neighborhood'!I155+'By Neighborhood'!I167+'By Neighborhood'!I179+'By Neighborhood'!I190)</f>
        <v>84</v>
      </c>
      <c r="J33" s="30">
        <f>SUM('By Neighborhood'!J73+'By Neighborhood'!J86+'By Neighborhood'!J97+'By Neighborhood'!J109+'By Neighborhood'!J132+'By Neighborhood'!J144+'By Neighborhood'!J155+'By Neighborhood'!J167+'By Neighborhood'!J179+'By Neighborhood'!J190)</f>
        <v>89</v>
      </c>
      <c r="K33" s="30">
        <f>SUM('By Neighborhood'!K73+'By Neighborhood'!K86+'By Neighborhood'!K97+'By Neighborhood'!K109+'By Neighborhood'!K132+'By Neighborhood'!K144+'By Neighborhood'!K155+'By Neighborhood'!K167+'By Neighborhood'!K179+'By Neighborhood'!K190)</f>
        <v>92</v>
      </c>
      <c r="L33" s="30">
        <f>SUM('By Neighborhood'!L73+'By Neighborhood'!L86+'By Neighborhood'!L97+'By Neighborhood'!L109+'By Neighborhood'!L132+'By Neighborhood'!L144+'By Neighborhood'!L155+'By Neighborhood'!L167+'By Neighborhood'!L179+'By Neighborhood'!L190)</f>
        <v>84</v>
      </c>
      <c r="M33" s="31">
        <f>SUM('By Neighborhood'!M73+'By Neighborhood'!M86+'By Neighborhood'!M97+'By Neighborhood'!M109+'By Neighborhood'!M132+'By Neighborhood'!M144+'By Neighborhood'!M155+'By Neighborhood'!M167+'By Neighborhood'!M179+'By Neighborhood'!M190)</f>
        <v>91</v>
      </c>
      <c r="N33" s="23">
        <f t="shared" si="0"/>
        <v>75</v>
      </c>
      <c r="O33" s="23">
        <f t="shared" si="1"/>
        <v>29</v>
      </c>
      <c r="P33" s="24">
        <f t="shared" si="2"/>
        <v>0.27884615384615385</v>
      </c>
      <c r="Q33" s="2"/>
    </row>
    <row r="34" spans="1:17" ht="11.25" customHeight="1">
      <c r="A34" s="32"/>
      <c r="B34" s="342" t="s">
        <v>38</v>
      </c>
      <c r="C34" s="342">
        <f>SUM(C18:C33)</f>
        <v>9536</v>
      </c>
      <c r="D34" s="343">
        <f t="shared" ref="D34:M34" si="4">SUM(D23:D33)</f>
        <v>6095</v>
      </c>
      <c r="E34" s="344">
        <f t="shared" si="4"/>
        <v>5841</v>
      </c>
      <c r="F34" s="344">
        <f t="shared" si="4"/>
        <v>5622</v>
      </c>
      <c r="G34" s="344">
        <f t="shared" si="4"/>
        <v>5539</v>
      </c>
      <c r="H34" s="344">
        <f t="shared" si="4"/>
        <v>5492</v>
      </c>
      <c r="I34" s="344">
        <f t="shared" si="4"/>
        <v>5633</v>
      </c>
      <c r="J34" s="344">
        <f t="shared" si="4"/>
        <v>5675</v>
      </c>
      <c r="K34" s="344">
        <f t="shared" si="4"/>
        <v>6067</v>
      </c>
      <c r="L34" s="344">
        <f t="shared" si="4"/>
        <v>6164</v>
      </c>
      <c r="M34" s="345">
        <f t="shared" si="4"/>
        <v>6456</v>
      </c>
      <c r="N34" s="343">
        <f t="shared" si="0"/>
        <v>5492</v>
      </c>
      <c r="O34" s="344">
        <f t="shared" si="1"/>
        <v>4044</v>
      </c>
      <c r="P34" s="346">
        <f t="shared" si="2"/>
        <v>0.42407718120805371</v>
      </c>
      <c r="Q34" s="2"/>
    </row>
    <row r="35" spans="1:17" ht="11.25" customHeight="1">
      <c r="A35" s="66" t="s">
        <v>58</v>
      </c>
      <c r="B35" s="18" t="s">
        <v>23</v>
      </c>
      <c r="C35" s="338">
        <f>SUM('By Neighborhood'!C192+'By Neighborhood'!C203+'By Neighborhood'!C214)</f>
        <v>555</v>
      </c>
      <c r="D35" s="338">
        <f>SUM('By Neighborhood'!D192+'By Neighborhood'!D203+'By Neighborhood'!D214)</f>
        <v>151</v>
      </c>
      <c r="E35" s="339">
        <f>SUM('By Neighborhood'!E192+'By Neighborhood'!E203+'By Neighborhood'!E214)</f>
        <v>47</v>
      </c>
      <c r="F35" s="339">
        <f>SUM('By Neighborhood'!F192+'By Neighborhood'!F203+'By Neighborhood'!F214)</f>
        <v>30</v>
      </c>
      <c r="G35" s="339">
        <f>SUM('By Neighborhood'!G192+'By Neighborhood'!G203+'By Neighborhood'!G214)</f>
        <v>24</v>
      </c>
      <c r="H35" s="339">
        <f>SUM('By Neighborhood'!H192+'By Neighborhood'!H203+'By Neighborhood'!H214)</f>
        <v>27</v>
      </c>
      <c r="I35" s="339">
        <f>SUM('By Neighborhood'!I192+'By Neighborhood'!I203+'By Neighborhood'!I214)</f>
        <v>34</v>
      </c>
      <c r="J35" s="339">
        <f>SUM('By Neighborhood'!J192+'By Neighborhood'!J203+'By Neighborhood'!J214)</f>
        <v>55</v>
      </c>
      <c r="K35" s="339">
        <f>SUM('By Neighborhood'!K192+'By Neighborhood'!K203+'By Neighborhood'!K214)</f>
        <v>75</v>
      </c>
      <c r="L35" s="339">
        <f>SUM('By Neighborhood'!L192+'By Neighborhood'!L203+'By Neighborhood'!L214)</f>
        <v>115</v>
      </c>
      <c r="M35" s="340">
        <f>SUM('By Neighborhood'!M192+'By Neighborhood'!M203+'By Neighborhood'!M214)</f>
        <v>148</v>
      </c>
      <c r="N35" s="339">
        <f t="shared" si="0"/>
        <v>24</v>
      </c>
      <c r="O35" s="339">
        <f t="shared" si="1"/>
        <v>531</v>
      </c>
      <c r="P35" s="341">
        <f t="shared" si="2"/>
        <v>0.95675675675675675</v>
      </c>
      <c r="Q35" s="2"/>
    </row>
    <row r="36" spans="1:17" ht="11.25" customHeight="1">
      <c r="A36" s="18" t="s">
        <v>43</v>
      </c>
      <c r="B36" s="18" t="s">
        <v>25</v>
      </c>
      <c r="C36" s="26">
        <f>SUM('By Neighborhood'!C193+'By Neighborhood'!C204+'By Neighborhood'!C215)</f>
        <v>2367</v>
      </c>
      <c r="D36" s="26">
        <f>SUM('By Neighborhood'!D193+'By Neighborhood'!D204+'By Neighborhood'!D215)</f>
        <v>1432</v>
      </c>
      <c r="E36" s="2">
        <f>SUM('By Neighborhood'!E193+'By Neighborhood'!E204+'By Neighborhood'!E215)</f>
        <v>1064</v>
      </c>
      <c r="F36" s="2">
        <f>SUM('By Neighborhood'!F193+'By Neighborhood'!F204+'By Neighborhood'!F215)</f>
        <v>936</v>
      </c>
      <c r="G36" s="2">
        <f>SUM('By Neighborhood'!G193+'By Neighborhood'!G204+'By Neighborhood'!G215)</f>
        <v>882</v>
      </c>
      <c r="H36" s="2">
        <f>SUM('By Neighborhood'!H193+'By Neighborhood'!H204+'By Neighborhood'!H215)</f>
        <v>905</v>
      </c>
      <c r="I36" s="2">
        <f>SUM('By Neighborhood'!I193+'By Neighborhood'!I204+'By Neighborhood'!I215)</f>
        <v>897</v>
      </c>
      <c r="J36" s="2">
        <f>SUM('By Neighborhood'!J193+'By Neighborhood'!J204+'By Neighborhood'!J215)</f>
        <v>912</v>
      </c>
      <c r="K36" s="2">
        <f>SUM('By Neighborhood'!K193+'By Neighborhood'!K204+'By Neighborhood'!K215)</f>
        <v>956</v>
      </c>
      <c r="L36" s="2">
        <f>SUM('By Neighborhood'!L193+'By Neighborhood'!L204+'By Neighborhood'!L215)</f>
        <v>1117</v>
      </c>
      <c r="M36" s="27">
        <f>SUM('By Neighborhood'!M193+'By Neighborhood'!M204+'By Neighborhood'!M215)</f>
        <v>1353</v>
      </c>
      <c r="N36" s="2">
        <f t="shared" si="0"/>
        <v>882</v>
      </c>
      <c r="O36" s="2">
        <f t="shared" si="1"/>
        <v>1485</v>
      </c>
      <c r="P36" s="24">
        <f t="shared" si="2"/>
        <v>0.62737642585551334</v>
      </c>
      <c r="Q36" s="2"/>
    </row>
    <row r="37" spans="1:17" ht="11.25" customHeight="1">
      <c r="A37" s="18"/>
      <c r="B37" s="18" t="s">
        <v>27</v>
      </c>
      <c r="C37" s="26">
        <f>SUM('By Neighborhood'!C195)</f>
        <v>257</v>
      </c>
      <c r="D37" s="26">
        <f>SUM('By Neighborhood'!D195)</f>
        <v>247</v>
      </c>
      <c r="E37" s="2">
        <f>SUM('By Neighborhood'!E195)</f>
        <v>347</v>
      </c>
      <c r="F37" s="2">
        <f>SUM('By Neighborhood'!F195)</f>
        <v>247</v>
      </c>
      <c r="G37" s="2">
        <f>SUM('By Neighborhood'!G195)</f>
        <v>247</v>
      </c>
      <c r="H37" s="2">
        <f>SUM('By Neighborhood'!H195)</f>
        <v>464</v>
      </c>
      <c r="I37" s="2">
        <f>SUM('By Neighborhood'!I195)</f>
        <v>247</v>
      </c>
      <c r="J37" s="2">
        <f>SUM('By Neighborhood'!J195)</f>
        <v>247</v>
      </c>
      <c r="K37" s="2">
        <f>SUM('By Neighborhood'!K195)</f>
        <v>252</v>
      </c>
      <c r="L37" s="2">
        <f>SUM('By Neighborhood'!L195)</f>
        <v>252</v>
      </c>
      <c r="M37" s="27">
        <f>SUM('By Neighborhood'!M195)</f>
        <v>252</v>
      </c>
      <c r="N37" s="2">
        <f t="shared" si="0"/>
        <v>247</v>
      </c>
      <c r="O37" s="2">
        <f t="shared" si="1"/>
        <v>10</v>
      </c>
      <c r="P37" s="24">
        <f t="shared" si="2"/>
        <v>3.8910505836575876E-2</v>
      </c>
      <c r="Q37" s="2"/>
    </row>
    <row r="38" spans="1:17" ht="11.25" customHeight="1">
      <c r="A38" s="18"/>
      <c r="B38" s="18" t="s">
        <v>30</v>
      </c>
      <c r="C38" s="26">
        <f>SUM('By Neighborhood'!C194)</f>
        <v>1166</v>
      </c>
      <c r="D38" s="26">
        <f>SUM('By Neighborhood'!D194)</f>
        <v>1044</v>
      </c>
      <c r="E38" s="2">
        <f>SUM('By Neighborhood'!E194)</f>
        <v>1006</v>
      </c>
      <c r="F38" s="2">
        <f>SUM('By Neighborhood'!F194)</f>
        <v>934</v>
      </c>
      <c r="G38" s="2">
        <f>SUM('By Neighborhood'!G194)</f>
        <v>966</v>
      </c>
      <c r="H38" s="2">
        <f>SUM('By Neighborhood'!H194)</f>
        <v>969</v>
      </c>
      <c r="I38" s="23">
        <f>SUM('By Neighborhood'!I194)</f>
        <v>1020</v>
      </c>
      <c r="J38" s="23">
        <f>SUM('By Neighborhood'!J194)</f>
        <v>1015</v>
      </c>
      <c r="K38" s="23">
        <f>SUM('By Neighborhood'!K194)</f>
        <v>1019</v>
      </c>
      <c r="L38" s="23">
        <f>SUM('By Neighborhood'!L194)</f>
        <v>1056</v>
      </c>
      <c r="M38" s="25">
        <f>SUM('By Neighborhood'!M194)</f>
        <v>1088</v>
      </c>
      <c r="N38" s="2">
        <f t="shared" si="0"/>
        <v>934</v>
      </c>
      <c r="O38" s="2">
        <f t="shared" si="1"/>
        <v>232</v>
      </c>
      <c r="P38" s="24">
        <f t="shared" si="2"/>
        <v>0.19897084048027444</v>
      </c>
      <c r="Q38" s="2"/>
    </row>
    <row r="39" spans="1:17" ht="11.25" customHeight="1">
      <c r="A39" s="18"/>
      <c r="B39" s="74" t="s">
        <v>44</v>
      </c>
      <c r="C39" s="75">
        <f>'By Neighborhood'!C216</f>
        <v>243</v>
      </c>
      <c r="D39" s="75"/>
      <c r="E39" s="76"/>
      <c r="F39" s="77" t="s">
        <v>59</v>
      </c>
      <c r="G39" s="76"/>
      <c r="H39" s="76"/>
      <c r="I39" s="76"/>
      <c r="J39" s="76"/>
      <c r="K39" s="76"/>
      <c r="L39" s="76"/>
      <c r="M39" s="347"/>
      <c r="N39" s="348"/>
      <c r="O39" s="76"/>
      <c r="P39" s="79"/>
      <c r="Q39" s="2"/>
    </row>
    <row r="40" spans="1:17" ht="11.25" customHeight="1">
      <c r="A40" s="18"/>
      <c r="B40" s="18" t="s">
        <v>31</v>
      </c>
      <c r="C40" s="26">
        <f>SUM('By Neighborhood'!C206)</f>
        <v>922</v>
      </c>
      <c r="D40" s="26">
        <f>SUM('By Neighborhood'!D206)</f>
        <v>557</v>
      </c>
      <c r="E40" s="2">
        <f>SUM('By Neighborhood'!E206)</f>
        <v>479</v>
      </c>
      <c r="F40" s="2">
        <f>SUM('By Neighborhood'!F206)</f>
        <v>425</v>
      </c>
      <c r="G40" s="2">
        <f>SUM('By Neighborhood'!G206)</f>
        <v>401</v>
      </c>
      <c r="H40" s="2">
        <f>SUM('By Neighborhood'!H206)</f>
        <v>442</v>
      </c>
      <c r="I40" s="2">
        <f>SUM('By Neighborhood'!I206)</f>
        <v>387</v>
      </c>
      <c r="J40" s="2">
        <f>SUM('By Neighborhood'!J206)</f>
        <v>399</v>
      </c>
      <c r="K40" s="2">
        <f>SUM('By Neighborhood'!K206)</f>
        <v>450</v>
      </c>
      <c r="L40" s="2">
        <f>SUM('By Neighborhood'!L206)</f>
        <v>493</v>
      </c>
      <c r="M40" s="27">
        <f>SUM('By Neighborhood'!M206)</f>
        <v>502</v>
      </c>
      <c r="N40" s="2">
        <f t="shared" ref="N40:N49" si="5">MIN(D40:M40)</f>
        <v>387</v>
      </c>
      <c r="O40" s="2">
        <f t="shared" ref="O40:O49" si="6">C40-N40</f>
        <v>535</v>
      </c>
      <c r="P40" s="24">
        <f t="shared" ref="P40:P49" si="7">O40/C40</f>
        <v>0.58026030368763559</v>
      </c>
      <c r="Q40" s="2"/>
    </row>
    <row r="41" spans="1:17" ht="11.25" customHeight="1">
      <c r="A41" s="18"/>
      <c r="B41" s="18" t="s">
        <v>32</v>
      </c>
      <c r="C41" s="26">
        <f>SUM('By Neighborhood'!C196+'By Neighborhood'!C207)</f>
        <v>115</v>
      </c>
      <c r="D41" s="26">
        <f>SUM('By Neighborhood'!D196+'By Neighborhood'!D207)</f>
        <v>83</v>
      </c>
      <c r="E41" s="2">
        <f>SUM('By Neighborhood'!E196+'By Neighborhood'!E207)</f>
        <v>81</v>
      </c>
      <c r="F41" s="2">
        <f>SUM('By Neighborhood'!F196+'By Neighborhood'!F207)</f>
        <v>80</v>
      </c>
      <c r="G41" s="2">
        <f>SUM('By Neighborhood'!G196+'By Neighborhood'!G207)</f>
        <v>75</v>
      </c>
      <c r="H41" s="2">
        <f>SUM('By Neighborhood'!H196+'By Neighborhood'!H207)</f>
        <v>76</v>
      </c>
      <c r="I41" s="2">
        <f>SUM('By Neighborhood'!I196+'By Neighborhood'!I207)</f>
        <v>73</v>
      </c>
      <c r="J41" s="2">
        <f>SUM('By Neighborhood'!J196+'By Neighborhood'!J207)</f>
        <v>72</v>
      </c>
      <c r="K41" s="2">
        <f>SUM('By Neighborhood'!K196+'By Neighborhood'!K207)</f>
        <v>75</v>
      </c>
      <c r="L41" s="2">
        <f>SUM('By Neighborhood'!L196+'By Neighborhood'!L207)</f>
        <v>83</v>
      </c>
      <c r="M41" s="27">
        <f>SUM('By Neighborhood'!M196+'By Neighborhood'!M207)</f>
        <v>84</v>
      </c>
      <c r="N41" s="2">
        <f t="shared" si="5"/>
        <v>72</v>
      </c>
      <c r="O41" s="2">
        <f t="shared" si="6"/>
        <v>43</v>
      </c>
      <c r="P41" s="24">
        <f t="shared" si="7"/>
        <v>0.37391304347826088</v>
      </c>
      <c r="Q41" s="2"/>
    </row>
    <row r="42" spans="1:17" ht="11.25" customHeight="1">
      <c r="A42" s="18"/>
      <c r="B42" s="18" t="s">
        <v>33</v>
      </c>
      <c r="C42" s="26">
        <f>SUM('By Neighborhood'!C197+'By Neighborhood'!C208+'By Neighborhood'!C219)</f>
        <v>467</v>
      </c>
      <c r="D42" s="26">
        <f>SUM('By Neighborhood'!D197+'By Neighborhood'!D208+'By Neighborhood'!D219)</f>
        <v>274</v>
      </c>
      <c r="E42" s="2">
        <f>SUM('By Neighborhood'!E197+'By Neighborhood'!E208+'By Neighborhood'!E219)</f>
        <v>261</v>
      </c>
      <c r="F42" s="2">
        <f>SUM('By Neighborhood'!F197+'By Neighborhood'!F208+'By Neighborhood'!F219)</f>
        <v>252</v>
      </c>
      <c r="G42" s="2">
        <f>SUM('By Neighborhood'!G197+'By Neighborhood'!G208+'By Neighborhood'!G219)</f>
        <v>254</v>
      </c>
      <c r="H42" s="2">
        <f>SUM('By Neighborhood'!H197+'By Neighborhood'!H208+'By Neighborhood'!H219)</f>
        <v>250</v>
      </c>
      <c r="I42" s="2">
        <f>SUM('By Neighborhood'!I197+'By Neighborhood'!I208+'By Neighborhood'!I219)</f>
        <v>239</v>
      </c>
      <c r="J42" s="2">
        <f>SUM('By Neighborhood'!J197+'By Neighborhood'!J208+'By Neighborhood'!J219)</f>
        <v>228</v>
      </c>
      <c r="K42" s="2">
        <f>SUM('By Neighborhood'!K197+'By Neighborhood'!K208+'By Neighborhood'!K219)</f>
        <v>240</v>
      </c>
      <c r="L42" s="2">
        <f>SUM('By Neighborhood'!L197+'By Neighborhood'!L208+'By Neighborhood'!L219)</f>
        <v>252</v>
      </c>
      <c r="M42" s="27">
        <f>SUM('By Neighborhood'!M197+'By Neighborhood'!M208+'By Neighborhood'!M219)</f>
        <v>266</v>
      </c>
      <c r="N42" s="2">
        <f t="shared" si="5"/>
        <v>228</v>
      </c>
      <c r="O42" s="2">
        <f t="shared" si="6"/>
        <v>239</v>
      </c>
      <c r="P42" s="24">
        <f t="shared" si="7"/>
        <v>0.51177730192719484</v>
      </c>
      <c r="Q42" s="2"/>
    </row>
    <row r="43" spans="1:17" ht="11.25" customHeight="1">
      <c r="A43" s="18"/>
      <c r="B43" s="18" t="s">
        <v>34</v>
      </c>
      <c r="C43" s="26">
        <f>SUM('By Neighborhood'!C198+'By Neighborhood'!C209+'By Neighborhood'!C220)</f>
        <v>308</v>
      </c>
      <c r="D43" s="26">
        <f>SUM('By Neighborhood'!D198+'By Neighborhood'!D209+'By Neighborhood'!D220)</f>
        <v>191</v>
      </c>
      <c r="E43" s="2">
        <f>SUM('By Neighborhood'!E198+'By Neighborhood'!E209+'By Neighborhood'!E220)</f>
        <v>167</v>
      </c>
      <c r="F43" s="2">
        <f>SUM('By Neighborhood'!F198+'By Neighborhood'!F209+'By Neighborhood'!F220)</f>
        <v>140</v>
      </c>
      <c r="G43" s="2">
        <f>SUM('By Neighborhood'!G198+'By Neighborhood'!G209+'By Neighborhood'!G220)</f>
        <v>137</v>
      </c>
      <c r="H43" s="2">
        <f>SUM('By Neighborhood'!H198+'By Neighborhood'!H209+'By Neighborhood'!H220)</f>
        <v>147</v>
      </c>
      <c r="I43" s="2">
        <f>SUM('By Neighborhood'!I198+'By Neighborhood'!I209+'By Neighborhood'!I220)</f>
        <v>129</v>
      </c>
      <c r="J43" s="2">
        <f>SUM('By Neighborhood'!J198+'By Neighborhood'!J209+'By Neighborhood'!J220)</f>
        <v>130</v>
      </c>
      <c r="K43" s="2">
        <f>SUM('By Neighborhood'!K198+'By Neighborhood'!K209+'By Neighborhood'!K220)</f>
        <v>145</v>
      </c>
      <c r="L43" s="2">
        <f>SUM('By Neighborhood'!L198+'By Neighborhood'!L209+'By Neighborhood'!L220)</f>
        <v>154</v>
      </c>
      <c r="M43" s="27">
        <f>SUM('By Neighborhood'!M198+'By Neighborhood'!M209+'By Neighborhood'!M220)</f>
        <v>170</v>
      </c>
      <c r="N43" s="2">
        <f t="shared" si="5"/>
        <v>129</v>
      </c>
      <c r="O43" s="2">
        <f t="shared" si="6"/>
        <v>179</v>
      </c>
      <c r="P43" s="24">
        <f t="shared" si="7"/>
        <v>0.58116883116883122</v>
      </c>
      <c r="Q43" s="2"/>
    </row>
    <row r="44" spans="1:17" ht="11.25" customHeight="1">
      <c r="A44" s="18"/>
      <c r="B44" s="18" t="s">
        <v>35</v>
      </c>
      <c r="C44" s="26">
        <f>SUM('By Neighborhood'!C199+'By Neighborhood'!C210)</f>
        <v>17</v>
      </c>
      <c r="D44" s="26">
        <f>SUM('By Neighborhood'!D199+'By Neighborhood'!D210)</f>
        <v>8</v>
      </c>
      <c r="E44" s="2">
        <f>SUM('By Neighborhood'!E199+'By Neighborhood'!E210)</f>
        <v>9</v>
      </c>
      <c r="F44" s="2">
        <f>SUM('By Neighborhood'!F199+'By Neighborhood'!F210)</f>
        <v>8</v>
      </c>
      <c r="G44" s="2">
        <f>SUM('By Neighborhood'!G199+'By Neighborhood'!G210)</f>
        <v>9</v>
      </c>
      <c r="H44" s="2">
        <f>SUM('By Neighborhood'!H199+'By Neighborhood'!H210)</f>
        <v>9</v>
      </c>
      <c r="I44" s="2">
        <f>SUM('By Neighborhood'!I199+'By Neighborhood'!I210)</f>
        <v>8</v>
      </c>
      <c r="J44" s="2">
        <f>SUM('By Neighborhood'!J199+'By Neighborhood'!J210)</f>
        <v>7</v>
      </c>
      <c r="K44" s="2">
        <f>SUM('By Neighborhood'!K199+'By Neighborhood'!K210)</f>
        <v>6</v>
      </c>
      <c r="L44" s="2">
        <f>SUM('By Neighborhood'!L199+'By Neighborhood'!L210)</f>
        <v>9</v>
      </c>
      <c r="M44" s="27">
        <f>SUM('By Neighborhood'!M199+'By Neighborhood'!M210)</f>
        <v>9</v>
      </c>
      <c r="N44" s="2">
        <f t="shared" si="5"/>
        <v>6</v>
      </c>
      <c r="O44" s="2">
        <f t="shared" si="6"/>
        <v>11</v>
      </c>
      <c r="P44" s="24">
        <f t="shared" si="7"/>
        <v>0.6470588235294118</v>
      </c>
      <c r="Q44" s="2"/>
    </row>
    <row r="45" spans="1:17" ht="11.25" customHeight="1">
      <c r="A45" s="18"/>
      <c r="B45" s="18" t="s">
        <v>36</v>
      </c>
      <c r="C45" s="26">
        <f>SUM('By Neighborhood'!C200+'By Neighborhood'!C211+'By Neighborhood'!C222)</f>
        <v>3</v>
      </c>
      <c r="D45" s="26">
        <f>SUM('By Neighborhood'!D200+'By Neighborhood'!D211+'By Neighborhood'!D222)</f>
        <v>0</v>
      </c>
      <c r="E45" s="2">
        <f>SUM('By Neighborhood'!E200+'By Neighborhood'!E211+'By Neighborhood'!E222)</f>
        <v>0</v>
      </c>
      <c r="F45" s="2">
        <f>SUM('By Neighborhood'!F200+'By Neighborhood'!F211+'By Neighborhood'!F222)</f>
        <v>1</v>
      </c>
      <c r="G45" s="2">
        <f>SUM('By Neighborhood'!G200+'By Neighborhood'!G211+'By Neighborhood'!G222)</f>
        <v>1</v>
      </c>
      <c r="H45" s="2">
        <f>SUM('By Neighborhood'!H200+'By Neighborhood'!H211+'By Neighborhood'!H222)</f>
        <v>0</v>
      </c>
      <c r="I45" s="2">
        <f>SUM('By Neighborhood'!I200+'By Neighborhood'!I211+'By Neighborhood'!I222)</f>
        <v>0</v>
      </c>
      <c r="J45" s="2">
        <f>SUM('By Neighborhood'!J200+'By Neighborhood'!J211+'By Neighborhood'!J222)</f>
        <v>0</v>
      </c>
      <c r="K45" s="2">
        <f>SUM('By Neighborhood'!K200+'By Neighborhood'!K211+'By Neighborhood'!K222)</f>
        <v>0</v>
      </c>
      <c r="L45" s="2">
        <f>SUM('By Neighborhood'!L200+'By Neighborhood'!L211+'By Neighborhood'!L222)</f>
        <v>0</v>
      </c>
      <c r="M45" s="27">
        <f>SUM('By Neighborhood'!M200+'By Neighborhood'!M211+'By Neighborhood'!M222)</f>
        <v>0</v>
      </c>
      <c r="N45" s="2">
        <f t="shared" si="5"/>
        <v>0</v>
      </c>
      <c r="O45" s="2">
        <f t="shared" si="6"/>
        <v>3</v>
      </c>
      <c r="P45" s="24">
        <f t="shared" si="7"/>
        <v>1</v>
      </c>
      <c r="Q45" s="2"/>
    </row>
    <row r="46" spans="1:17" ht="11.25" customHeight="1">
      <c r="A46" s="18"/>
      <c r="B46" s="18" t="s">
        <v>37</v>
      </c>
      <c r="C46" s="26">
        <f>SUM('By Neighborhood'!C201+'By Neighborhood'!C212)</f>
        <v>13</v>
      </c>
      <c r="D46" s="42">
        <f>SUM('By Neighborhood'!D201+'By Neighborhood'!D212)</f>
        <v>6</v>
      </c>
      <c r="E46" s="80">
        <f>SUM('By Neighborhood'!E201+'By Neighborhood'!E212)</f>
        <v>6</v>
      </c>
      <c r="F46" s="80">
        <f>SUM('By Neighborhood'!F201+'By Neighborhood'!F212)</f>
        <v>4</v>
      </c>
      <c r="G46" s="80">
        <f>SUM('By Neighborhood'!G201+'By Neighborhood'!G212)</f>
        <v>3</v>
      </c>
      <c r="H46" s="80">
        <f>SUM('By Neighborhood'!H201+'By Neighborhood'!H212)</f>
        <v>6</v>
      </c>
      <c r="I46" s="80">
        <f>SUM('By Neighborhood'!I201+'By Neighborhood'!I212)</f>
        <v>4</v>
      </c>
      <c r="J46" s="80">
        <f>SUM('By Neighborhood'!J201+'By Neighborhood'!J212)</f>
        <v>4</v>
      </c>
      <c r="K46" s="80">
        <f>SUM('By Neighborhood'!K201+'By Neighborhood'!K212)</f>
        <v>6</v>
      </c>
      <c r="L46" s="80">
        <f>SUM('By Neighborhood'!L201+'By Neighborhood'!L212)</f>
        <v>6</v>
      </c>
      <c r="M46" s="81">
        <f>SUM('By Neighborhood'!M201+'By Neighborhood'!M212)</f>
        <v>6</v>
      </c>
      <c r="N46" s="2">
        <f t="shared" si="5"/>
        <v>3</v>
      </c>
      <c r="O46" s="2">
        <f t="shared" si="6"/>
        <v>10</v>
      </c>
      <c r="P46" s="24">
        <f t="shared" si="7"/>
        <v>0.76923076923076927</v>
      </c>
      <c r="Q46" s="2"/>
    </row>
    <row r="47" spans="1:17" ht="11.25" customHeight="1">
      <c r="A47" s="32"/>
      <c r="B47" s="33" t="s">
        <v>38</v>
      </c>
      <c r="C47" s="33">
        <f t="shared" ref="C47:M47" si="8">SUM(C35:C46)</f>
        <v>6433</v>
      </c>
      <c r="D47" s="82">
        <f t="shared" si="8"/>
        <v>3993</v>
      </c>
      <c r="E47" s="83">
        <f t="shared" si="8"/>
        <v>3467</v>
      </c>
      <c r="F47" s="83">
        <f t="shared" si="8"/>
        <v>3057</v>
      </c>
      <c r="G47" s="83">
        <f t="shared" si="8"/>
        <v>2999</v>
      </c>
      <c r="H47" s="83">
        <f t="shared" si="8"/>
        <v>3295</v>
      </c>
      <c r="I47" s="83">
        <f t="shared" si="8"/>
        <v>3038</v>
      </c>
      <c r="J47" s="83">
        <f t="shared" si="8"/>
        <v>3069</v>
      </c>
      <c r="K47" s="83">
        <f t="shared" si="8"/>
        <v>3224</v>
      </c>
      <c r="L47" s="83">
        <f t="shared" si="8"/>
        <v>3537</v>
      </c>
      <c r="M47" s="84">
        <f t="shared" si="8"/>
        <v>3878</v>
      </c>
      <c r="N47" s="70">
        <f t="shared" si="5"/>
        <v>2999</v>
      </c>
      <c r="O47" s="71">
        <f t="shared" si="6"/>
        <v>3434</v>
      </c>
      <c r="P47" s="40">
        <f t="shared" si="7"/>
        <v>0.53381004197108661</v>
      </c>
      <c r="Q47" s="2"/>
    </row>
    <row r="48" spans="1:17" ht="11.25" customHeight="1">
      <c r="A48" s="20" t="s">
        <v>45</v>
      </c>
      <c r="B48" s="85" t="s">
        <v>23</v>
      </c>
      <c r="C48" s="47">
        <f>SUM('By Neighborhood'!C225)</f>
        <v>263</v>
      </c>
      <c r="D48" s="48">
        <f>SUM('By Neighborhood'!D225)</f>
        <v>177</v>
      </c>
      <c r="E48" s="48">
        <f>SUM('By Neighborhood'!E225)</f>
        <v>59</v>
      </c>
      <c r="F48" s="48">
        <f>SUM('By Neighborhood'!F225)</f>
        <v>43</v>
      </c>
      <c r="G48" s="48">
        <f>SUM('By Neighborhood'!G225)</f>
        <v>41</v>
      </c>
      <c r="H48" s="48">
        <f>SUM('By Neighborhood'!H225)</f>
        <v>43</v>
      </c>
      <c r="I48" s="48">
        <f>SUM('By Neighborhood'!I225)</f>
        <v>59</v>
      </c>
      <c r="J48" s="48">
        <f>SUM('By Neighborhood'!J225)</f>
        <v>63</v>
      </c>
      <c r="K48" s="48">
        <f>SUM('By Neighborhood'!K225)</f>
        <v>57</v>
      </c>
      <c r="L48" s="48">
        <f>SUM('By Neighborhood'!L225)</f>
        <v>88</v>
      </c>
      <c r="M48" s="86">
        <f>SUM('By Neighborhood'!M225)</f>
        <v>111</v>
      </c>
      <c r="N48" s="48">
        <f t="shared" si="5"/>
        <v>41</v>
      </c>
      <c r="O48" s="48">
        <f t="shared" si="6"/>
        <v>222</v>
      </c>
      <c r="P48" s="50">
        <f t="shared" si="7"/>
        <v>0.844106463878327</v>
      </c>
      <c r="Q48" s="2"/>
    </row>
    <row r="49" spans="1:17" ht="11.25" customHeight="1">
      <c r="A49" s="19" t="s">
        <v>46</v>
      </c>
      <c r="B49" s="28" t="s">
        <v>25</v>
      </c>
      <c r="C49" s="51">
        <f>SUM('By Neighborhood'!C226)</f>
        <v>1227</v>
      </c>
      <c r="D49" s="52">
        <f>SUM('By Neighborhood'!D226)</f>
        <v>616</v>
      </c>
      <c r="E49" s="52">
        <f>SUM('By Neighborhood'!E226)</f>
        <v>524</v>
      </c>
      <c r="F49" s="52">
        <f>SUM('By Neighborhood'!F226)</f>
        <v>479</v>
      </c>
      <c r="G49" s="52">
        <f>SUM('By Neighborhood'!G226)</f>
        <v>473</v>
      </c>
      <c r="H49" s="52">
        <f>SUM('By Neighborhood'!H226)</f>
        <v>479</v>
      </c>
      <c r="I49" s="52">
        <f>SUM('By Neighborhood'!I226)</f>
        <v>455</v>
      </c>
      <c r="J49" s="52">
        <f>SUM('By Neighborhood'!J226)</f>
        <v>446</v>
      </c>
      <c r="K49" s="52">
        <f>SUM('By Neighborhood'!K226)</f>
        <v>505</v>
      </c>
      <c r="L49" s="52">
        <f>SUM('By Neighborhood'!L226)</f>
        <v>626</v>
      </c>
      <c r="M49" s="87">
        <f>SUM('By Neighborhood'!M226)</f>
        <v>731</v>
      </c>
      <c r="N49" s="52">
        <f t="shared" si="5"/>
        <v>446</v>
      </c>
      <c r="O49" s="52">
        <f t="shared" si="6"/>
        <v>781</v>
      </c>
      <c r="P49" s="54">
        <f t="shared" si="7"/>
        <v>0.63651181744091279</v>
      </c>
      <c r="Q49" s="2"/>
    </row>
    <row r="50" spans="1:17" ht="11.25" customHeight="1">
      <c r="A50" s="19" t="s">
        <v>47</v>
      </c>
      <c r="B50" s="28" t="s">
        <v>27</v>
      </c>
      <c r="C50" s="28"/>
      <c r="D50" s="55"/>
      <c r="E50" s="55"/>
      <c r="F50" s="55"/>
      <c r="G50" s="55"/>
      <c r="H50" s="55"/>
      <c r="I50" s="55"/>
      <c r="J50" s="55"/>
      <c r="K50" s="55"/>
      <c r="L50" s="55"/>
      <c r="M50" s="88"/>
      <c r="N50" s="55"/>
      <c r="O50" s="55"/>
      <c r="P50" s="56"/>
      <c r="Q50" s="2"/>
    </row>
    <row r="51" spans="1:17" ht="11.25" customHeight="1">
      <c r="A51" s="57"/>
      <c r="B51" s="28" t="s">
        <v>31</v>
      </c>
      <c r="C51" s="51">
        <f>SUM('By Neighborhood'!C228)</f>
        <v>365</v>
      </c>
      <c r="D51" s="52">
        <f>SUM('By Neighborhood'!D228)</f>
        <v>206</v>
      </c>
      <c r="E51" s="52">
        <f>SUM('By Neighborhood'!E228)</f>
        <v>174</v>
      </c>
      <c r="F51" s="52">
        <f>SUM('By Neighborhood'!F228)</f>
        <v>164</v>
      </c>
      <c r="G51" s="52">
        <f>SUM('By Neighborhood'!G228)</f>
        <v>159</v>
      </c>
      <c r="H51" s="52">
        <f>SUM('By Neighborhood'!H228)</f>
        <v>163</v>
      </c>
      <c r="I51" s="52">
        <f>SUM('By Neighborhood'!I228)</f>
        <v>170</v>
      </c>
      <c r="J51" s="52">
        <f>SUM('By Neighborhood'!J228)</f>
        <v>173</v>
      </c>
      <c r="K51" s="52">
        <f>SUM('By Neighborhood'!K228)</f>
        <v>180</v>
      </c>
      <c r="L51" s="52">
        <f>SUM('By Neighborhood'!L228)</f>
        <v>195</v>
      </c>
      <c r="M51" s="87">
        <f>SUM('By Neighborhood'!M228)</f>
        <v>205</v>
      </c>
      <c r="N51" s="52">
        <f t="shared" ref="N51:N58" si="9">MIN(D51:M51)</f>
        <v>159</v>
      </c>
      <c r="O51" s="52">
        <f t="shared" ref="O51:O58" si="10">C51-N51</f>
        <v>206</v>
      </c>
      <c r="P51" s="54">
        <f t="shared" ref="P51:P58" si="11">O51/C51</f>
        <v>0.56438356164383563</v>
      </c>
      <c r="Q51" s="2"/>
    </row>
    <row r="52" spans="1:17" ht="11.25" customHeight="1">
      <c r="A52" s="57"/>
      <c r="B52" s="28" t="s">
        <v>32</v>
      </c>
      <c r="C52" s="51">
        <f>SUM('By Neighborhood'!C229)</f>
        <v>98</v>
      </c>
      <c r="D52" s="52">
        <f>SUM('By Neighborhood'!D229)</f>
        <v>82</v>
      </c>
      <c r="E52" s="52">
        <f>SUM('By Neighborhood'!E229)</f>
        <v>73</v>
      </c>
      <c r="F52" s="52">
        <f>SUM('By Neighborhood'!F229)</f>
        <v>72</v>
      </c>
      <c r="G52" s="52">
        <f>SUM('By Neighborhood'!G229)</f>
        <v>69</v>
      </c>
      <c r="H52" s="52">
        <f>SUM('By Neighborhood'!H229)</f>
        <v>67</v>
      </c>
      <c r="I52" s="52">
        <f>SUM('By Neighborhood'!I229)</f>
        <v>69</v>
      </c>
      <c r="J52" s="52">
        <f>SUM('By Neighborhood'!J229)</f>
        <v>63</v>
      </c>
      <c r="K52" s="52">
        <f>SUM('By Neighborhood'!K229)</f>
        <v>62</v>
      </c>
      <c r="L52" s="52">
        <f>SUM('By Neighborhood'!L229)</f>
        <v>64</v>
      </c>
      <c r="M52" s="87">
        <f>SUM('By Neighborhood'!M229)</f>
        <v>65</v>
      </c>
      <c r="N52" s="52">
        <f t="shared" si="9"/>
        <v>62</v>
      </c>
      <c r="O52" s="52">
        <f t="shared" si="10"/>
        <v>36</v>
      </c>
      <c r="P52" s="54">
        <f t="shared" si="11"/>
        <v>0.36734693877551022</v>
      </c>
      <c r="Q52" s="2"/>
    </row>
    <row r="53" spans="1:17" ht="11.25" customHeight="1">
      <c r="A53" s="57"/>
      <c r="B53" s="28" t="s">
        <v>33</v>
      </c>
      <c r="C53" s="51">
        <f>SUM('By Neighborhood'!C230)</f>
        <v>120</v>
      </c>
      <c r="D53" s="52">
        <f>SUM('By Neighborhood'!D230)</f>
        <v>86</v>
      </c>
      <c r="E53" s="52">
        <f>SUM('By Neighborhood'!E230)</f>
        <v>75</v>
      </c>
      <c r="F53" s="52">
        <f>SUM('By Neighborhood'!F230)</f>
        <v>70</v>
      </c>
      <c r="G53" s="52">
        <f>SUM('By Neighborhood'!G230)</f>
        <v>67</v>
      </c>
      <c r="H53" s="52">
        <f>SUM('By Neighborhood'!H230)</f>
        <v>71</v>
      </c>
      <c r="I53" s="52">
        <f>SUM('By Neighborhood'!I230)</f>
        <v>75</v>
      </c>
      <c r="J53" s="52">
        <f>SUM('By Neighborhood'!J230)</f>
        <v>76</v>
      </c>
      <c r="K53" s="52">
        <f>SUM('By Neighborhood'!K230)</f>
        <v>78</v>
      </c>
      <c r="L53" s="52">
        <f>SUM('By Neighborhood'!L230)</f>
        <v>84</v>
      </c>
      <c r="M53" s="87">
        <f>SUM('By Neighborhood'!M230)</f>
        <v>82</v>
      </c>
      <c r="N53" s="52">
        <f t="shared" si="9"/>
        <v>67</v>
      </c>
      <c r="O53" s="52">
        <f t="shared" si="10"/>
        <v>53</v>
      </c>
      <c r="P53" s="54">
        <f t="shared" si="11"/>
        <v>0.44166666666666665</v>
      </c>
      <c r="Q53" s="2"/>
    </row>
    <row r="54" spans="1:17" ht="11.25" customHeight="1">
      <c r="A54" s="19"/>
      <c r="B54" s="28" t="s">
        <v>34</v>
      </c>
      <c r="C54" s="51">
        <f>SUM('By Neighborhood'!C231)</f>
        <v>54</v>
      </c>
      <c r="D54" s="52">
        <f>SUM('By Neighborhood'!D231)</f>
        <v>14</v>
      </c>
      <c r="E54" s="52">
        <f>SUM('By Neighborhood'!E231)</f>
        <v>13</v>
      </c>
      <c r="F54" s="52">
        <f>SUM('By Neighborhood'!F231)</f>
        <v>13</v>
      </c>
      <c r="G54" s="52">
        <f>SUM('By Neighborhood'!G231)</f>
        <v>13</v>
      </c>
      <c r="H54" s="52">
        <f>SUM('By Neighborhood'!H231)</f>
        <v>14</v>
      </c>
      <c r="I54" s="52">
        <f>SUM('By Neighborhood'!I231)</f>
        <v>14</v>
      </c>
      <c r="J54" s="52">
        <f>SUM('By Neighborhood'!J231)</f>
        <v>13</v>
      </c>
      <c r="K54" s="52">
        <f>SUM('By Neighborhood'!K231)</f>
        <v>11</v>
      </c>
      <c r="L54" s="52">
        <f>SUM('By Neighborhood'!L231)</f>
        <v>22</v>
      </c>
      <c r="M54" s="87">
        <f>SUM('By Neighborhood'!M231)</f>
        <v>24</v>
      </c>
      <c r="N54" s="52">
        <f t="shared" si="9"/>
        <v>11</v>
      </c>
      <c r="O54" s="52">
        <f t="shared" si="10"/>
        <v>43</v>
      </c>
      <c r="P54" s="54">
        <f t="shared" si="11"/>
        <v>0.79629629629629628</v>
      </c>
      <c r="Q54" s="2"/>
    </row>
    <row r="55" spans="1:17" ht="11.25" customHeight="1">
      <c r="A55" s="19"/>
      <c r="B55" s="28" t="s">
        <v>35</v>
      </c>
      <c r="C55" s="51">
        <f>SUM('By Neighborhood'!C232)</f>
        <v>15</v>
      </c>
      <c r="D55" s="52">
        <f>SUM('By Neighborhood'!D232)</f>
        <v>3</v>
      </c>
      <c r="E55" s="52">
        <f>SUM('By Neighborhood'!E232)</f>
        <v>1</v>
      </c>
      <c r="F55" s="52">
        <f>SUM('By Neighborhood'!F232)</f>
        <v>3</v>
      </c>
      <c r="G55" s="52">
        <f>SUM('By Neighborhood'!G232)</f>
        <v>3</v>
      </c>
      <c r="H55" s="52">
        <f>SUM('By Neighborhood'!H232)</f>
        <v>3</v>
      </c>
      <c r="I55" s="52">
        <f>SUM('By Neighborhood'!I232)</f>
        <v>4</v>
      </c>
      <c r="J55" s="52">
        <f>SUM('By Neighborhood'!J232)</f>
        <v>4</v>
      </c>
      <c r="K55" s="52">
        <f>SUM('By Neighborhood'!K232)</f>
        <v>4</v>
      </c>
      <c r="L55" s="52">
        <f>SUM('By Neighborhood'!L232)</f>
        <v>5</v>
      </c>
      <c r="M55" s="87">
        <f>SUM('By Neighborhood'!M232)</f>
        <v>5</v>
      </c>
      <c r="N55" s="52">
        <f t="shared" si="9"/>
        <v>1</v>
      </c>
      <c r="O55" s="52">
        <f t="shared" si="10"/>
        <v>14</v>
      </c>
      <c r="P55" s="54">
        <f t="shared" si="11"/>
        <v>0.93333333333333335</v>
      </c>
      <c r="Q55" s="2"/>
    </row>
    <row r="56" spans="1:17" ht="11.25" customHeight="1">
      <c r="A56" s="19"/>
      <c r="B56" s="28" t="s">
        <v>36</v>
      </c>
      <c r="C56" s="51">
        <f>SUM('By Neighborhood'!C233)</f>
        <v>13</v>
      </c>
      <c r="D56" s="52">
        <f>SUM('By Neighborhood'!D233)</f>
        <v>0</v>
      </c>
      <c r="E56" s="52">
        <f>SUM('By Neighborhood'!E233)</f>
        <v>3</v>
      </c>
      <c r="F56" s="52">
        <f>SUM('By Neighborhood'!F233)</f>
        <v>2</v>
      </c>
      <c r="G56" s="52">
        <f>SUM('By Neighborhood'!G233)</f>
        <v>2</v>
      </c>
      <c r="H56" s="52">
        <f>SUM('By Neighborhood'!H233)</f>
        <v>2</v>
      </c>
      <c r="I56" s="52">
        <f>SUM('By Neighborhood'!I233)</f>
        <v>3</v>
      </c>
      <c r="J56" s="52">
        <f>SUM('By Neighborhood'!J233)</f>
        <v>0</v>
      </c>
      <c r="K56" s="52">
        <f>SUM('By Neighborhood'!K233)</f>
        <v>1</v>
      </c>
      <c r="L56" s="52">
        <f>SUM('By Neighborhood'!L233)</f>
        <v>0</v>
      </c>
      <c r="M56" s="87">
        <f>SUM('By Neighborhood'!M233)</f>
        <v>0</v>
      </c>
      <c r="N56" s="52">
        <f t="shared" si="9"/>
        <v>0</v>
      </c>
      <c r="O56" s="52">
        <f t="shared" si="10"/>
        <v>13</v>
      </c>
      <c r="P56" s="54">
        <f t="shared" si="11"/>
        <v>1</v>
      </c>
      <c r="Q56" s="2"/>
    </row>
    <row r="57" spans="1:17" ht="11.25" customHeight="1">
      <c r="A57" s="19"/>
      <c r="B57" s="89" t="s">
        <v>37</v>
      </c>
      <c r="C57" s="58">
        <f>SUM('By Neighborhood'!C234)</f>
        <v>13</v>
      </c>
      <c r="D57" s="52">
        <f>SUM('By Neighborhood'!D234)</f>
        <v>2</v>
      </c>
      <c r="E57" s="52">
        <f>SUM('By Neighborhood'!E234)</f>
        <v>1</v>
      </c>
      <c r="F57" s="52">
        <f>SUM('By Neighborhood'!F234)</f>
        <v>0</v>
      </c>
      <c r="G57" s="52">
        <f>SUM('By Neighborhood'!G234)</f>
        <v>2</v>
      </c>
      <c r="H57" s="52">
        <f>SUM('By Neighborhood'!H234)</f>
        <v>2</v>
      </c>
      <c r="I57" s="52">
        <f>SUM('By Neighborhood'!I234)</f>
        <v>1</v>
      </c>
      <c r="J57" s="52">
        <f>SUM('By Neighborhood'!J234)</f>
        <v>1</v>
      </c>
      <c r="K57" s="52">
        <f>SUM('By Neighborhood'!K234)</f>
        <v>0</v>
      </c>
      <c r="L57" s="52">
        <f>SUM('By Neighborhood'!L234)</f>
        <v>1</v>
      </c>
      <c r="M57" s="87">
        <f>SUM('By Neighborhood'!M234)</f>
        <v>0</v>
      </c>
      <c r="N57" s="52">
        <f t="shared" si="9"/>
        <v>0</v>
      </c>
      <c r="O57" s="52">
        <f t="shared" si="10"/>
        <v>13</v>
      </c>
      <c r="P57" s="54">
        <f t="shared" si="11"/>
        <v>1</v>
      </c>
      <c r="Q57" s="2"/>
    </row>
    <row r="58" spans="1:17" ht="11.25" customHeight="1">
      <c r="A58" s="59"/>
      <c r="B58" s="90" t="s">
        <v>38</v>
      </c>
      <c r="C58" s="61">
        <f t="shared" ref="C58:M58" si="12">SUM(C48:C57)</f>
        <v>2168</v>
      </c>
      <c r="D58" s="62">
        <f t="shared" si="12"/>
        <v>1186</v>
      </c>
      <c r="E58" s="62">
        <f t="shared" si="12"/>
        <v>923</v>
      </c>
      <c r="F58" s="62">
        <f t="shared" si="12"/>
        <v>846</v>
      </c>
      <c r="G58" s="62">
        <f t="shared" si="12"/>
        <v>829</v>
      </c>
      <c r="H58" s="62">
        <f t="shared" si="12"/>
        <v>844</v>
      </c>
      <c r="I58" s="62">
        <f t="shared" si="12"/>
        <v>850</v>
      </c>
      <c r="J58" s="62">
        <f t="shared" si="12"/>
        <v>839</v>
      </c>
      <c r="K58" s="62">
        <f t="shared" si="12"/>
        <v>898</v>
      </c>
      <c r="L58" s="62">
        <f t="shared" si="12"/>
        <v>1085</v>
      </c>
      <c r="M58" s="91">
        <f t="shared" si="12"/>
        <v>1223</v>
      </c>
      <c r="N58" s="62">
        <f t="shared" si="9"/>
        <v>829</v>
      </c>
      <c r="O58" s="62">
        <f t="shared" si="10"/>
        <v>1339</v>
      </c>
      <c r="P58" s="65">
        <f t="shared" si="11"/>
        <v>0.61761992619926198</v>
      </c>
      <c r="Q58" s="2"/>
    </row>
    <row r="59" spans="1:17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2" manualBreakCount="2">
    <brk id="34" max="16383" man="1"/>
    <brk id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zoomScaleNormal="100" workbookViewId="0">
      <pane ySplit="6" topLeftCell="A219" activePane="bottomLeft" state="frozen"/>
      <selection pane="bottomLeft" activeCell="C229" sqref="C229"/>
    </sheetView>
  </sheetViews>
  <sheetFormatPr defaultColWidth="14.453125" defaultRowHeight="15" customHeight="1"/>
  <cols>
    <col min="1" max="1" width="11.54296875" customWidth="1"/>
    <col min="2" max="2" width="12.269531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26" width="8" customWidth="1"/>
  </cols>
  <sheetData>
    <row r="1" spans="1:26" ht="14.25" customHeight="1">
      <c r="A1" s="349" t="s">
        <v>39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49" t="s">
        <v>60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351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3" t="s">
        <v>61</v>
      </c>
      <c r="B4" s="3" t="s">
        <v>2</v>
      </c>
      <c r="C4" s="3" t="s">
        <v>2</v>
      </c>
      <c r="D4" s="352" t="s">
        <v>3</v>
      </c>
      <c r="E4" s="353"/>
      <c r="F4" s="353"/>
      <c r="G4" s="353"/>
      <c r="H4" s="353"/>
      <c r="I4" s="353"/>
      <c r="J4" s="353"/>
      <c r="K4" s="353"/>
      <c r="L4" s="353"/>
      <c r="M4" s="354"/>
      <c r="N4" s="352" t="s">
        <v>4</v>
      </c>
      <c r="O4" s="353"/>
      <c r="P4" s="354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11"/>
      <c r="B6" s="11"/>
      <c r="C6" s="11"/>
      <c r="D6" s="15" t="s">
        <v>20</v>
      </c>
      <c r="E6" s="16" t="s">
        <v>20</v>
      </c>
      <c r="F6" s="16" t="s">
        <v>20</v>
      </c>
      <c r="G6" s="16" t="s">
        <v>20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7" t="s">
        <v>21</v>
      </c>
      <c r="N6" s="15" t="s">
        <v>6</v>
      </c>
      <c r="O6" s="16" t="s">
        <v>6</v>
      </c>
      <c r="P6" s="17" t="s">
        <v>18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41" t="s">
        <v>62</v>
      </c>
      <c r="B7" s="18" t="s">
        <v>23</v>
      </c>
      <c r="C7" s="18"/>
      <c r="D7" s="26"/>
      <c r="E7" s="2"/>
      <c r="F7" s="2"/>
      <c r="G7" s="2"/>
      <c r="H7" s="2"/>
      <c r="I7" s="2"/>
      <c r="J7" s="2"/>
      <c r="K7" s="2"/>
      <c r="L7" s="2"/>
      <c r="M7" s="27"/>
      <c r="N7" s="26"/>
      <c r="O7" s="2"/>
      <c r="P7" s="24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6" t="s">
        <v>63</v>
      </c>
      <c r="B8" s="18" t="s">
        <v>25</v>
      </c>
      <c r="C8" s="18"/>
      <c r="D8" s="26"/>
      <c r="E8" s="2"/>
      <c r="F8" s="2"/>
      <c r="G8" s="2"/>
      <c r="H8" s="2"/>
      <c r="I8" s="2"/>
      <c r="J8" s="2"/>
      <c r="K8" s="2"/>
      <c r="L8" s="2"/>
      <c r="M8" s="27"/>
      <c r="N8" s="26"/>
      <c r="O8" s="2"/>
      <c r="P8" s="24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6"/>
      <c r="B9" s="18" t="s">
        <v>27</v>
      </c>
      <c r="C9" s="18"/>
      <c r="D9" s="26"/>
      <c r="E9" s="2"/>
      <c r="F9" s="2"/>
      <c r="G9" s="2"/>
      <c r="H9" s="2"/>
      <c r="I9" s="2"/>
      <c r="J9" s="2"/>
      <c r="K9" s="2"/>
      <c r="L9" s="2"/>
      <c r="M9" s="27"/>
      <c r="N9" s="26"/>
      <c r="O9" s="2"/>
      <c r="P9" s="24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26"/>
      <c r="B10" s="18" t="s">
        <v>31</v>
      </c>
      <c r="C10" s="18"/>
      <c r="D10" s="26"/>
      <c r="E10" s="2"/>
      <c r="F10" s="2"/>
      <c r="G10" s="2"/>
      <c r="H10" s="2"/>
      <c r="I10" s="2"/>
      <c r="J10" s="2"/>
      <c r="K10" s="2"/>
      <c r="L10" s="2"/>
      <c r="M10" s="27"/>
      <c r="N10" s="26"/>
      <c r="O10" s="2"/>
      <c r="P10" s="24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26"/>
      <c r="B11" s="18" t="s">
        <v>32</v>
      </c>
      <c r="C11" s="18">
        <f>SUM('By Lot'!C12,'By Lot'!C29,'By Lot'!C46,'By Lot'!C63,'By Lot'!C81,'By Lot'!C98,'By Lot'!C115,'By Lot'!C133)</f>
        <v>1</v>
      </c>
      <c r="D11" s="26">
        <f>SUM('By Lot'!D12,'By Lot'!D29,'By Lot'!D46,'By Lot'!D63,'By Lot'!D81,'By Lot'!D98,'By Lot'!D115,'By Lot'!D133)</f>
        <v>1</v>
      </c>
      <c r="E11" s="2">
        <f>SUM('By Lot'!E12,'By Lot'!E29,'By Lot'!E46,'By Lot'!E63,'By Lot'!E81,'By Lot'!E98,'By Lot'!E115,'By Lot'!E133)</f>
        <v>1</v>
      </c>
      <c r="F11" s="2">
        <f>SUM('By Lot'!F12,'By Lot'!F29,'By Lot'!F46,'By Lot'!F63,'By Lot'!F81,'By Lot'!F98,'By Lot'!F115,'By Lot'!F133)</f>
        <v>1</v>
      </c>
      <c r="G11" s="2">
        <f>SUM('By Lot'!G12,'By Lot'!G29,'By Lot'!G46,'By Lot'!G63,'By Lot'!G81,'By Lot'!G98,'By Lot'!G115,'By Lot'!G133)</f>
        <v>1</v>
      </c>
      <c r="H11" s="2">
        <f>SUM('By Lot'!H12,'By Lot'!H29,'By Lot'!H46,'By Lot'!H63,'By Lot'!H81,'By Lot'!H98,'By Lot'!H115,'By Lot'!H133)</f>
        <v>1</v>
      </c>
      <c r="I11" s="2">
        <f>SUM('By Lot'!I12,'By Lot'!I29,'By Lot'!I46,'By Lot'!I63,'By Lot'!I81,'By Lot'!I98,'By Lot'!I115,'By Lot'!I133)</f>
        <v>1</v>
      </c>
      <c r="J11" s="2">
        <f>SUM('By Lot'!J12,'By Lot'!J29,'By Lot'!J46,'By Lot'!J63,'By Lot'!J81,'By Lot'!J98,'By Lot'!J115,'By Lot'!J133)</f>
        <v>0</v>
      </c>
      <c r="K11" s="2">
        <f>SUM('By Lot'!K12,'By Lot'!K29,'By Lot'!K46,'By Lot'!K63,'By Lot'!K81,'By Lot'!K98,'By Lot'!K115,'By Lot'!K133)</f>
        <v>0</v>
      </c>
      <c r="L11" s="2">
        <f>SUM('By Lot'!L12,'By Lot'!L29,'By Lot'!L46,'By Lot'!L63,'By Lot'!L81,'By Lot'!L98,'By Lot'!L115,'By Lot'!L133)</f>
        <v>0</v>
      </c>
      <c r="M11" s="27">
        <f>SUM('By Lot'!M12,'By Lot'!M29,'By Lot'!M46,'By Lot'!M63,'By Lot'!M81,'By Lot'!M98,'By Lot'!M115,'By Lot'!M133)</f>
        <v>1</v>
      </c>
      <c r="N11" s="26">
        <f t="shared" ref="N11:N17" si="0">MIN(D11:M11)</f>
        <v>0</v>
      </c>
      <c r="O11" s="2">
        <f t="shared" ref="O11:O17" si="1">C11-N11</f>
        <v>1</v>
      </c>
      <c r="P11" s="24">
        <f t="shared" ref="P11:P17" si="2">O11/C11</f>
        <v>1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26"/>
      <c r="B12" s="18" t="s">
        <v>33</v>
      </c>
      <c r="C12" s="18">
        <f>SUM('By Lot'!C13:C18,'By Lot'!C30:C35,'By Lot'!C47:C52,'By Lot'!C64:C69,'By Lot'!C82:C87,'By Lot'!C99:C104,'By Lot'!C116:C121,'By Lot'!C134:C139)</f>
        <v>166</v>
      </c>
      <c r="D12" s="26">
        <f>SUM('By Lot'!D13:D18,'By Lot'!D30:D35,'By Lot'!D47:D52,'By Lot'!D64:D69,'By Lot'!D82:D87,'By Lot'!D99:D104,'By Lot'!D116:D121,'By Lot'!D134:D139)</f>
        <v>133</v>
      </c>
      <c r="E12" s="2">
        <f>SUM('By Lot'!E13:E18,'By Lot'!E30:E35,'By Lot'!E47:E52,'By Lot'!E64:E69,'By Lot'!E82:E87,'By Lot'!E99:E104,'By Lot'!E116:E121,'By Lot'!E134:E139)</f>
        <v>126</v>
      </c>
      <c r="F12" s="2">
        <f>SUM('By Lot'!F13:F18,'By Lot'!F30:F35,'By Lot'!F47:F52,'By Lot'!F64:F69,'By Lot'!F82:F87,'By Lot'!F99:F104,'By Lot'!F116:F121,'By Lot'!F134:F139)</f>
        <v>120</v>
      </c>
      <c r="G12" s="2">
        <f>SUM('By Lot'!G13:G18,'By Lot'!G30:G35,'By Lot'!G47:G52,'By Lot'!G64:G69,'By Lot'!G82:G87,'By Lot'!G99:G104,'By Lot'!G116:G121,'By Lot'!G134:G139)</f>
        <v>114</v>
      </c>
      <c r="H12" s="2">
        <f>SUM('By Lot'!H13:H18,'By Lot'!H30:H35,'By Lot'!H47:H52,'By Lot'!H64:H69,'By Lot'!H82:H87,'By Lot'!H99:H104,'By Lot'!H116:H121,'By Lot'!H134:H139)</f>
        <v>105</v>
      </c>
      <c r="I12" s="2">
        <f>SUM('By Lot'!I13:I18,'By Lot'!I30:I35,'By Lot'!I47:I52,'By Lot'!I64:I69,'By Lot'!I82:I87,'By Lot'!I99:I104,'By Lot'!I116:I121,'By Lot'!I134:I139)</f>
        <v>118</v>
      </c>
      <c r="J12" s="2">
        <f>SUM('By Lot'!J13:J18,'By Lot'!J30:J35,'By Lot'!J47:J52,'By Lot'!J64:J69,'By Lot'!J82:J87,'By Lot'!J99:J104,'By Lot'!J116:J121,'By Lot'!J134:J139)</f>
        <v>117</v>
      </c>
      <c r="K12" s="2">
        <f>SUM('By Lot'!K13:K18,'By Lot'!K30:K35,'By Lot'!K47:K52,'By Lot'!K64:K69,'By Lot'!K82:K87,'By Lot'!K99:K104,'By Lot'!K116:K121,'By Lot'!K134:K139)</f>
        <v>121</v>
      </c>
      <c r="L12" s="2">
        <f>SUM('By Lot'!L13:L18,'By Lot'!L30:L35,'By Lot'!L47:L52,'By Lot'!L64:L69,'By Lot'!L82:L87,'By Lot'!L99:L104,'By Lot'!L116:L121,'By Lot'!L134:L139)</f>
        <v>124</v>
      </c>
      <c r="M12" s="27">
        <f>SUM('By Lot'!M13:M18,'By Lot'!M30:M35,'By Lot'!M47:M52,'By Lot'!M64:M69,'By Lot'!M82:M87,'By Lot'!M99:M104,'By Lot'!M116:M121,'By Lot'!M134:M139)</f>
        <v>126</v>
      </c>
      <c r="N12" s="26">
        <f t="shared" si="0"/>
        <v>105</v>
      </c>
      <c r="O12" s="2">
        <f t="shared" si="1"/>
        <v>61</v>
      </c>
      <c r="P12" s="24">
        <f t="shared" si="2"/>
        <v>0.36746987951807231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26"/>
      <c r="B13" s="18" t="s">
        <v>34</v>
      </c>
      <c r="C13" s="18">
        <f>SUM('By Lot'!C19,'By Lot'!C36,'By Lot'!C53,'By Lot'!C70,'By Lot'!C88,'By Lot'!C105,'By Lot'!C122,'By Lot'!C140)</f>
        <v>8</v>
      </c>
      <c r="D13" s="26">
        <f>SUM('By Lot'!D19,'By Lot'!D36,'By Lot'!D53,'By Lot'!D70,'By Lot'!D88,'By Lot'!D105,'By Lot'!D122,'By Lot'!D140)</f>
        <v>6</v>
      </c>
      <c r="E13" s="2">
        <f>SUM('By Lot'!E19,'By Lot'!E36,'By Lot'!E53,'By Lot'!E70,'By Lot'!E88,'By Lot'!E105,'By Lot'!E122,'By Lot'!E140)</f>
        <v>6</v>
      </c>
      <c r="F13" s="2">
        <f>SUM('By Lot'!F19,'By Lot'!F36,'By Lot'!F53,'By Lot'!F70,'By Lot'!F88,'By Lot'!F105,'By Lot'!F122,'By Lot'!F140)</f>
        <v>6</v>
      </c>
      <c r="G13" s="2">
        <f>SUM('By Lot'!G19,'By Lot'!G36,'By Lot'!G53,'By Lot'!G70,'By Lot'!G88,'By Lot'!G105,'By Lot'!G122,'By Lot'!G140)</f>
        <v>5</v>
      </c>
      <c r="H13" s="2">
        <f>SUM('By Lot'!H19,'By Lot'!H36,'By Lot'!H53,'By Lot'!H70,'By Lot'!H88,'By Lot'!H105,'By Lot'!H122,'By Lot'!H140)</f>
        <v>5</v>
      </c>
      <c r="I13" s="2">
        <f>SUM('By Lot'!I19,'By Lot'!I36,'By Lot'!I53,'By Lot'!I70,'By Lot'!I88,'By Lot'!I105,'By Lot'!I122,'By Lot'!I140)</f>
        <v>4</v>
      </c>
      <c r="J13" s="2">
        <f>SUM('By Lot'!J19,'By Lot'!J36,'By Lot'!J53,'By Lot'!J70,'By Lot'!J88,'By Lot'!J105,'By Lot'!J122,'By Lot'!J140)</f>
        <v>6</v>
      </c>
      <c r="K13" s="2">
        <f>SUM('By Lot'!K19,'By Lot'!K36,'By Lot'!K53,'By Lot'!K70,'By Lot'!K88,'By Lot'!K105,'By Lot'!K122,'By Lot'!K140)</f>
        <v>8</v>
      </c>
      <c r="L13" s="2">
        <f>SUM('By Lot'!L19,'By Lot'!L36,'By Lot'!L53,'By Lot'!L70,'By Lot'!L88,'By Lot'!L105,'By Lot'!L122,'By Lot'!L140)</f>
        <v>8</v>
      </c>
      <c r="M13" s="27">
        <f>SUM('By Lot'!M19,'By Lot'!M36,'By Lot'!M53,'By Lot'!M70,'By Lot'!M88,'By Lot'!M105,'By Lot'!M122,'By Lot'!M140)</f>
        <v>6</v>
      </c>
      <c r="N13" s="26">
        <f t="shared" si="0"/>
        <v>4</v>
      </c>
      <c r="O13" s="2">
        <f t="shared" si="1"/>
        <v>4</v>
      </c>
      <c r="P13" s="24">
        <f t="shared" si="2"/>
        <v>0.5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26"/>
      <c r="B14" s="18" t="s">
        <v>35</v>
      </c>
      <c r="C14" s="18">
        <f>SUM('By Lot'!C20,'By Lot'!C37,'By Lot'!C54,'By Lot'!C71,'By Lot'!C89,'By Lot'!C106,'By Lot'!C123,'By Lot'!C141)</f>
        <v>7</v>
      </c>
      <c r="D14" s="26">
        <f>SUM('By Lot'!D20,'By Lot'!D37,'By Lot'!D54,'By Lot'!D71,'By Lot'!D89,'By Lot'!D106,'By Lot'!D123,'By Lot'!D141)</f>
        <v>1</v>
      </c>
      <c r="E14" s="2">
        <f>SUM('By Lot'!E20,'By Lot'!E37,'By Lot'!E54,'By Lot'!E71,'By Lot'!E89,'By Lot'!E106,'By Lot'!E123,'By Lot'!E141)</f>
        <v>1</v>
      </c>
      <c r="F14" s="2">
        <f>SUM('By Lot'!F20,'By Lot'!F37,'By Lot'!F54,'By Lot'!F71,'By Lot'!F89,'By Lot'!F106,'By Lot'!F123,'By Lot'!F141)</f>
        <v>0</v>
      </c>
      <c r="G14" s="2">
        <f>SUM('By Lot'!G20,'By Lot'!G37,'By Lot'!G54,'By Lot'!G71,'By Lot'!G89,'By Lot'!G106,'By Lot'!G123,'By Lot'!G141)</f>
        <v>0</v>
      </c>
      <c r="H14" s="2">
        <f>SUM('By Lot'!H20,'By Lot'!H37,'By Lot'!H54,'By Lot'!H71,'By Lot'!H89,'By Lot'!H106,'By Lot'!H123,'By Lot'!H141)</f>
        <v>0</v>
      </c>
      <c r="I14" s="2">
        <f>SUM('By Lot'!I20,'By Lot'!I37,'By Lot'!I54,'By Lot'!I71,'By Lot'!I89,'By Lot'!I106,'By Lot'!I123,'By Lot'!I141)</f>
        <v>2</v>
      </c>
      <c r="J14" s="2">
        <f>SUM('By Lot'!J20,'By Lot'!J37,'By Lot'!J54,'By Lot'!J71,'By Lot'!J89,'By Lot'!J106,'By Lot'!J123,'By Lot'!J141)</f>
        <v>1</v>
      </c>
      <c r="K14" s="2">
        <f>SUM('By Lot'!K20,'By Lot'!K37,'By Lot'!K54,'By Lot'!K71,'By Lot'!K89,'By Lot'!K106,'By Lot'!K123,'By Lot'!K141)</f>
        <v>2</v>
      </c>
      <c r="L14" s="2">
        <f>SUM('By Lot'!L20,'By Lot'!L37,'By Lot'!L54,'By Lot'!L71,'By Lot'!L89,'By Lot'!L106,'By Lot'!L123,'By Lot'!L141)</f>
        <v>2</v>
      </c>
      <c r="M14" s="27">
        <f>SUM('By Lot'!M20,'By Lot'!M37,'By Lot'!M54,'By Lot'!M71,'By Lot'!M89,'By Lot'!M106,'By Lot'!M123,'By Lot'!M141)</f>
        <v>2</v>
      </c>
      <c r="N14" s="26">
        <f t="shared" si="0"/>
        <v>0</v>
      </c>
      <c r="O14" s="2">
        <f t="shared" si="1"/>
        <v>7</v>
      </c>
      <c r="P14" s="24">
        <f t="shared" si="2"/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26"/>
      <c r="B15" s="18" t="s">
        <v>36</v>
      </c>
      <c r="C15" s="18">
        <f>SUM('By Lot'!C21,'By Lot'!C38,'By Lot'!C55,'By Lot'!C72,'By Lot'!C90,'By Lot'!C107,'By Lot'!C124,'By Lot'!C142)</f>
        <v>1</v>
      </c>
      <c r="D15" s="26">
        <f>SUM('By Lot'!D21,'By Lot'!D38,'By Lot'!D55,'By Lot'!D72,'By Lot'!D90,'By Lot'!D107,'By Lot'!D124,'By Lot'!D142)</f>
        <v>1</v>
      </c>
      <c r="E15" s="2">
        <f>SUM('By Lot'!E21,'By Lot'!E38,'By Lot'!E55,'By Lot'!E72,'By Lot'!E90,'By Lot'!E107,'By Lot'!E124,'By Lot'!E142)</f>
        <v>1</v>
      </c>
      <c r="F15" s="2">
        <f>SUM('By Lot'!F21,'By Lot'!F38,'By Lot'!F55,'By Lot'!F72,'By Lot'!F90,'By Lot'!F107,'By Lot'!F124,'By Lot'!F142)</f>
        <v>0</v>
      </c>
      <c r="G15" s="2">
        <f>SUM('By Lot'!G21,'By Lot'!G38,'By Lot'!G55,'By Lot'!G72,'By Lot'!G90,'By Lot'!G107,'By Lot'!G124,'By Lot'!G142)</f>
        <v>0</v>
      </c>
      <c r="H15" s="2">
        <f>SUM('By Lot'!H21,'By Lot'!H38,'By Lot'!H55,'By Lot'!H72,'By Lot'!H90,'By Lot'!H107,'By Lot'!H124,'By Lot'!H142)</f>
        <v>0</v>
      </c>
      <c r="I15" s="2">
        <f>SUM('By Lot'!I21,'By Lot'!I38,'By Lot'!I55,'By Lot'!I72,'By Lot'!I90,'By Lot'!I107,'By Lot'!I124,'By Lot'!I142)</f>
        <v>1</v>
      </c>
      <c r="J15" s="2">
        <f>SUM('By Lot'!J21,'By Lot'!J38,'By Lot'!J55,'By Lot'!J72,'By Lot'!J90,'By Lot'!J107,'By Lot'!J124,'By Lot'!J142)</f>
        <v>1</v>
      </c>
      <c r="K15" s="2">
        <f>SUM('By Lot'!K21,'By Lot'!K38,'By Lot'!K55,'By Lot'!K72,'By Lot'!K90,'By Lot'!K107,'By Lot'!K124,'By Lot'!K142)</f>
        <v>0</v>
      </c>
      <c r="L15" s="2">
        <f>SUM('By Lot'!L21,'By Lot'!L38,'By Lot'!L55,'By Lot'!L72,'By Lot'!L90,'By Lot'!L107,'By Lot'!L124,'By Lot'!L142)</f>
        <v>0</v>
      </c>
      <c r="M15" s="27">
        <f>SUM('By Lot'!M21,'By Lot'!M38,'By Lot'!M55,'By Lot'!M72,'By Lot'!M90,'By Lot'!M107,'By Lot'!M124,'By Lot'!M142)</f>
        <v>0</v>
      </c>
      <c r="N15" s="26">
        <f t="shared" si="0"/>
        <v>0</v>
      </c>
      <c r="O15" s="2">
        <f t="shared" si="1"/>
        <v>1</v>
      </c>
      <c r="P15" s="24">
        <f t="shared" si="2"/>
        <v>1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26"/>
      <c r="B16" s="26" t="s">
        <v>37</v>
      </c>
      <c r="C16" s="42">
        <f>SUM('By Lot'!C22,'By Lot'!C39,'By Lot'!C56,'By Lot'!C73:C74,'By Lot'!C91,'By Lot'!C108,'By Lot'!C125,'By Lot'!C143)</f>
        <v>10</v>
      </c>
      <c r="D16" s="42">
        <f>SUM('By Lot'!D22,'By Lot'!D39,'By Lot'!D56,'By Lot'!D73:D74,'By Lot'!D91,'By Lot'!D108,'By Lot'!D125,'By Lot'!D143)</f>
        <v>4</v>
      </c>
      <c r="E16" s="80">
        <f>SUM('By Lot'!E22,'By Lot'!E39,'By Lot'!E56,'By Lot'!E73:E74,'By Lot'!E91,'By Lot'!E108,'By Lot'!E125,'By Lot'!E143)</f>
        <v>6</v>
      </c>
      <c r="F16" s="80">
        <f>SUM('By Lot'!F22,'By Lot'!F39,'By Lot'!F56,'By Lot'!F73:F74,'By Lot'!F91,'By Lot'!F108,'By Lot'!F125,'By Lot'!F143)</f>
        <v>4</v>
      </c>
      <c r="G16" s="80">
        <f>SUM('By Lot'!G22,'By Lot'!G39,'By Lot'!G56,'By Lot'!G73:G74,'By Lot'!G91,'By Lot'!G108,'By Lot'!G125,'By Lot'!G143)</f>
        <v>5</v>
      </c>
      <c r="H16" s="80">
        <f>SUM('By Lot'!H22,'By Lot'!H39,'By Lot'!H56,'By Lot'!H73:H74,'By Lot'!H91,'By Lot'!H108,'By Lot'!H125,'By Lot'!H143)</f>
        <v>5</v>
      </c>
      <c r="I16" s="80">
        <f>SUM('By Lot'!I22,'By Lot'!I39,'By Lot'!I56,'By Lot'!I73:I74,'By Lot'!I91,'By Lot'!I108,'By Lot'!I125,'By Lot'!I143)</f>
        <v>4</v>
      </c>
      <c r="J16" s="80">
        <f>SUM('By Lot'!J22,'By Lot'!J39,'By Lot'!J56,'By Lot'!J73:J74,'By Lot'!J91,'By Lot'!J108,'By Lot'!J125,'By Lot'!J143)</f>
        <v>4</v>
      </c>
      <c r="K16" s="80">
        <f>SUM('By Lot'!K22,'By Lot'!K39,'By Lot'!K56,'By Lot'!K73:K74,'By Lot'!K91,'By Lot'!K108,'By Lot'!K125,'By Lot'!K143)</f>
        <v>2</v>
      </c>
      <c r="L16" s="80">
        <f>SUM('By Lot'!L22,'By Lot'!L39,'By Lot'!L56,'By Lot'!L73:L74,'By Lot'!L91,'By Lot'!L108,'By Lot'!L125,'By Lot'!L143)</f>
        <v>4</v>
      </c>
      <c r="M16" s="81">
        <f>SUM('By Lot'!M22,'By Lot'!M39,'By Lot'!M56,'By Lot'!M73:M74,'By Lot'!M91,'By Lot'!M108,'By Lot'!M125,'By Lot'!M143)</f>
        <v>3</v>
      </c>
      <c r="N16" s="2">
        <f t="shared" si="0"/>
        <v>2</v>
      </c>
      <c r="O16" s="2">
        <f t="shared" si="1"/>
        <v>8</v>
      </c>
      <c r="P16" s="24">
        <f t="shared" si="2"/>
        <v>0.8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42"/>
      <c r="B17" s="33" t="s">
        <v>38</v>
      </c>
      <c r="C17" s="92">
        <f t="shared" ref="C17:M17" si="3">SUM(C7:C16)</f>
        <v>193</v>
      </c>
      <c r="D17" s="82">
        <f t="shared" si="3"/>
        <v>146</v>
      </c>
      <c r="E17" s="83">
        <f t="shared" si="3"/>
        <v>141</v>
      </c>
      <c r="F17" s="83">
        <f t="shared" si="3"/>
        <v>131</v>
      </c>
      <c r="G17" s="83">
        <f t="shared" si="3"/>
        <v>125</v>
      </c>
      <c r="H17" s="83">
        <f t="shared" si="3"/>
        <v>116</v>
      </c>
      <c r="I17" s="83">
        <f t="shared" si="3"/>
        <v>130</v>
      </c>
      <c r="J17" s="83">
        <f t="shared" si="3"/>
        <v>129</v>
      </c>
      <c r="K17" s="83">
        <f t="shared" si="3"/>
        <v>133</v>
      </c>
      <c r="L17" s="83">
        <f t="shared" si="3"/>
        <v>138</v>
      </c>
      <c r="M17" s="84">
        <f t="shared" si="3"/>
        <v>138</v>
      </c>
      <c r="N17" s="70">
        <f t="shared" si="0"/>
        <v>116</v>
      </c>
      <c r="O17" s="71">
        <f t="shared" si="1"/>
        <v>77</v>
      </c>
      <c r="P17" s="40">
        <f t="shared" si="2"/>
        <v>0.39896373056994816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66" t="s">
        <v>62</v>
      </c>
      <c r="B18" s="18" t="s">
        <v>23</v>
      </c>
      <c r="C18" s="18"/>
      <c r="D18" s="26"/>
      <c r="E18" s="2"/>
      <c r="F18" s="2"/>
      <c r="G18" s="2"/>
      <c r="H18" s="2"/>
      <c r="I18" s="2"/>
      <c r="J18" s="2"/>
      <c r="K18" s="2"/>
      <c r="L18" s="2"/>
      <c r="M18" s="27"/>
      <c r="N18" s="26"/>
      <c r="O18" s="2"/>
      <c r="P18" s="24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 t="s">
        <v>53</v>
      </c>
      <c r="B19" s="18" t="s">
        <v>25</v>
      </c>
      <c r="C19" s="18">
        <f>SUM('By Lot'!C163,'By Lot'!C180,'By Lot'!C197,'By Lot'!C214)</f>
        <v>40</v>
      </c>
      <c r="D19" s="26">
        <f>SUM('By Lot'!D163,'By Lot'!D180,'By Lot'!D197,'By Lot'!D214)</f>
        <v>31</v>
      </c>
      <c r="E19" s="2">
        <f>SUM('By Lot'!E163,'By Lot'!E180,'By Lot'!E197,'By Lot'!E214)</f>
        <v>31</v>
      </c>
      <c r="F19" s="2">
        <f>SUM('By Lot'!F163,'By Lot'!F180,'By Lot'!F197,'By Lot'!F214)</f>
        <v>30</v>
      </c>
      <c r="G19" s="2">
        <f>SUM('By Lot'!G163,'By Lot'!G180,'By Lot'!G197,'By Lot'!G214)</f>
        <v>29</v>
      </c>
      <c r="H19" s="2">
        <f>SUM('By Lot'!H163,'By Lot'!H180,'By Lot'!H197,'By Lot'!H214)</f>
        <v>26</v>
      </c>
      <c r="I19" s="2">
        <f>SUM('By Lot'!I163,'By Lot'!I180,'By Lot'!I197,'By Lot'!I214)</f>
        <v>25</v>
      </c>
      <c r="J19" s="2">
        <f>SUM('By Lot'!J163,'By Lot'!J180,'By Lot'!J197,'By Lot'!J214)</f>
        <v>26</v>
      </c>
      <c r="K19" s="2">
        <f>SUM('By Lot'!K163,'By Lot'!K180,'By Lot'!K197,'By Lot'!K214)</f>
        <v>26</v>
      </c>
      <c r="L19" s="2">
        <f>SUM('By Lot'!L163,'By Lot'!L180,'By Lot'!L197,'By Lot'!L214)</f>
        <v>27</v>
      </c>
      <c r="M19" s="27">
        <f>SUM('By Lot'!M163,'By Lot'!M180,'By Lot'!M197,'By Lot'!M214)</f>
        <v>30</v>
      </c>
      <c r="N19" s="26">
        <f>MIN(D19:M19)</f>
        <v>25</v>
      </c>
      <c r="O19" s="2">
        <f>C19-N19</f>
        <v>15</v>
      </c>
      <c r="P19" s="24">
        <f>O19/C19</f>
        <v>0.375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/>
      <c r="B20" s="18" t="s">
        <v>27</v>
      </c>
      <c r="C20" s="18"/>
      <c r="D20" s="26"/>
      <c r="E20" s="2"/>
      <c r="F20" s="2"/>
      <c r="G20" s="2"/>
      <c r="H20" s="2"/>
      <c r="I20" s="2"/>
      <c r="J20" s="2"/>
      <c r="K20" s="2"/>
      <c r="L20" s="2"/>
      <c r="M20" s="27"/>
      <c r="N20" s="26"/>
      <c r="O20" s="2"/>
      <c r="P20" s="24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18"/>
      <c r="B21" s="18" t="s">
        <v>31</v>
      </c>
      <c r="C21" s="18"/>
      <c r="D21" s="26"/>
      <c r="E21" s="2"/>
      <c r="F21" s="2"/>
      <c r="G21" s="2"/>
      <c r="H21" s="2"/>
      <c r="I21" s="2"/>
      <c r="J21" s="2"/>
      <c r="K21" s="2"/>
      <c r="L21" s="2"/>
      <c r="M21" s="27"/>
      <c r="N21" s="26"/>
      <c r="O21" s="2"/>
      <c r="P21" s="24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18"/>
      <c r="B22" s="18" t="s">
        <v>32</v>
      </c>
      <c r="C22" s="18"/>
      <c r="D22" s="26"/>
      <c r="E22" s="2"/>
      <c r="F22" s="2"/>
      <c r="G22" s="2"/>
      <c r="H22" s="2"/>
      <c r="I22" s="2"/>
      <c r="J22" s="2"/>
      <c r="K22" s="2"/>
      <c r="L22" s="2"/>
      <c r="M22" s="27"/>
      <c r="N22" s="26"/>
      <c r="O22" s="2"/>
      <c r="P22" s="24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18"/>
      <c r="B23" s="18" t="s">
        <v>33</v>
      </c>
      <c r="C23" s="18">
        <f>SUM('By Lot'!C168:C173,'By Lot'!C185:C190,'By Lot'!C202:C207,'By Lot'!C219:C224)</f>
        <v>26</v>
      </c>
      <c r="D23" s="26">
        <f>SUM('By Lot'!D168:D173,'By Lot'!D185:D190,'By Lot'!D202:D207,'By Lot'!D219:D224)</f>
        <v>22</v>
      </c>
      <c r="E23" s="2">
        <f>SUM('By Lot'!E168:E173,'By Lot'!E185:E190,'By Lot'!E202:E207,'By Lot'!E219:E224)</f>
        <v>22</v>
      </c>
      <c r="F23" s="2">
        <f>SUM('By Lot'!F168:F173,'By Lot'!F185:F190,'By Lot'!F202:F207,'By Lot'!F219:F224)</f>
        <v>18</v>
      </c>
      <c r="G23" s="2">
        <f>SUM('By Lot'!G168:G173,'By Lot'!G185:G190,'By Lot'!G202:G207,'By Lot'!G219:G224)</f>
        <v>19</v>
      </c>
      <c r="H23" s="2">
        <f>SUM('By Lot'!H168:H173,'By Lot'!H185:H190,'By Lot'!H202:H207,'By Lot'!H219:H224)</f>
        <v>19</v>
      </c>
      <c r="I23" s="23">
        <f>SUM('By Lot'!I168:I173,'By Lot'!I185:I190,'By Lot'!I202:I207,'By Lot'!I219:I224)</f>
        <v>17</v>
      </c>
      <c r="J23" s="23">
        <f>SUM('By Lot'!J168:J173,'By Lot'!J185:J190,'By Lot'!J202:J207,'By Lot'!J219:J224)</f>
        <v>17</v>
      </c>
      <c r="K23" s="23">
        <f>SUM('By Lot'!K168:K173,'By Lot'!K185:K190,'By Lot'!K202:K207,'By Lot'!K219:K224)</f>
        <v>15</v>
      </c>
      <c r="L23" s="23">
        <f>SUM('By Lot'!L168:L173,'By Lot'!L185:L190,'By Lot'!L202:L207,'By Lot'!L219:L224)</f>
        <v>16</v>
      </c>
      <c r="M23" s="25">
        <f>SUM('By Lot'!M168:M173,'By Lot'!M185:M190,'By Lot'!M202:M207,'By Lot'!M219:M224)</f>
        <v>16</v>
      </c>
      <c r="N23" s="26">
        <f t="shared" ref="N23:N24" si="4">MIN(D23:M23)</f>
        <v>15</v>
      </c>
      <c r="O23" s="2">
        <f t="shared" ref="O23:O24" si="5">C23-N23</f>
        <v>11</v>
      </c>
      <c r="P23" s="24">
        <f t="shared" ref="P23:P24" si="6">O23/C23</f>
        <v>0.42307692307692307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18"/>
      <c r="B24" s="18" t="s">
        <v>34</v>
      </c>
      <c r="C24" s="18">
        <f>SUM('By Lot'!C174,'By Lot'!C191,'By Lot'!C208,'By Lot'!C225)</f>
        <v>5</v>
      </c>
      <c r="D24" s="26">
        <f>SUM('By Lot'!D174,'By Lot'!D191,'By Lot'!D208,'By Lot'!D225)</f>
        <v>5</v>
      </c>
      <c r="E24" s="2">
        <f>SUM('By Lot'!E174,'By Lot'!E191,'By Lot'!E208,'By Lot'!E225)</f>
        <v>4</v>
      </c>
      <c r="F24" s="2">
        <f>SUM('By Lot'!F174,'By Lot'!F191,'By Lot'!F208,'By Lot'!F225)</f>
        <v>4</v>
      </c>
      <c r="G24" s="2">
        <f>SUM('By Lot'!G174,'By Lot'!G191,'By Lot'!G208,'By Lot'!G225)</f>
        <v>4</v>
      </c>
      <c r="H24" s="2">
        <f>SUM('By Lot'!H174,'By Lot'!H191,'By Lot'!H208,'By Lot'!H225)</f>
        <v>4</v>
      </c>
      <c r="I24" s="23">
        <f>SUM('By Lot'!I174,'By Lot'!I191,'By Lot'!I208,'By Lot'!I225)</f>
        <v>4</v>
      </c>
      <c r="J24" s="23">
        <f>SUM('By Lot'!J174,'By Lot'!J191,'By Lot'!J208,'By Lot'!J225)</f>
        <v>4</v>
      </c>
      <c r="K24" s="23">
        <f>SUM('By Lot'!K174,'By Lot'!K191,'By Lot'!K208,'By Lot'!K225)</f>
        <v>5</v>
      </c>
      <c r="L24" s="23">
        <f>SUM('By Lot'!L174,'By Lot'!L191,'By Lot'!L208,'By Lot'!L225)</f>
        <v>5</v>
      </c>
      <c r="M24" s="25">
        <f>SUM('By Lot'!M174,'By Lot'!M191,'By Lot'!M208,'By Lot'!M225)</f>
        <v>4</v>
      </c>
      <c r="N24" s="26">
        <f t="shared" si="4"/>
        <v>4</v>
      </c>
      <c r="O24" s="2">
        <f t="shared" si="5"/>
        <v>1</v>
      </c>
      <c r="P24" s="24">
        <f t="shared" si="6"/>
        <v>0.2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18"/>
      <c r="B25" s="18" t="s">
        <v>35</v>
      </c>
      <c r="C25" s="18"/>
      <c r="D25" s="26"/>
      <c r="E25" s="2"/>
      <c r="F25" s="2"/>
      <c r="G25" s="2"/>
      <c r="H25" s="2"/>
      <c r="I25" s="2"/>
      <c r="J25" s="2"/>
      <c r="K25" s="2"/>
      <c r="L25" s="2"/>
      <c r="M25" s="27"/>
      <c r="N25" s="26"/>
      <c r="O25" s="2"/>
      <c r="P25" s="24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18"/>
      <c r="B26" s="18" t="s">
        <v>36</v>
      </c>
      <c r="C26" s="18">
        <f>SUM('By Lot'!C159,'By Lot'!C176,'By Lot'!C193,'By Lot'!C210,'By Lot'!C227)</f>
        <v>2</v>
      </c>
      <c r="D26" s="26">
        <f>SUM('By Lot'!D159,'By Lot'!D176,'By Lot'!D193,'By Lot'!D210,'By Lot'!D227)</f>
        <v>2</v>
      </c>
      <c r="E26" s="2">
        <f>SUM('By Lot'!E159,'By Lot'!E176,'By Lot'!E193,'By Lot'!E210,'By Lot'!E227)</f>
        <v>2</v>
      </c>
      <c r="F26" s="2">
        <f>SUM('By Lot'!F159,'By Lot'!F176,'By Lot'!F193,'By Lot'!F210,'By Lot'!F227)</f>
        <v>1</v>
      </c>
      <c r="G26" s="2">
        <f>SUM('By Lot'!G159,'By Lot'!G176,'By Lot'!G193,'By Lot'!G210,'By Lot'!G227)</f>
        <v>0</v>
      </c>
      <c r="H26" s="2">
        <f>SUM('By Lot'!H159,'By Lot'!H176,'By Lot'!H193,'By Lot'!H210,'By Lot'!H227)</f>
        <v>0</v>
      </c>
      <c r="I26" s="23">
        <f>SUM('By Lot'!I159,'By Lot'!I176,'By Lot'!I193,'By Lot'!I210,'By Lot'!I227)</f>
        <v>1</v>
      </c>
      <c r="J26" s="23">
        <f>SUM('By Lot'!J159,'By Lot'!J176,'By Lot'!J193,'By Lot'!J210,'By Lot'!J227)</f>
        <v>1</v>
      </c>
      <c r="K26" s="23">
        <f>SUM('By Lot'!K159,'By Lot'!K176,'By Lot'!K193,'By Lot'!K210,'By Lot'!K227)</f>
        <v>1</v>
      </c>
      <c r="L26" s="23">
        <f>SUM('By Lot'!L159,'By Lot'!L176,'By Lot'!L193,'By Lot'!L210,'By Lot'!L227)</f>
        <v>1</v>
      </c>
      <c r="M26" s="25">
        <f>SUM('By Lot'!M159,'By Lot'!M176,'By Lot'!M193,'By Lot'!M210,'By Lot'!M227)</f>
        <v>1</v>
      </c>
      <c r="N26" s="26">
        <f t="shared" ref="N26:N28" si="7">MIN(D26:M26)</f>
        <v>0</v>
      </c>
      <c r="O26" s="2">
        <f t="shared" ref="O26:O28" si="8">C26-N26</f>
        <v>2</v>
      </c>
      <c r="P26" s="24">
        <f t="shared" ref="P26:P28" si="9">O26/C26</f>
        <v>1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18"/>
      <c r="B27" s="18" t="s">
        <v>37</v>
      </c>
      <c r="C27" s="18">
        <f>SUM('By Lot'!C177,'By Lot'!C194,'By Lot'!C211,'By Lot'!C228)</f>
        <v>1</v>
      </c>
      <c r="D27" s="26">
        <f>SUM('By Lot'!D177,'By Lot'!D194,'By Lot'!D211,'By Lot'!D228)</f>
        <v>1</v>
      </c>
      <c r="E27" s="2">
        <f>SUM('By Lot'!E177,'By Lot'!E194,'By Lot'!E211,'By Lot'!E228)</f>
        <v>1</v>
      </c>
      <c r="F27" s="2">
        <f>SUM('By Lot'!F177,'By Lot'!F194,'By Lot'!F211,'By Lot'!F228)</f>
        <v>1</v>
      </c>
      <c r="G27" s="2">
        <f>SUM('By Lot'!G177,'By Lot'!G194,'By Lot'!G211,'By Lot'!G228)</f>
        <v>1</v>
      </c>
      <c r="H27" s="2">
        <f>SUM('By Lot'!H177,'By Lot'!H194,'By Lot'!H211,'By Lot'!H228)</f>
        <v>1</v>
      </c>
      <c r="I27" s="2">
        <f>SUM('By Lot'!I177,'By Lot'!I194,'By Lot'!I211,'By Lot'!I228)</f>
        <v>1</v>
      </c>
      <c r="J27" s="2">
        <f>SUM('By Lot'!J177,'By Lot'!J194,'By Lot'!J211,'By Lot'!J228)</f>
        <v>1</v>
      </c>
      <c r="K27" s="2">
        <f>SUM('By Lot'!K177,'By Lot'!K194,'By Lot'!K211,'By Lot'!K228)</f>
        <v>1</v>
      </c>
      <c r="L27" s="2">
        <f>SUM('By Lot'!L177,'By Lot'!L194,'By Lot'!L211,'By Lot'!L228)</f>
        <v>1</v>
      </c>
      <c r="M27" s="27">
        <f>SUM('By Lot'!M177,'By Lot'!M194,'By Lot'!M211,'By Lot'!M228)</f>
        <v>1</v>
      </c>
      <c r="N27" s="26">
        <f t="shared" si="7"/>
        <v>1</v>
      </c>
      <c r="O27" s="2">
        <f t="shared" si="8"/>
        <v>0</v>
      </c>
      <c r="P27" s="24">
        <f t="shared" si="9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32"/>
      <c r="B28" s="33" t="s">
        <v>38</v>
      </c>
      <c r="C28" s="33">
        <f t="shared" ref="C28:M28" si="10">SUM(C18:C27)</f>
        <v>74</v>
      </c>
      <c r="D28" s="70">
        <f t="shared" si="10"/>
        <v>61</v>
      </c>
      <c r="E28" s="71">
        <f t="shared" si="10"/>
        <v>60</v>
      </c>
      <c r="F28" s="71">
        <f t="shared" si="10"/>
        <v>54</v>
      </c>
      <c r="G28" s="71">
        <f t="shared" si="10"/>
        <v>53</v>
      </c>
      <c r="H28" s="71">
        <f t="shared" si="10"/>
        <v>50</v>
      </c>
      <c r="I28" s="71">
        <f t="shared" si="10"/>
        <v>48</v>
      </c>
      <c r="J28" s="71">
        <f t="shared" si="10"/>
        <v>49</v>
      </c>
      <c r="K28" s="71">
        <f t="shared" si="10"/>
        <v>48</v>
      </c>
      <c r="L28" s="71">
        <f t="shared" si="10"/>
        <v>50</v>
      </c>
      <c r="M28" s="93">
        <f t="shared" si="10"/>
        <v>52</v>
      </c>
      <c r="N28" s="70">
        <f t="shared" si="7"/>
        <v>48</v>
      </c>
      <c r="O28" s="71">
        <f t="shared" si="8"/>
        <v>26</v>
      </c>
      <c r="P28" s="40">
        <f t="shared" si="9"/>
        <v>0.35135135135135137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66" t="s">
        <v>62</v>
      </c>
      <c r="B29" s="18" t="s">
        <v>23</v>
      </c>
      <c r="C29" s="18"/>
      <c r="D29" s="26"/>
      <c r="E29" s="2"/>
      <c r="F29" s="2"/>
      <c r="G29" s="2"/>
      <c r="H29" s="2"/>
      <c r="I29" s="2"/>
      <c r="J29" s="2"/>
      <c r="K29" s="2"/>
      <c r="L29" s="2"/>
      <c r="M29" s="27"/>
      <c r="N29" s="26"/>
      <c r="O29" s="2"/>
      <c r="P29" s="24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18" t="s">
        <v>64</v>
      </c>
      <c r="B30" s="18" t="s">
        <v>25</v>
      </c>
      <c r="C30" s="18">
        <f>SUM('By Lot'!C146,'By Lot'!C231,'By Lot'!C248,'By Lot'!C265)</f>
        <v>69</v>
      </c>
      <c r="D30" s="26">
        <f>SUM('By Lot'!D146,'By Lot'!D231,'By Lot'!D248,'By Lot'!D265)</f>
        <v>63</v>
      </c>
      <c r="E30" s="2">
        <f>SUM('By Lot'!E146,'By Lot'!E231,'By Lot'!E248,'By Lot'!E265)</f>
        <v>62</v>
      </c>
      <c r="F30" s="2">
        <f>SUM('By Lot'!F146,'By Lot'!F231,'By Lot'!F248,'By Lot'!F265)</f>
        <v>59</v>
      </c>
      <c r="G30" s="2">
        <f>SUM('By Lot'!G146,'By Lot'!G231,'By Lot'!G248,'By Lot'!G265)</f>
        <v>61</v>
      </c>
      <c r="H30" s="2">
        <f>SUM('By Lot'!H146,'By Lot'!H231,'By Lot'!H248,'By Lot'!H265)</f>
        <v>63</v>
      </c>
      <c r="I30" s="2">
        <f>SUM('By Lot'!I146,'By Lot'!I231,'By Lot'!I248,'By Lot'!I265)</f>
        <v>56</v>
      </c>
      <c r="J30" s="2">
        <f>SUM('By Lot'!J146,'By Lot'!J231,'By Lot'!J248,'By Lot'!J265)</f>
        <v>57</v>
      </c>
      <c r="K30" s="2">
        <f>SUM('By Lot'!K146,'By Lot'!K231,'By Lot'!K248,'By Lot'!K265)</f>
        <v>57</v>
      </c>
      <c r="L30" s="2">
        <f>SUM('By Lot'!L146,'By Lot'!L231,'By Lot'!L248,'By Lot'!L265)</f>
        <v>58</v>
      </c>
      <c r="M30" s="27">
        <f>SUM('By Lot'!M146,'By Lot'!M231,'By Lot'!M248,'By Lot'!M265)</f>
        <v>56</v>
      </c>
      <c r="N30" s="26">
        <f t="shared" ref="N30:N32" si="11">MIN(D30:M30)</f>
        <v>56</v>
      </c>
      <c r="O30" s="2">
        <f t="shared" ref="O30:O32" si="12">C30-N30</f>
        <v>13</v>
      </c>
      <c r="P30" s="24">
        <f t="shared" ref="P30:P32" si="13">O30/C30</f>
        <v>0.18840579710144928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18"/>
      <c r="B31" s="18" t="s">
        <v>27</v>
      </c>
      <c r="C31" s="18">
        <f>SUM('By Lot'!C147,'By Lot'!C232,'By Lot'!C249,'By Lot'!C266)</f>
        <v>26</v>
      </c>
      <c r="D31" s="26">
        <f>SUM('By Lot'!D147,'By Lot'!D232,'By Lot'!D249,'By Lot'!D266)</f>
        <v>23</v>
      </c>
      <c r="E31" s="2">
        <f>SUM('By Lot'!E147,'By Lot'!E232,'By Lot'!E249,'By Lot'!E266)</f>
        <v>23</v>
      </c>
      <c r="F31" s="2">
        <f>SUM('By Lot'!F147,'By Lot'!F232,'By Lot'!F249,'By Lot'!F266)</f>
        <v>21</v>
      </c>
      <c r="G31" s="2">
        <f>SUM('By Lot'!G147,'By Lot'!G232,'By Lot'!G249,'By Lot'!G266)</f>
        <v>20</v>
      </c>
      <c r="H31" s="2">
        <f>SUM('By Lot'!H147,'By Lot'!H232,'By Lot'!H249,'By Lot'!H266)</f>
        <v>19</v>
      </c>
      <c r="I31" s="2">
        <f>SUM('By Lot'!I147,'By Lot'!I232,'By Lot'!I249,'By Lot'!I266)</f>
        <v>22</v>
      </c>
      <c r="J31" s="2">
        <f>SUM('By Lot'!J147,'By Lot'!J232,'By Lot'!J249,'By Lot'!J266)</f>
        <v>22</v>
      </c>
      <c r="K31" s="2">
        <f>SUM('By Lot'!K147,'By Lot'!K232,'By Lot'!K249,'By Lot'!K266)</f>
        <v>20</v>
      </c>
      <c r="L31" s="2">
        <f>SUM('By Lot'!L147,'By Lot'!L232,'By Lot'!L249,'By Lot'!L266)</f>
        <v>18</v>
      </c>
      <c r="M31" s="27">
        <f>SUM('By Lot'!M147,'By Lot'!M232,'By Lot'!M249,'By Lot'!M266)</f>
        <v>18</v>
      </c>
      <c r="N31" s="26">
        <f t="shared" si="11"/>
        <v>18</v>
      </c>
      <c r="O31" s="2">
        <f t="shared" si="12"/>
        <v>8</v>
      </c>
      <c r="P31" s="24">
        <f t="shared" si="13"/>
        <v>0.30769230769230771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18"/>
      <c r="B32" s="18" t="s">
        <v>31</v>
      </c>
      <c r="C32" s="18">
        <f>SUM('By Lot'!C148:C149,'By Lot'!C233:C234,'By Lot'!C250:C251,'By Lot'!C267:C268)</f>
        <v>4</v>
      </c>
      <c r="D32" s="26">
        <f>SUM('By Lot'!D148:D149,'By Lot'!D233:D234,'By Lot'!D250:D251,'By Lot'!D267:D268)</f>
        <v>4</v>
      </c>
      <c r="E32" s="2">
        <f>SUM('By Lot'!E148:E149,'By Lot'!E233:E234,'By Lot'!E250:E251,'By Lot'!E267:E268)</f>
        <v>4</v>
      </c>
      <c r="F32" s="2">
        <f>SUM('By Lot'!F148:F149,'By Lot'!F233:F234,'By Lot'!F250:F251,'By Lot'!F267:F268)</f>
        <v>4</v>
      </c>
      <c r="G32" s="2">
        <f>SUM('By Lot'!G148:G149,'By Lot'!G233:G234,'By Lot'!G250:G251,'By Lot'!G267:G268)</f>
        <v>4</v>
      </c>
      <c r="H32" s="2">
        <f>SUM('By Lot'!H148:H149,'By Lot'!H233:H234,'By Lot'!H250:H251,'By Lot'!H267:H268)</f>
        <v>4</v>
      </c>
      <c r="I32" s="2">
        <f>SUM('By Lot'!I148:I149,'By Lot'!I233:I234,'By Lot'!I250:I251,'By Lot'!I267:I268)</f>
        <v>4</v>
      </c>
      <c r="J32" s="2">
        <f>SUM('By Lot'!J148:J149,'By Lot'!J233:J234,'By Lot'!J250:J251,'By Lot'!J267:J268)</f>
        <v>4</v>
      </c>
      <c r="K32" s="2">
        <f>SUM('By Lot'!K148:K149,'By Lot'!K233:K234,'By Lot'!K250:K251,'By Lot'!K267:K268)</f>
        <v>4</v>
      </c>
      <c r="L32" s="2">
        <f>SUM('By Lot'!L148:L149,'By Lot'!L233:L234,'By Lot'!L250:L251,'By Lot'!L267:L268)</f>
        <v>4</v>
      </c>
      <c r="M32" s="27">
        <f>SUM('By Lot'!M148:M149,'By Lot'!M233:M234,'By Lot'!M250:M251,'By Lot'!M267:M268)</f>
        <v>4</v>
      </c>
      <c r="N32" s="26">
        <f t="shared" si="11"/>
        <v>4</v>
      </c>
      <c r="O32" s="2">
        <f t="shared" si="12"/>
        <v>0</v>
      </c>
      <c r="P32" s="24">
        <f t="shared" si="13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18"/>
      <c r="B33" s="18" t="s">
        <v>32</v>
      </c>
      <c r="C33" s="18"/>
      <c r="D33" s="26"/>
      <c r="E33" s="2"/>
      <c r="F33" s="2"/>
      <c r="G33" s="2"/>
      <c r="H33" s="2"/>
      <c r="I33" s="2"/>
      <c r="J33" s="2"/>
      <c r="K33" s="2"/>
      <c r="L33" s="2"/>
      <c r="M33" s="27"/>
      <c r="N33" s="26"/>
      <c r="O33" s="2"/>
      <c r="P33" s="24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18"/>
      <c r="B34" s="18" t="s">
        <v>33</v>
      </c>
      <c r="C34" s="18">
        <f>SUM('By Lot'!C151:C156,'By Lot'!C236:C241,'By Lot'!C253:C258,'By Lot'!C270:C275)</f>
        <v>62</v>
      </c>
      <c r="D34" s="26">
        <f>SUM('By Lot'!D151:D156,'By Lot'!D236:D241,'By Lot'!D253:D258,'By Lot'!D270:D275)</f>
        <v>58</v>
      </c>
      <c r="E34" s="2">
        <f>SUM('By Lot'!E151:E156,'By Lot'!E236:E241,'By Lot'!E253:E258,'By Lot'!E270:E275)</f>
        <v>59</v>
      </c>
      <c r="F34" s="2">
        <f>SUM('By Lot'!F151:F156,'By Lot'!F236:F241,'By Lot'!F253:F258,'By Lot'!F270:F275)</f>
        <v>57</v>
      </c>
      <c r="G34" s="2">
        <f>SUM('By Lot'!G151:G156,'By Lot'!G236:G241,'By Lot'!G253:G258,'By Lot'!G270:G275)</f>
        <v>55</v>
      </c>
      <c r="H34" s="2">
        <f>SUM('By Lot'!H151:H156,'By Lot'!H236:H241,'By Lot'!H253:H258,'By Lot'!H270:H275)</f>
        <v>55</v>
      </c>
      <c r="I34" s="2">
        <f>SUM('By Lot'!I151:I156,'By Lot'!I236:I241,'By Lot'!I253:I258,'By Lot'!I270:I275)</f>
        <v>50</v>
      </c>
      <c r="J34" s="2">
        <f>SUM('By Lot'!J151:J156,'By Lot'!J236:J241,'By Lot'!J253:J258,'By Lot'!J270:J275)</f>
        <v>50</v>
      </c>
      <c r="K34" s="2">
        <f>SUM('By Lot'!K151:K156,'By Lot'!K236:K241,'By Lot'!K253:K258,'By Lot'!K270:K275)</f>
        <v>52</v>
      </c>
      <c r="L34" s="2">
        <f>SUM('By Lot'!L151:L156,'By Lot'!L236:L241,'By Lot'!L253:L258,'By Lot'!L270:L275)</f>
        <v>52</v>
      </c>
      <c r="M34" s="27">
        <f>SUM('By Lot'!M151:M156,'By Lot'!M236:M241,'By Lot'!M253:M258,'By Lot'!M270:M275)</f>
        <v>53</v>
      </c>
      <c r="N34" s="26">
        <f t="shared" ref="N34:N35" si="14">MIN(D34:M34)</f>
        <v>50</v>
      </c>
      <c r="O34" s="2">
        <f t="shared" ref="O34:O35" si="15">C34-N34</f>
        <v>12</v>
      </c>
      <c r="P34" s="24">
        <f t="shared" ref="P34:P35" si="16">O34/C34</f>
        <v>0.19354838709677419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18"/>
      <c r="B35" s="18" t="s">
        <v>34</v>
      </c>
      <c r="C35" s="18">
        <f>SUM('By Lot'!C157,'By Lot'!C242,'By Lot'!C259,'By Lot'!C276)</f>
        <v>6</v>
      </c>
      <c r="D35" s="26">
        <f>SUM('By Lot'!D157,'By Lot'!D242,'By Lot'!D259,'By Lot'!D276)</f>
        <v>6</v>
      </c>
      <c r="E35" s="2">
        <f>SUM('By Lot'!E157,'By Lot'!E242,'By Lot'!E259,'By Lot'!E276)</f>
        <v>6</v>
      </c>
      <c r="F35" s="2">
        <f>SUM('By Lot'!F157,'By Lot'!F242,'By Lot'!F259,'By Lot'!F276)</f>
        <v>6</v>
      </c>
      <c r="G35" s="2">
        <f>SUM('By Lot'!G157,'By Lot'!G242,'By Lot'!G259,'By Lot'!G276)</f>
        <v>6</v>
      </c>
      <c r="H35" s="2">
        <f>SUM('By Lot'!H157,'By Lot'!H242,'By Lot'!H259,'By Lot'!H276)</f>
        <v>6</v>
      </c>
      <c r="I35" s="2">
        <f>SUM('By Lot'!I157,'By Lot'!I242,'By Lot'!I259,'By Lot'!I276)</f>
        <v>6</v>
      </c>
      <c r="J35" s="2">
        <f>SUM('By Lot'!J157,'By Lot'!J242,'By Lot'!J259,'By Lot'!J276)</f>
        <v>6</v>
      </c>
      <c r="K35" s="2">
        <f>SUM('By Lot'!K157,'By Lot'!K242,'By Lot'!K259,'By Lot'!K276)</f>
        <v>6</v>
      </c>
      <c r="L35" s="2">
        <f>SUM('By Lot'!L157,'By Lot'!L242,'By Lot'!L259,'By Lot'!L276)</f>
        <v>6</v>
      </c>
      <c r="M35" s="27">
        <f>SUM('By Lot'!M157,'By Lot'!M242,'By Lot'!M259,'By Lot'!M276)</f>
        <v>6</v>
      </c>
      <c r="N35" s="26">
        <f t="shared" si="14"/>
        <v>6</v>
      </c>
      <c r="O35" s="2">
        <f t="shared" si="15"/>
        <v>0</v>
      </c>
      <c r="P35" s="24">
        <f t="shared" si="16"/>
        <v>0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18"/>
      <c r="B36" s="18" t="s">
        <v>35</v>
      </c>
      <c r="C36" s="18"/>
      <c r="D36" s="26"/>
      <c r="E36" s="2"/>
      <c r="F36" s="2"/>
      <c r="G36" s="2"/>
      <c r="H36" s="2"/>
      <c r="I36" s="2"/>
      <c r="J36" s="2"/>
      <c r="K36" s="2"/>
      <c r="L36" s="2"/>
      <c r="M36" s="27"/>
      <c r="N36" s="26"/>
      <c r="O36" s="2"/>
      <c r="P36" s="24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18"/>
      <c r="B37" s="18" t="s">
        <v>36</v>
      </c>
      <c r="C37" s="18"/>
      <c r="D37" s="26"/>
      <c r="E37" s="2"/>
      <c r="F37" s="2"/>
      <c r="G37" s="2"/>
      <c r="H37" s="2"/>
      <c r="I37" s="2"/>
      <c r="J37" s="2"/>
      <c r="K37" s="2"/>
      <c r="L37" s="2"/>
      <c r="M37" s="27"/>
      <c r="N37" s="26"/>
      <c r="O37" s="2"/>
      <c r="P37" s="24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18"/>
      <c r="B38" s="18" t="s">
        <v>37</v>
      </c>
      <c r="C38" s="18">
        <f>SUM('By Lot'!C160,'By Lot'!C245,'By Lot'!C262,'By Lot'!C279)</f>
        <v>1</v>
      </c>
      <c r="D38" s="26">
        <f>SUM('By Lot'!D160,'By Lot'!D245,'By Lot'!D262,'By Lot'!D279)</f>
        <v>0</v>
      </c>
      <c r="E38" s="2">
        <f>SUM('By Lot'!E160,'By Lot'!E245,'By Lot'!E262,'By Lot'!E279)</f>
        <v>0</v>
      </c>
      <c r="F38" s="2">
        <f>SUM('By Lot'!F160,'By Lot'!F245,'By Lot'!F262,'By Lot'!F279)</f>
        <v>0</v>
      </c>
      <c r="G38" s="2">
        <f>SUM('By Lot'!G160,'By Lot'!G245,'By Lot'!G262,'By Lot'!G279)</f>
        <v>0</v>
      </c>
      <c r="H38" s="2">
        <f>SUM('By Lot'!H160,'By Lot'!H245,'By Lot'!H262,'By Lot'!H279)</f>
        <v>0</v>
      </c>
      <c r="I38" s="2">
        <f>SUM('By Lot'!I160,'By Lot'!I245,'By Lot'!I262,'By Lot'!I279)</f>
        <v>0</v>
      </c>
      <c r="J38" s="2">
        <f>SUM('By Lot'!J160,'By Lot'!J245,'By Lot'!J262,'By Lot'!J279)</f>
        <v>0</v>
      </c>
      <c r="K38" s="2">
        <f>SUM('By Lot'!K160,'By Lot'!K245,'By Lot'!K262,'By Lot'!K279)</f>
        <v>0</v>
      </c>
      <c r="L38" s="2">
        <f>SUM('By Lot'!L160,'By Lot'!L245,'By Lot'!L262,'By Lot'!L279)</f>
        <v>0</v>
      </c>
      <c r="M38" s="27">
        <f>SUM('By Lot'!M160,'By Lot'!M245,'By Lot'!M262,'By Lot'!M279)</f>
        <v>0</v>
      </c>
      <c r="N38" s="26">
        <f t="shared" ref="N38:N39" si="17">MIN(D38:M38)</f>
        <v>0</v>
      </c>
      <c r="O38" s="2">
        <f t="shared" ref="O38:O39" si="18">C38-N38</f>
        <v>1</v>
      </c>
      <c r="P38" s="24">
        <f t="shared" ref="P38:P39" si="19">O38/C38</f>
        <v>1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32"/>
      <c r="B39" s="33" t="s">
        <v>38</v>
      </c>
      <c r="C39" s="33">
        <f t="shared" ref="C39:M39" si="20">SUM(C29:C38)</f>
        <v>168</v>
      </c>
      <c r="D39" s="70">
        <f t="shared" si="20"/>
        <v>154</v>
      </c>
      <c r="E39" s="71">
        <f t="shared" si="20"/>
        <v>154</v>
      </c>
      <c r="F39" s="71">
        <f t="shared" si="20"/>
        <v>147</v>
      </c>
      <c r="G39" s="71">
        <f t="shared" si="20"/>
        <v>146</v>
      </c>
      <c r="H39" s="71">
        <f t="shared" si="20"/>
        <v>147</v>
      </c>
      <c r="I39" s="71">
        <f t="shared" si="20"/>
        <v>138</v>
      </c>
      <c r="J39" s="71">
        <f t="shared" si="20"/>
        <v>139</v>
      </c>
      <c r="K39" s="71">
        <f t="shared" si="20"/>
        <v>139</v>
      </c>
      <c r="L39" s="71">
        <f t="shared" si="20"/>
        <v>138</v>
      </c>
      <c r="M39" s="93">
        <f t="shared" si="20"/>
        <v>137</v>
      </c>
      <c r="N39" s="70">
        <f t="shared" si="17"/>
        <v>137</v>
      </c>
      <c r="O39" s="71">
        <f t="shared" si="18"/>
        <v>31</v>
      </c>
      <c r="P39" s="40">
        <f t="shared" si="19"/>
        <v>0.18452380952380953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66" t="s">
        <v>65</v>
      </c>
      <c r="B40" s="18" t="s">
        <v>23</v>
      </c>
      <c r="C40" s="18"/>
      <c r="D40" s="26"/>
      <c r="E40" s="2"/>
      <c r="F40" s="2"/>
      <c r="G40" s="2"/>
      <c r="H40" s="2"/>
      <c r="I40" s="2"/>
      <c r="J40" s="2"/>
      <c r="K40" s="2"/>
      <c r="L40" s="2"/>
      <c r="M40" s="27"/>
      <c r="N40" s="26"/>
      <c r="O40" s="2"/>
      <c r="P40" s="24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18"/>
      <c r="B41" s="18" t="s">
        <v>25</v>
      </c>
      <c r="C41" s="18"/>
      <c r="D41" s="26"/>
      <c r="E41" s="2"/>
      <c r="F41" s="2"/>
      <c r="G41" s="2"/>
      <c r="H41" s="2"/>
      <c r="I41" s="2"/>
      <c r="J41" s="2"/>
      <c r="K41" s="2"/>
      <c r="L41" s="2"/>
      <c r="M41" s="27"/>
      <c r="N41" s="26"/>
      <c r="O41" s="2"/>
      <c r="P41" s="24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18"/>
      <c r="B42" s="18" t="s">
        <v>27</v>
      </c>
      <c r="C42" s="18">
        <f>SUM('By Lot'!C283,'By Lot'!C300)</f>
        <v>40</v>
      </c>
      <c r="D42" s="26">
        <f>SUM('By Lot'!D283,'By Lot'!D300)</f>
        <v>40</v>
      </c>
      <c r="E42" s="2">
        <f>SUM('By Lot'!E283,'By Lot'!E300)</f>
        <v>40</v>
      </c>
      <c r="F42" s="2">
        <f>SUM('By Lot'!F283,'By Lot'!F300)</f>
        <v>40</v>
      </c>
      <c r="G42" s="2">
        <f>SUM('By Lot'!G283,'By Lot'!G300)</f>
        <v>40</v>
      </c>
      <c r="H42" s="2">
        <f>SUM('By Lot'!H283,'By Lot'!H300)</f>
        <v>40</v>
      </c>
      <c r="I42" s="2">
        <f>SUM('By Lot'!I283,'By Lot'!I300)</f>
        <v>40</v>
      </c>
      <c r="J42" s="2">
        <f>SUM('By Lot'!J283,'By Lot'!J300)</f>
        <v>39</v>
      </c>
      <c r="K42" s="2">
        <f>SUM('By Lot'!K283,'By Lot'!K300)</f>
        <v>38</v>
      </c>
      <c r="L42" s="2">
        <f>SUM('By Lot'!L283,'By Lot'!L300)</f>
        <v>37</v>
      </c>
      <c r="M42" s="27">
        <f>SUM('By Lot'!M283,'By Lot'!M300)</f>
        <v>37</v>
      </c>
      <c r="N42" s="26">
        <f>MIN(D42:M42)</f>
        <v>37</v>
      </c>
      <c r="O42" s="2">
        <f>C42-N42</f>
        <v>3</v>
      </c>
      <c r="P42" s="24">
        <f>O42/C42</f>
        <v>7.4999999999999997E-2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18"/>
      <c r="B43" s="18" t="s">
        <v>31</v>
      </c>
      <c r="C43" s="18"/>
      <c r="D43" s="26"/>
      <c r="E43" s="2"/>
      <c r="F43" s="2"/>
      <c r="G43" s="2"/>
      <c r="H43" s="2"/>
      <c r="I43" s="2"/>
      <c r="J43" s="2"/>
      <c r="K43" s="2"/>
      <c r="L43" s="2"/>
      <c r="M43" s="27"/>
      <c r="N43" s="26"/>
      <c r="O43" s="2"/>
      <c r="P43" s="24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18"/>
      <c r="B44" s="18" t="s">
        <v>32</v>
      </c>
      <c r="C44" s="18"/>
      <c r="D44" s="26"/>
      <c r="E44" s="2"/>
      <c r="F44" s="2"/>
      <c r="G44" s="2"/>
      <c r="H44" s="2"/>
      <c r="I44" s="2"/>
      <c r="J44" s="2"/>
      <c r="K44" s="2"/>
      <c r="L44" s="2"/>
      <c r="M44" s="27"/>
      <c r="N44" s="26"/>
      <c r="O44" s="2"/>
      <c r="P44" s="24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18"/>
      <c r="B45" s="18" t="s">
        <v>33</v>
      </c>
      <c r="C45" s="18">
        <f>SUM('By Lot'!C287:C292,'By Lot'!C304:C309)</f>
        <v>291</v>
      </c>
      <c r="D45" s="26">
        <f>SUM('By Lot'!D287:D292,'By Lot'!D304:D309)</f>
        <v>31</v>
      </c>
      <c r="E45" s="2">
        <f>SUM('By Lot'!E287:E292,'By Lot'!E304:E309)</f>
        <v>31</v>
      </c>
      <c r="F45" s="2">
        <f>SUM('By Lot'!F287:F292,'By Lot'!F304:F309)</f>
        <v>31</v>
      </c>
      <c r="G45" s="2">
        <f>SUM('By Lot'!G287:G292,'By Lot'!G304:G309)</f>
        <v>31</v>
      </c>
      <c r="H45" s="2">
        <f>SUM('By Lot'!H287:H292,'By Lot'!H304:H309)</f>
        <v>31</v>
      </c>
      <c r="I45" s="23">
        <f>SUM('By Lot'!I287:I292,'By Lot'!I304:I309)</f>
        <v>31</v>
      </c>
      <c r="J45" s="23">
        <f>SUM('By Lot'!J287:J292,'By Lot'!J304:J309)</f>
        <v>29</v>
      </c>
      <c r="K45" s="23">
        <f>SUM('By Lot'!K287:K292,'By Lot'!K304:K309)</f>
        <v>31</v>
      </c>
      <c r="L45" s="23">
        <f>SUM('By Lot'!L287:L292,'By Lot'!L304:L309)</f>
        <v>30</v>
      </c>
      <c r="M45" s="25">
        <f>SUM('By Lot'!M287:M292,'By Lot'!M304:M309)</f>
        <v>30</v>
      </c>
      <c r="N45" s="26">
        <f t="shared" ref="N45:N46" si="21">MIN(D45:M45)</f>
        <v>29</v>
      </c>
      <c r="O45" s="2">
        <f t="shared" ref="O45:O46" si="22">C45-N45</f>
        <v>262</v>
      </c>
      <c r="P45" s="24">
        <f t="shared" ref="P45:P46" si="23">O45/C45</f>
        <v>0.90034364261168387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18"/>
      <c r="B46" s="18" t="s">
        <v>34</v>
      </c>
      <c r="C46" s="18">
        <f>SUM('By Lot'!C293,'By Lot'!C310)</f>
        <v>9</v>
      </c>
      <c r="D46" s="26">
        <f>SUM('By Lot'!D293,'By Lot'!D310)</f>
        <v>0</v>
      </c>
      <c r="E46" s="2">
        <f>SUM('By Lot'!E293,'By Lot'!E310)</f>
        <v>0</v>
      </c>
      <c r="F46" s="2">
        <f>SUM('By Lot'!F293,'By Lot'!F310)</f>
        <v>0</v>
      </c>
      <c r="G46" s="2">
        <f>SUM('By Lot'!G293,'By Lot'!G310)</f>
        <v>0</v>
      </c>
      <c r="H46" s="2">
        <f>SUM('By Lot'!H293,'By Lot'!H310)</f>
        <v>0</v>
      </c>
      <c r="I46" s="23">
        <f>SUM('By Lot'!I293,'By Lot'!I310)</f>
        <v>0</v>
      </c>
      <c r="J46" s="23">
        <f>SUM('By Lot'!J293,'By Lot'!J310)</f>
        <v>0</v>
      </c>
      <c r="K46" s="23">
        <f>SUM('By Lot'!K293,'By Lot'!K310)</f>
        <v>0</v>
      </c>
      <c r="L46" s="23">
        <f>SUM('By Lot'!L293,'By Lot'!L310)</f>
        <v>0</v>
      </c>
      <c r="M46" s="25">
        <f>SUM('By Lot'!M293,'By Lot'!M310)</f>
        <v>0</v>
      </c>
      <c r="N46" s="26">
        <f t="shared" si="21"/>
        <v>0</v>
      </c>
      <c r="O46" s="2">
        <f t="shared" si="22"/>
        <v>9</v>
      </c>
      <c r="P46" s="24">
        <f t="shared" si="23"/>
        <v>1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18"/>
      <c r="B47" s="18" t="s">
        <v>35</v>
      </c>
      <c r="C47" s="18"/>
      <c r="D47" s="26"/>
      <c r="E47" s="2"/>
      <c r="F47" s="2"/>
      <c r="G47" s="2"/>
      <c r="H47" s="2"/>
      <c r="I47" s="2"/>
      <c r="J47" s="2"/>
      <c r="K47" s="2"/>
      <c r="L47" s="2"/>
      <c r="M47" s="27"/>
      <c r="N47" s="26"/>
      <c r="O47" s="2"/>
      <c r="P47" s="24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18"/>
      <c r="B48" s="18" t="s">
        <v>36</v>
      </c>
      <c r="C48" s="18"/>
      <c r="D48" s="26"/>
      <c r="E48" s="2"/>
      <c r="F48" s="2"/>
      <c r="G48" s="2"/>
      <c r="H48" s="2"/>
      <c r="I48" s="2"/>
      <c r="J48" s="2"/>
      <c r="K48" s="2"/>
      <c r="L48" s="2"/>
      <c r="M48" s="27"/>
      <c r="N48" s="26"/>
      <c r="O48" s="2"/>
      <c r="P48" s="24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18"/>
      <c r="B49" s="18" t="s">
        <v>37</v>
      </c>
      <c r="C49" s="18"/>
      <c r="D49" s="26"/>
      <c r="E49" s="2"/>
      <c r="F49" s="2"/>
      <c r="G49" s="2"/>
      <c r="H49" s="2"/>
      <c r="I49" s="2"/>
      <c r="J49" s="2"/>
      <c r="K49" s="2"/>
      <c r="L49" s="2"/>
      <c r="M49" s="27"/>
      <c r="N49" s="26"/>
      <c r="O49" s="2"/>
      <c r="P49" s="24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32"/>
      <c r="B50" s="33" t="s">
        <v>38</v>
      </c>
      <c r="C50" s="33">
        <f t="shared" ref="C50:M50" si="24">SUM(C40:C49)</f>
        <v>340</v>
      </c>
      <c r="D50" s="70">
        <f t="shared" si="24"/>
        <v>71</v>
      </c>
      <c r="E50" s="71">
        <f t="shared" si="24"/>
        <v>71</v>
      </c>
      <c r="F50" s="71">
        <f t="shared" si="24"/>
        <v>71</v>
      </c>
      <c r="G50" s="71">
        <f t="shared" si="24"/>
        <v>71</v>
      </c>
      <c r="H50" s="71">
        <f t="shared" si="24"/>
        <v>71</v>
      </c>
      <c r="I50" s="71">
        <f t="shared" si="24"/>
        <v>71</v>
      </c>
      <c r="J50" s="71">
        <f t="shared" si="24"/>
        <v>68</v>
      </c>
      <c r="K50" s="71">
        <f t="shared" si="24"/>
        <v>69</v>
      </c>
      <c r="L50" s="71">
        <f t="shared" si="24"/>
        <v>67</v>
      </c>
      <c r="M50" s="93">
        <f t="shared" si="24"/>
        <v>67</v>
      </c>
      <c r="N50" s="70">
        <f>MIN(D50:M50)</f>
        <v>67</v>
      </c>
      <c r="O50" s="71">
        <f>C50-N50</f>
        <v>273</v>
      </c>
      <c r="P50" s="40">
        <f>O50/C50</f>
        <v>0.80294117647058827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41" t="s">
        <v>66</v>
      </c>
      <c r="B51" s="18" t="s">
        <v>23</v>
      </c>
      <c r="C51" s="18"/>
      <c r="D51" s="26"/>
      <c r="E51" s="2"/>
      <c r="F51" s="2"/>
      <c r="G51" s="2"/>
      <c r="H51" s="2"/>
      <c r="I51" s="2"/>
      <c r="J51" s="2"/>
      <c r="K51" s="2"/>
      <c r="L51" s="2"/>
      <c r="M51" s="27"/>
      <c r="N51" s="26"/>
      <c r="O51" s="2"/>
      <c r="P51" s="24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6" t="s">
        <v>67</v>
      </c>
      <c r="B52" s="18" t="s">
        <v>25</v>
      </c>
      <c r="C52" s="18"/>
      <c r="D52" s="26"/>
      <c r="E52" s="2"/>
      <c r="F52" s="2"/>
      <c r="G52" s="2"/>
      <c r="H52" s="2"/>
      <c r="I52" s="2"/>
      <c r="J52" s="2"/>
      <c r="K52" s="2"/>
      <c r="L52" s="2"/>
      <c r="M52" s="27"/>
      <c r="N52" s="26"/>
      <c r="O52" s="2"/>
      <c r="P52" s="24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6"/>
      <c r="B53" s="18" t="s">
        <v>27</v>
      </c>
      <c r="C53" s="18"/>
      <c r="D53" s="26"/>
      <c r="E53" s="2"/>
      <c r="F53" s="2"/>
      <c r="G53" s="2"/>
      <c r="H53" s="2"/>
      <c r="I53" s="2"/>
      <c r="J53" s="2"/>
      <c r="K53" s="2"/>
      <c r="L53" s="2"/>
      <c r="M53" s="27"/>
      <c r="N53" s="26"/>
      <c r="O53" s="2"/>
      <c r="P53" s="24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6"/>
      <c r="B54" s="18" t="s">
        <v>31</v>
      </c>
      <c r="C54" s="18"/>
      <c r="D54" s="26"/>
      <c r="E54" s="2"/>
      <c r="F54" s="2"/>
      <c r="G54" s="2"/>
      <c r="H54" s="2"/>
      <c r="I54" s="2"/>
      <c r="J54" s="2"/>
      <c r="K54" s="2"/>
      <c r="L54" s="2"/>
      <c r="M54" s="27"/>
      <c r="N54" s="26"/>
      <c r="O54" s="2"/>
      <c r="P54" s="24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6"/>
      <c r="B55" s="18" t="s">
        <v>32</v>
      </c>
      <c r="C55" s="18"/>
      <c r="D55" s="26"/>
      <c r="E55" s="2"/>
      <c r="F55" s="2"/>
      <c r="G55" s="2"/>
      <c r="H55" s="2"/>
      <c r="I55" s="2"/>
      <c r="J55" s="2"/>
      <c r="K55" s="2"/>
      <c r="L55" s="2"/>
      <c r="M55" s="27"/>
      <c r="N55" s="26"/>
      <c r="O55" s="2"/>
      <c r="P55" s="24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6"/>
      <c r="B56" s="18" t="s">
        <v>33</v>
      </c>
      <c r="C56" s="18">
        <f>SUM('By Lot'!C374:C379)</f>
        <v>8</v>
      </c>
      <c r="D56" s="26">
        <f>SUM('By Lot'!D374:D379)</f>
        <v>8</v>
      </c>
      <c r="E56" s="2">
        <f>SUM('By Lot'!E374:E379)</f>
        <v>8</v>
      </c>
      <c r="F56" s="2">
        <f>SUM('By Lot'!F374:F379)</f>
        <v>8</v>
      </c>
      <c r="G56" s="2">
        <f>SUM('By Lot'!G374:G379)</f>
        <v>8</v>
      </c>
      <c r="H56" s="2">
        <f>SUM('By Lot'!H374:H379)</f>
        <v>8</v>
      </c>
      <c r="I56" s="23">
        <f>SUM('By Lot'!I374:I379)</f>
        <v>8</v>
      </c>
      <c r="J56" s="23">
        <f>SUM('By Lot'!J374:J379)</f>
        <v>7</v>
      </c>
      <c r="K56" s="23">
        <f>SUM('By Lot'!K374:K379)</f>
        <v>8</v>
      </c>
      <c r="L56" s="23">
        <f>SUM('By Lot'!L374:L379)</f>
        <v>7</v>
      </c>
      <c r="M56" s="25">
        <f>SUM('By Lot'!M374:M379)</f>
        <v>8</v>
      </c>
      <c r="N56" s="26">
        <f t="shared" ref="N56:N57" si="25">MIN(D56:M56)</f>
        <v>7</v>
      </c>
      <c r="O56" s="2">
        <f t="shared" ref="O56:O57" si="26">C56-N56</f>
        <v>1</v>
      </c>
      <c r="P56" s="24">
        <f t="shared" ref="P56:P57" si="27">O56/C56</f>
        <v>0.125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6"/>
      <c r="B57" s="18" t="s">
        <v>34</v>
      </c>
      <c r="C57" s="18">
        <f>SUM('By Lot'!C380)</f>
        <v>2</v>
      </c>
      <c r="D57" s="26">
        <f>SUM('By Lot'!D380)</f>
        <v>2</v>
      </c>
      <c r="E57" s="2">
        <f>SUM('By Lot'!E380)</f>
        <v>2</v>
      </c>
      <c r="F57" s="2">
        <f>SUM('By Lot'!F380)</f>
        <v>2</v>
      </c>
      <c r="G57" s="2">
        <f>SUM('By Lot'!G380)</f>
        <v>2</v>
      </c>
      <c r="H57" s="2">
        <f>SUM('By Lot'!H380)</f>
        <v>2</v>
      </c>
      <c r="I57" s="23">
        <f>SUM('By Lot'!I380)</f>
        <v>1</v>
      </c>
      <c r="J57" s="23">
        <f>SUM('By Lot'!J380)</f>
        <v>2</v>
      </c>
      <c r="K57" s="23">
        <f>SUM('By Lot'!K380)</f>
        <v>2</v>
      </c>
      <c r="L57" s="23">
        <f>SUM('By Lot'!L380)</f>
        <v>2</v>
      </c>
      <c r="M57" s="25">
        <f>SUM('By Lot'!M380)</f>
        <v>2</v>
      </c>
      <c r="N57" s="26">
        <f t="shared" si="25"/>
        <v>1</v>
      </c>
      <c r="O57" s="2">
        <f t="shared" si="26"/>
        <v>1</v>
      </c>
      <c r="P57" s="24">
        <f t="shared" si="27"/>
        <v>0.5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6"/>
      <c r="B58" s="18" t="s">
        <v>35</v>
      </c>
      <c r="C58" s="18"/>
      <c r="D58" s="26"/>
      <c r="E58" s="2"/>
      <c r="F58" s="2"/>
      <c r="G58" s="2"/>
      <c r="H58" s="2"/>
      <c r="I58" s="2"/>
      <c r="J58" s="2"/>
      <c r="K58" s="2"/>
      <c r="L58" s="2"/>
      <c r="M58" s="27"/>
      <c r="N58" s="26"/>
      <c r="O58" s="2"/>
      <c r="P58" s="24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6"/>
      <c r="B59" s="18" t="s">
        <v>36</v>
      </c>
      <c r="C59" s="18"/>
      <c r="D59" s="26"/>
      <c r="E59" s="2"/>
      <c r="F59" s="2"/>
      <c r="G59" s="2"/>
      <c r="H59" s="2"/>
      <c r="I59" s="2"/>
      <c r="J59" s="2"/>
      <c r="K59" s="2"/>
      <c r="L59" s="2"/>
      <c r="M59" s="27"/>
      <c r="N59" s="26"/>
      <c r="O59" s="2"/>
      <c r="P59" s="24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6"/>
      <c r="B60" s="18" t="s">
        <v>37</v>
      </c>
      <c r="C60" s="18"/>
      <c r="D60" s="26"/>
      <c r="E60" s="2"/>
      <c r="F60" s="2"/>
      <c r="G60" s="2"/>
      <c r="H60" s="2"/>
      <c r="I60" s="2"/>
      <c r="J60" s="2"/>
      <c r="K60" s="2"/>
      <c r="L60" s="2"/>
      <c r="M60" s="27"/>
      <c r="N60" s="26"/>
      <c r="O60" s="2"/>
      <c r="P60" s="24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42"/>
      <c r="B61" s="33" t="s">
        <v>38</v>
      </c>
      <c r="C61" s="33">
        <f t="shared" ref="C61:M61" si="28">SUM(C51:C60)</f>
        <v>10</v>
      </c>
      <c r="D61" s="70">
        <f t="shared" si="28"/>
        <v>10</v>
      </c>
      <c r="E61" s="71">
        <f t="shared" si="28"/>
        <v>10</v>
      </c>
      <c r="F61" s="71">
        <f t="shared" si="28"/>
        <v>10</v>
      </c>
      <c r="G61" s="71">
        <f t="shared" si="28"/>
        <v>10</v>
      </c>
      <c r="H61" s="71">
        <f t="shared" si="28"/>
        <v>10</v>
      </c>
      <c r="I61" s="71">
        <f t="shared" si="28"/>
        <v>9</v>
      </c>
      <c r="J61" s="71">
        <f t="shared" si="28"/>
        <v>9</v>
      </c>
      <c r="K61" s="71">
        <f t="shared" si="28"/>
        <v>10</v>
      </c>
      <c r="L61" s="71">
        <f t="shared" si="28"/>
        <v>9</v>
      </c>
      <c r="M61" s="93">
        <f t="shared" si="28"/>
        <v>10</v>
      </c>
      <c r="N61" s="70">
        <f t="shared" ref="N61:N78" si="29">MIN(D61:M61)</f>
        <v>9</v>
      </c>
      <c r="O61" s="71">
        <f t="shared" ref="O61:O78" si="30">C61-N61</f>
        <v>1</v>
      </c>
      <c r="P61" s="40">
        <f t="shared" ref="P61:P78" si="31">O61/C61</f>
        <v>0.1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66" t="s">
        <v>68</v>
      </c>
      <c r="B62" s="18" t="s">
        <v>23</v>
      </c>
      <c r="C62" s="18">
        <f>SUM('By Lot'!C315,'By Lot'!C332,'By Lot'!C349,'By Lot'!C385,'By Lot'!C402,'By Lot'!C419,'By Lot'!C436,'By Lot'!C453,'By Lot'!C470,'By Lot'!C521)</f>
        <v>258</v>
      </c>
      <c r="D62" s="26">
        <f>SUM('By Lot'!D315,'By Lot'!D332,'By Lot'!D349,'By Lot'!D385,'By Lot'!D402,'By Lot'!D419,'By Lot'!D436,'By Lot'!D453,'By Lot'!D470,'By Lot'!D521)</f>
        <v>159</v>
      </c>
      <c r="E62" s="2">
        <f>SUM('By Lot'!E315,'By Lot'!E332,'By Lot'!E349,'By Lot'!E385,'By Lot'!E402,'By Lot'!E419,'By Lot'!E436,'By Lot'!E453,'By Lot'!E470,'By Lot'!E521)</f>
        <v>130</v>
      </c>
      <c r="F62" s="2">
        <f>SUM('By Lot'!F315,'By Lot'!F332,'By Lot'!F349,'By Lot'!F385,'By Lot'!F402,'By Lot'!F419,'By Lot'!F436,'By Lot'!F453,'By Lot'!F470,'By Lot'!F521)</f>
        <v>109</v>
      </c>
      <c r="G62" s="2">
        <f>SUM('By Lot'!G315,'By Lot'!G332,'By Lot'!G349,'By Lot'!G385,'By Lot'!G402,'By Lot'!G419,'By Lot'!G436,'By Lot'!G453,'By Lot'!G470,'By Lot'!G521)</f>
        <v>81</v>
      </c>
      <c r="H62" s="2">
        <f>SUM('By Lot'!H315,'By Lot'!H332,'By Lot'!H349,'By Lot'!H385,'By Lot'!H402,'By Lot'!H419,'By Lot'!H436,'By Lot'!H453,'By Lot'!H470,'By Lot'!H521)</f>
        <v>67</v>
      </c>
      <c r="I62" s="2">
        <f>SUM('By Lot'!I315,'By Lot'!I332,'By Lot'!I349,'By Lot'!I385,'By Lot'!I402,'By Lot'!I419,'By Lot'!I436,'By Lot'!I453,'By Lot'!I470,'By Lot'!I521)</f>
        <v>93</v>
      </c>
      <c r="J62" s="2">
        <f>SUM('By Lot'!J315,'By Lot'!J332,'By Lot'!J349,'By Lot'!J385,'By Lot'!J402,'By Lot'!J419,'By Lot'!J436,'By Lot'!J453,'By Lot'!J470,'By Lot'!J521)</f>
        <v>85</v>
      </c>
      <c r="K62" s="2">
        <f>SUM('By Lot'!K315,'By Lot'!K332,'By Lot'!K349,'By Lot'!K385,'By Lot'!K402,'By Lot'!K419,'By Lot'!K436,'By Lot'!K453,'By Lot'!K470,'By Lot'!K521)</f>
        <v>89</v>
      </c>
      <c r="L62" s="2">
        <f>SUM('By Lot'!L315,'By Lot'!L332,'By Lot'!L349,'By Lot'!L385,'By Lot'!L402,'By Lot'!L419,'By Lot'!L436,'By Lot'!L453,'By Lot'!L470,'By Lot'!L521)</f>
        <v>96</v>
      </c>
      <c r="M62" s="27">
        <f>SUM('By Lot'!M315,'By Lot'!M332,'By Lot'!M349,'By Lot'!M385,'By Lot'!M402,'By Lot'!M419,'By Lot'!M436,'By Lot'!M453,'By Lot'!M470,'By Lot'!M521)</f>
        <v>115</v>
      </c>
      <c r="N62" s="26">
        <f t="shared" si="29"/>
        <v>67</v>
      </c>
      <c r="O62" s="2">
        <f t="shared" si="30"/>
        <v>191</v>
      </c>
      <c r="P62" s="24">
        <f t="shared" si="31"/>
        <v>0.74031007751937983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18" t="s">
        <v>69</v>
      </c>
      <c r="B63" s="18" t="s">
        <v>70</v>
      </c>
      <c r="C63" s="18">
        <f>'By Lot'!C350</f>
        <v>33</v>
      </c>
      <c r="D63" s="26">
        <f>'By Lot'!D350</f>
        <v>33</v>
      </c>
      <c r="E63" s="2">
        <f>'By Lot'!E350</f>
        <v>25</v>
      </c>
      <c r="F63" s="2">
        <f>'By Lot'!F350</f>
        <v>25</v>
      </c>
      <c r="G63" s="2">
        <f>'By Lot'!G350</f>
        <v>21</v>
      </c>
      <c r="H63" s="2">
        <f>'By Lot'!H350</f>
        <v>21</v>
      </c>
      <c r="I63" s="23">
        <f>'By Lot'!I350</f>
        <v>22</v>
      </c>
      <c r="J63" s="23">
        <f>'By Lot'!J350</f>
        <v>20</v>
      </c>
      <c r="K63" s="23">
        <f>'By Lot'!K350</f>
        <v>21</v>
      </c>
      <c r="L63" s="23">
        <f>'By Lot'!L350</f>
        <v>21</v>
      </c>
      <c r="M63" s="25">
        <f>'By Lot'!M350</f>
        <v>23</v>
      </c>
      <c r="N63" s="26">
        <f t="shared" si="29"/>
        <v>20</v>
      </c>
      <c r="O63" s="2">
        <f t="shared" si="30"/>
        <v>13</v>
      </c>
      <c r="P63" s="24">
        <f t="shared" si="31"/>
        <v>0.39393939393939392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18"/>
      <c r="B64" s="18" t="s">
        <v>71</v>
      </c>
      <c r="C64" s="28">
        <f>'By Lot'!C351</f>
        <v>13</v>
      </c>
      <c r="D64" s="19">
        <f>'By Lot'!D351</f>
        <v>3</v>
      </c>
      <c r="E64" s="23">
        <f>'By Lot'!E351</f>
        <v>2</v>
      </c>
      <c r="F64" s="23">
        <f>'By Lot'!F351</f>
        <v>2</v>
      </c>
      <c r="G64" s="23">
        <f>'By Lot'!G351</f>
        <v>2</v>
      </c>
      <c r="H64" s="23">
        <f>'By Lot'!H351</f>
        <v>2</v>
      </c>
      <c r="I64" s="23">
        <f>'By Lot'!I351</f>
        <v>3</v>
      </c>
      <c r="J64" s="23">
        <f>'By Lot'!J351</f>
        <v>3</v>
      </c>
      <c r="K64" s="23">
        <f>'By Lot'!K351</f>
        <v>3</v>
      </c>
      <c r="L64" s="23">
        <f>'By Lot'!L351</f>
        <v>3</v>
      </c>
      <c r="M64" s="25">
        <f>'By Lot'!M351</f>
        <v>3</v>
      </c>
      <c r="N64" s="19">
        <f t="shared" si="29"/>
        <v>2</v>
      </c>
      <c r="O64" s="23">
        <f t="shared" si="30"/>
        <v>11</v>
      </c>
      <c r="P64" s="24">
        <f t="shared" si="31"/>
        <v>0.84615384615384615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18"/>
      <c r="B65" s="18" t="s">
        <v>25</v>
      </c>
      <c r="C65" s="18">
        <f>SUM('By Lot'!C316,'By Lot'!C333,'By Lot'!C352,'By Lot'!C386,'By Lot'!C403,'By Lot'!C420,'By Lot'!C437,'By Lot'!C454,'By Lot'!C471,'By Lot'!C522)</f>
        <v>410</v>
      </c>
      <c r="D65" s="26">
        <f>SUM('By Lot'!D316,'By Lot'!D333,'By Lot'!D352,'By Lot'!D386,'By Lot'!D403,'By Lot'!D420,'By Lot'!D437,'By Lot'!D471,'By Lot'!D522)</f>
        <v>350</v>
      </c>
      <c r="E65" s="2">
        <f>SUM('By Lot'!E316,'By Lot'!E333,'By Lot'!E352,'By Lot'!E386,'By Lot'!E403,'By Lot'!E420,'By Lot'!E437,'By Lot'!E471,'By Lot'!E522)</f>
        <v>348</v>
      </c>
      <c r="F65" s="2">
        <f>SUM('By Lot'!F316,'By Lot'!F333,'By Lot'!F352,'By Lot'!F386,'By Lot'!F403,'By Lot'!F420,'By Lot'!F437,'By Lot'!F471,'By Lot'!F522)</f>
        <v>329</v>
      </c>
      <c r="G65" s="2">
        <f>SUM('By Lot'!G316,'By Lot'!G333,'By Lot'!G352,'By Lot'!G386,'By Lot'!G403,'By Lot'!G420,'By Lot'!G437,'By Lot'!G471,'By Lot'!G522)</f>
        <v>318</v>
      </c>
      <c r="H65" s="2">
        <f>SUM('By Lot'!H316,'By Lot'!H333,'By Lot'!H352,'By Lot'!H386,'By Lot'!H403,'By Lot'!H420,'By Lot'!H437,'By Lot'!H471,'By Lot'!H522)</f>
        <v>313</v>
      </c>
      <c r="I65" s="2">
        <f>SUM('By Lot'!I316,'By Lot'!I333,'By Lot'!I352,'By Lot'!I386,'By Lot'!I403,'By Lot'!I420,'By Lot'!I437,'By Lot'!I471,'By Lot'!I522)</f>
        <v>316</v>
      </c>
      <c r="J65" s="2">
        <f>SUM('By Lot'!J316,'By Lot'!J333,'By Lot'!J352,'By Lot'!J386,'By Lot'!J403,'By Lot'!J420,'By Lot'!J437,'By Lot'!J471,'By Lot'!J522)</f>
        <v>314</v>
      </c>
      <c r="K65" s="2">
        <f>SUM('By Lot'!K316,'By Lot'!K333,'By Lot'!K352,'By Lot'!K386,'By Lot'!K403,'By Lot'!K420,'By Lot'!K437,'By Lot'!K471,'By Lot'!K522)</f>
        <v>320</v>
      </c>
      <c r="L65" s="2">
        <f>SUM('By Lot'!L316,'By Lot'!L333,'By Lot'!L352,'By Lot'!L386,'By Lot'!L403,'By Lot'!L420,'By Lot'!L437,'By Lot'!L471,'By Lot'!L522)</f>
        <v>326</v>
      </c>
      <c r="M65" s="27">
        <f>SUM('By Lot'!M316,'By Lot'!M333,'By Lot'!M352,'By Lot'!M386,'By Lot'!M403,'By Lot'!M420,'By Lot'!M437,'By Lot'!M471,'By Lot'!M522)</f>
        <v>348</v>
      </c>
      <c r="N65" s="26">
        <f t="shared" si="29"/>
        <v>313</v>
      </c>
      <c r="O65" s="2">
        <f t="shared" si="30"/>
        <v>97</v>
      </c>
      <c r="P65" s="24">
        <f t="shared" si="31"/>
        <v>0.23658536585365852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18"/>
      <c r="B66" s="18" t="s">
        <v>27</v>
      </c>
      <c r="C66" s="18">
        <f>SUM('By Lot'!C317,'By Lot'!C334,'By Lot'!C353,'By Lot'!C387,'By Lot'!C404,'By Lot'!C421,'By Lot'!C438,'By Lot'!C455,'By Lot'!C472,'By Lot'!C523)</f>
        <v>38</v>
      </c>
      <c r="D66" s="26">
        <f>SUM('By Lot'!D317,'By Lot'!D334,'By Lot'!D353,'By Lot'!D387,'By Lot'!D404,'By Lot'!D421,'By Lot'!D438,'By Lot'!D472,'By Lot'!D523)</f>
        <v>30</v>
      </c>
      <c r="E66" s="2">
        <f>SUM('By Lot'!E317,'By Lot'!E334,'By Lot'!E353,'By Lot'!E387,'By Lot'!E404,'By Lot'!E421,'By Lot'!E438,'By Lot'!E472,'By Lot'!E523)</f>
        <v>30</v>
      </c>
      <c r="F66" s="2">
        <f>SUM('By Lot'!F317,'By Lot'!F334,'By Lot'!F353,'By Lot'!F387,'By Lot'!F404,'By Lot'!F421,'By Lot'!F438,'By Lot'!F472,'By Lot'!F523)</f>
        <v>36</v>
      </c>
      <c r="G66" s="2">
        <f>SUM('By Lot'!G317,'By Lot'!G334,'By Lot'!G353,'By Lot'!G387,'By Lot'!G404,'By Lot'!G421,'By Lot'!G438,'By Lot'!G472,'By Lot'!G523)</f>
        <v>36</v>
      </c>
      <c r="H66" s="2">
        <f>SUM('By Lot'!H317,'By Lot'!H334,'By Lot'!H353,'By Lot'!H387,'By Lot'!H404,'By Lot'!H421,'By Lot'!H438,'By Lot'!H472,'By Lot'!H523)</f>
        <v>36</v>
      </c>
      <c r="I66" s="2">
        <f>SUM('By Lot'!I317,'By Lot'!I334,'By Lot'!I353,'By Lot'!I387,'By Lot'!I404,'By Lot'!I421,'By Lot'!I438,'By Lot'!I472,'By Lot'!I523)</f>
        <v>37</v>
      </c>
      <c r="J66" s="2">
        <f>SUM('By Lot'!J317,'By Lot'!J334,'By Lot'!J353,'By Lot'!J387,'By Lot'!J404,'By Lot'!J421,'By Lot'!J438,'By Lot'!J472,'By Lot'!J523)</f>
        <v>37</v>
      </c>
      <c r="K66" s="2">
        <f>SUM('By Lot'!K317,'By Lot'!K334,'By Lot'!K353,'By Lot'!K387,'By Lot'!K404,'By Lot'!K421,'By Lot'!K438,'By Lot'!K472,'By Lot'!K523)</f>
        <v>36</v>
      </c>
      <c r="L66" s="2">
        <f>SUM('By Lot'!L317,'By Lot'!L334,'By Lot'!L353,'By Lot'!L387,'By Lot'!L404,'By Lot'!L421,'By Lot'!L438,'By Lot'!L472,'By Lot'!L523)</f>
        <v>35</v>
      </c>
      <c r="M66" s="27">
        <f>SUM('By Lot'!M317,'By Lot'!M334,'By Lot'!M353,'By Lot'!M387,'By Lot'!M404,'By Lot'!M421,'By Lot'!M438,'By Lot'!M472,'By Lot'!M523)</f>
        <v>36</v>
      </c>
      <c r="N66" s="26">
        <f t="shared" si="29"/>
        <v>30</v>
      </c>
      <c r="O66" s="2">
        <f t="shared" si="30"/>
        <v>8</v>
      </c>
      <c r="P66" s="24">
        <f t="shared" si="31"/>
        <v>0.21052631578947367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18"/>
      <c r="B67" s="18" t="s">
        <v>31</v>
      </c>
      <c r="C67" s="18">
        <f>SUM('By Lot'!C318:C319,'By Lot'!C335:C336,'By Lot'!C354:C355,'By Lot'!C388:C389,'By Lot'!C405:C406,'By Lot'!C422:C423,'By Lot'!C439:C440,'By Lot'!C456:C457,'By Lot'!C473:C474,'By Lot'!C524:C525)</f>
        <v>30</v>
      </c>
      <c r="D67" s="26">
        <f>SUM('By Lot'!D318:D319,'By Lot'!D335:D336,'By Lot'!D354:D355,'By Lot'!D388:D389,'By Lot'!D405:D406,'By Lot'!D422:D423,'By Lot'!D439:D440,'By Lot'!D473:D474,'By Lot'!D524:D525)</f>
        <v>15</v>
      </c>
      <c r="E67" s="2">
        <f>SUM('By Lot'!E318:E319,'By Lot'!E335:E336,'By Lot'!E354:E355,'By Lot'!E388:E389,'By Lot'!E405:E406,'By Lot'!E422:E423,'By Lot'!E439:E440,'By Lot'!E473:E474,'By Lot'!E524:E525)</f>
        <v>16</v>
      </c>
      <c r="F67" s="2">
        <f>SUM('By Lot'!F318:F319,'By Lot'!F335:F336,'By Lot'!F354:F355,'By Lot'!F388:F389,'By Lot'!F405:F406,'By Lot'!F422:F423,'By Lot'!F439:F440,'By Lot'!F473:F474,'By Lot'!F524:F525)</f>
        <v>17</v>
      </c>
      <c r="G67" s="2">
        <f>SUM('By Lot'!G318:G319,'By Lot'!G335:G336,'By Lot'!G354:G355,'By Lot'!G388:G389,'By Lot'!G405:G406,'By Lot'!G422:G423,'By Lot'!G439:G440,'By Lot'!G473:G474,'By Lot'!G524:G525)</f>
        <v>16</v>
      </c>
      <c r="H67" s="2">
        <f>SUM('By Lot'!H318:H319,'By Lot'!H335:H336,'By Lot'!H354:H355,'By Lot'!H388:H389,'By Lot'!H405:H406,'By Lot'!H422:H423,'By Lot'!H439:H440,'By Lot'!H473:H474,'By Lot'!H524:H525)</f>
        <v>16</v>
      </c>
      <c r="I67" s="2">
        <f>SUM('By Lot'!I318:I319,'By Lot'!I335:I336,'By Lot'!I354:I355,'By Lot'!I388:I389,'By Lot'!I405:I406,'By Lot'!I422:I423,'By Lot'!I439:I440,'By Lot'!I473:I474,'By Lot'!I524:I525)</f>
        <v>15</v>
      </c>
      <c r="J67" s="2">
        <f>SUM('By Lot'!J318:J319,'By Lot'!J335:J336,'By Lot'!J354:J355,'By Lot'!J388:J389,'By Lot'!J405:J406,'By Lot'!J422:J423,'By Lot'!J439:J440,'By Lot'!J473:J474,'By Lot'!J524:J525)</f>
        <v>15</v>
      </c>
      <c r="K67" s="2">
        <f>SUM('By Lot'!K318:K319,'By Lot'!K335:K336,'By Lot'!K354:K355,'By Lot'!K388:K389,'By Lot'!K405:K406,'By Lot'!K422:K423,'By Lot'!K439:K440,'By Lot'!K473:K474,'By Lot'!K524:K525)</f>
        <v>14</v>
      </c>
      <c r="L67" s="2">
        <f>SUM('By Lot'!L318:L319,'By Lot'!L335:L336,'By Lot'!L354:L355,'By Lot'!L388:L389,'By Lot'!L405:L406,'By Lot'!L422:L423,'By Lot'!L439:L440,'By Lot'!L473:L474,'By Lot'!L524:L525)</f>
        <v>14</v>
      </c>
      <c r="M67" s="27">
        <f>SUM('By Lot'!M318:M319,'By Lot'!M335:M336,'By Lot'!M354:M355,'By Lot'!M388:M389,'By Lot'!M405:M406,'By Lot'!M422:M423,'By Lot'!M439:M440,'By Lot'!M473:M474,'By Lot'!M524:M525)</f>
        <v>15</v>
      </c>
      <c r="N67" s="26">
        <f t="shared" si="29"/>
        <v>14</v>
      </c>
      <c r="O67" s="2">
        <f t="shared" si="30"/>
        <v>16</v>
      </c>
      <c r="P67" s="24">
        <f t="shared" si="31"/>
        <v>0.53333333333333333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18"/>
      <c r="B68" s="18" t="s">
        <v>32</v>
      </c>
      <c r="C68" s="18">
        <f>SUM('By Lot'!C320,'By Lot'!C337,'By Lot'!C356,'By Lot'!C390,'By Lot'!C407,'By Lot'!C424,'By Lot'!C441,'By Lot'!C475,'By Lot'!C526)</f>
        <v>12</v>
      </c>
      <c r="D68" s="26">
        <f>SUM('By Lot'!D320,'By Lot'!D337,'By Lot'!D356,'By Lot'!D390,'By Lot'!D407,'By Lot'!D424,'By Lot'!D441,'By Lot'!D475,'By Lot'!D526)</f>
        <v>10</v>
      </c>
      <c r="E68" s="2">
        <f>SUM('By Lot'!E320,'By Lot'!E337,'By Lot'!E356,'By Lot'!E390,'By Lot'!E407,'By Lot'!E424,'By Lot'!E441,'By Lot'!E475,'By Lot'!E526)</f>
        <v>10</v>
      </c>
      <c r="F68" s="2">
        <f>SUM('By Lot'!F320,'By Lot'!F337,'By Lot'!F356,'By Lot'!F390,'By Lot'!F407,'By Lot'!F424,'By Lot'!F441,'By Lot'!F475,'By Lot'!F526)</f>
        <v>10</v>
      </c>
      <c r="G68" s="2">
        <f>SUM('By Lot'!G320,'By Lot'!G337,'By Lot'!G356,'By Lot'!G390,'By Lot'!G407,'By Lot'!G424,'By Lot'!G441,'By Lot'!G475,'By Lot'!G526)</f>
        <v>10</v>
      </c>
      <c r="H68" s="2">
        <f>SUM('By Lot'!H320,'By Lot'!H337,'By Lot'!H356,'By Lot'!H390,'By Lot'!H407,'By Lot'!H424,'By Lot'!H441,'By Lot'!H475,'By Lot'!H526)</f>
        <v>10</v>
      </c>
      <c r="I68" s="23">
        <f>SUM('By Lot'!I320,'By Lot'!I337,'By Lot'!I356,'By Lot'!I390,'By Lot'!I407,'By Lot'!I424,'By Lot'!I441,'By Lot'!I475,'By Lot'!I526)</f>
        <v>9</v>
      </c>
      <c r="J68" s="23">
        <f>SUM('By Lot'!J320,'By Lot'!J337,'By Lot'!J356,'By Lot'!J390,'By Lot'!J407,'By Lot'!J424,'By Lot'!J441,'By Lot'!J475,'By Lot'!J526)</f>
        <v>10</v>
      </c>
      <c r="K68" s="23">
        <f>SUM('By Lot'!K320,'By Lot'!K337,'By Lot'!K356,'By Lot'!K390,'By Lot'!K407,'By Lot'!K424,'By Lot'!K441,'By Lot'!K475,'By Lot'!K526)</f>
        <v>10</v>
      </c>
      <c r="L68" s="23">
        <f>SUM('By Lot'!L320,'By Lot'!L337,'By Lot'!L356,'By Lot'!L390,'By Lot'!L407,'By Lot'!L424,'By Lot'!L441,'By Lot'!L475,'By Lot'!L526)</f>
        <v>8</v>
      </c>
      <c r="M68" s="25">
        <f>SUM('By Lot'!M320,'By Lot'!M337,'By Lot'!M356,'By Lot'!M390,'By Lot'!M407,'By Lot'!M424,'By Lot'!M441,'By Lot'!M475,'By Lot'!M526)</f>
        <v>10</v>
      </c>
      <c r="N68" s="26">
        <f t="shared" si="29"/>
        <v>8</v>
      </c>
      <c r="O68" s="2">
        <f t="shared" si="30"/>
        <v>4</v>
      </c>
      <c r="P68" s="24">
        <f t="shared" si="31"/>
        <v>0.33333333333333331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18"/>
      <c r="B69" s="18" t="s">
        <v>33</v>
      </c>
      <c r="C69" s="18">
        <f>SUM('By Lot'!C321:C326,'By Lot'!C338:C343,'By Lot'!C357:C362,'By Lot'!C392:C397,'By Lot'!C408:C413,'By Lot'!C425:C430,'By Lot'!C442:C447,'By Lot'!C476:C481,'By Lot'!C527:C532)</f>
        <v>32</v>
      </c>
      <c r="D69" s="26">
        <f>SUM('By Lot'!D321:D326,'By Lot'!D338:D343,'By Lot'!D357:D362,'By Lot'!D392:D397,'By Lot'!D408:D413,'By Lot'!D425:D430,'By Lot'!D442:D447,'By Lot'!D476:D481,'By Lot'!D527:D532)</f>
        <v>18</v>
      </c>
      <c r="E69" s="2">
        <f>SUM('By Lot'!E321:E326,'By Lot'!E338:E343,'By Lot'!E357:E362,'By Lot'!E392:E397,'By Lot'!E408:E413,'By Lot'!E425:E430,'By Lot'!E442:E447,'By Lot'!E476:E481,'By Lot'!E527:E532)</f>
        <v>17</v>
      </c>
      <c r="F69" s="2">
        <f>SUM('By Lot'!F321:F326,'By Lot'!F338:F343,'By Lot'!F357:F362,'By Lot'!F392:F397,'By Lot'!F408:F413,'By Lot'!F425:F430,'By Lot'!F442:F447,'By Lot'!F476:F481,'By Lot'!F527:F532)</f>
        <v>16</v>
      </c>
      <c r="G69" s="2">
        <f>SUM('By Lot'!G321:G326,'By Lot'!G338:G343,'By Lot'!G357:G362,'By Lot'!G392:G397,'By Lot'!G408:G413,'By Lot'!G425:G430,'By Lot'!G442:G447,'By Lot'!G476:G481,'By Lot'!G527:G532)</f>
        <v>16</v>
      </c>
      <c r="H69" s="2">
        <f>SUM('By Lot'!H321:H326,'By Lot'!H338:H343,'By Lot'!H357:H362,'By Lot'!H392:H397,'By Lot'!H408:H413,'By Lot'!H425:H430,'By Lot'!H442:H447,'By Lot'!H476:H481,'By Lot'!H527:H532)</f>
        <v>15</v>
      </c>
      <c r="I69" s="23">
        <f>SUM('By Lot'!I321:I326,'By Lot'!I338:I343,'By Lot'!I357:I362,'By Lot'!I392:I397,'By Lot'!I408:I413,'By Lot'!I425:I430,'By Lot'!I442:I447,'By Lot'!I476:I481,'By Lot'!I527:I532)</f>
        <v>18</v>
      </c>
      <c r="J69" s="23">
        <f>SUM('By Lot'!J321:J326,'By Lot'!J338:J343,'By Lot'!J357:J362,'By Lot'!J392:J397,'By Lot'!J408:J413,'By Lot'!J425:J430,'By Lot'!J442:J447,'By Lot'!J476:J481,'By Lot'!J527:J532)</f>
        <v>19</v>
      </c>
      <c r="K69" s="23">
        <f>SUM('By Lot'!K321:K326,'By Lot'!K338:K343,'By Lot'!K357:K362,'By Lot'!K392:K397,'By Lot'!K408:K413,'By Lot'!K425:K430,'By Lot'!K442:K447,'By Lot'!K476:K481,'By Lot'!K527:K532)</f>
        <v>19</v>
      </c>
      <c r="L69" s="23">
        <f>SUM('By Lot'!L321:L326,'By Lot'!L338:L343,'By Lot'!L357:L362,'By Lot'!L392:L397,'By Lot'!L408:L413,'By Lot'!L425:L430,'By Lot'!L442:L447,'By Lot'!L476:L481,'By Lot'!L527:L532)</f>
        <v>21</v>
      </c>
      <c r="M69" s="25">
        <f>SUM('By Lot'!M321:M326,'By Lot'!M338:M343,'By Lot'!M357:M362,'By Lot'!M392:M397,'By Lot'!M408:M413,'By Lot'!M425:M430,'By Lot'!M442:M447,'By Lot'!M476:M481,'By Lot'!M527:M532)</f>
        <v>20</v>
      </c>
      <c r="N69" s="26">
        <f t="shared" si="29"/>
        <v>15</v>
      </c>
      <c r="O69" s="2">
        <f t="shared" si="30"/>
        <v>17</v>
      </c>
      <c r="P69" s="24">
        <f t="shared" si="31"/>
        <v>0.53125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18"/>
      <c r="B70" s="18" t="s">
        <v>34</v>
      </c>
      <c r="C70" s="18">
        <f>SUM('By Lot'!C327,'By Lot'!C344,'By Lot'!C363,'By Lot'!C391,'By Lot'!C414,'By Lot'!C431,'By Lot'!C448,'By Lot'!C482,'By Lot'!C533)</f>
        <v>45</v>
      </c>
      <c r="D70" s="26">
        <f>SUM('By Lot'!D327,'By Lot'!D344,'By Lot'!D363,'By Lot'!D391,'By Lot'!D414,'By Lot'!D431,'By Lot'!D448,'By Lot'!D482,'By Lot'!D533)</f>
        <v>34</v>
      </c>
      <c r="E70" s="2">
        <f>SUM('By Lot'!E327,'By Lot'!E344,'By Lot'!E363,'By Lot'!E391,'By Lot'!E414,'By Lot'!E431,'By Lot'!E448,'By Lot'!E482,'By Lot'!E533)</f>
        <v>34</v>
      </c>
      <c r="F70" s="2">
        <f>SUM('By Lot'!F327,'By Lot'!F344,'By Lot'!F363,'By Lot'!F391,'By Lot'!F414,'By Lot'!F431,'By Lot'!F448,'By Lot'!F482,'By Lot'!F533)</f>
        <v>32</v>
      </c>
      <c r="G70" s="2">
        <f>SUM('By Lot'!G327,'By Lot'!G344,'By Lot'!G363,'By Lot'!G391,'By Lot'!G414,'By Lot'!G431,'By Lot'!G448,'By Lot'!G482,'By Lot'!G533)</f>
        <v>32</v>
      </c>
      <c r="H70" s="2">
        <f>SUM('By Lot'!H327,'By Lot'!H344,'By Lot'!H363,'By Lot'!H391,'By Lot'!H414,'By Lot'!H431,'By Lot'!H448,'By Lot'!H482,'By Lot'!H533)</f>
        <v>32</v>
      </c>
      <c r="I70" s="23">
        <f>SUM('By Lot'!I327,'By Lot'!I344,'By Lot'!I363,'By Lot'!I391,'By Lot'!I414,'By Lot'!I431,'By Lot'!I448,'By Lot'!I482,'By Lot'!I533)</f>
        <v>31</v>
      </c>
      <c r="J70" s="23">
        <f>SUM('By Lot'!J327,'By Lot'!J344,'By Lot'!J363,'By Lot'!J391,'By Lot'!J414,'By Lot'!J431,'By Lot'!J448,'By Lot'!J482,'By Lot'!J533)</f>
        <v>30</v>
      </c>
      <c r="K70" s="23">
        <f>SUM('By Lot'!K327,'By Lot'!K344,'By Lot'!K363,'By Lot'!K391,'By Lot'!K414,'By Lot'!K431,'By Lot'!K448,'By Lot'!K482,'By Lot'!K533)</f>
        <v>32</v>
      </c>
      <c r="L70" s="23">
        <f>SUM('By Lot'!L327,'By Lot'!L344,'By Lot'!L363,'By Lot'!L391,'By Lot'!L414,'By Lot'!L431,'By Lot'!L448,'By Lot'!L482,'By Lot'!L533)</f>
        <v>33</v>
      </c>
      <c r="M70" s="25">
        <f>SUM('By Lot'!M327,'By Lot'!M344,'By Lot'!M363,'By Lot'!M391,'By Lot'!M414,'By Lot'!M431,'By Lot'!M448,'By Lot'!M482,'By Lot'!M533)</f>
        <v>39</v>
      </c>
      <c r="N70" s="26">
        <f t="shared" si="29"/>
        <v>30</v>
      </c>
      <c r="O70" s="2">
        <f t="shared" si="30"/>
        <v>15</v>
      </c>
      <c r="P70" s="24">
        <f t="shared" si="31"/>
        <v>0.33333333333333331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18"/>
      <c r="B71" s="18" t="s">
        <v>35</v>
      </c>
      <c r="C71" s="18">
        <f>SUM('By Lot'!C328,'By Lot'!C345,'By Lot'!C364,'By Lot'!C398,'By Lot'!C415,'By Lot'!C432,'By Lot'!C449,'By Lot'!C466,'By Lot'!C483,'By Lot'!C534)</f>
        <v>6</v>
      </c>
      <c r="D71" s="26">
        <f>SUM('By Lot'!D328,'By Lot'!D345,'By Lot'!D364,'By Lot'!D398,'By Lot'!D415,'By Lot'!D432,'By Lot'!D449,'By Lot'!D483,'By Lot'!D534)</f>
        <v>2</v>
      </c>
      <c r="E71" s="2">
        <f>SUM('By Lot'!E328,'By Lot'!E345,'By Lot'!E364,'By Lot'!E398,'By Lot'!E415,'By Lot'!E432,'By Lot'!E449,'By Lot'!E483,'By Lot'!E534)</f>
        <v>3</v>
      </c>
      <c r="F71" s="2">
        <f>SUM('By Lot'!F328,'By Lot'!F345,'By Lot'!F364,'By Lot'!F398,'By Lot'!F415,'By Lot'!F432,'By Lot'!F449,'By Lot'!F483,'By Lot'!F534)</f>
        <v>2</v>
      </c>
      <c r="G71" s="2">
        <f>SUM('By Lot'!G328,'By Lot'!G345,'By Lot'!G364,'By Lot'!G398,'By Lot'!G415,'By Lot'!G432,'By Lot'!G449,'By Lot'!G483,'By Lot'!G534)</f>
        <v>2</v>
      </c>
      <c r="H71" s="2">
        <f>SUM('By Lot'!H328,'By Lot'!H345,'By Lot'!H364,'By Lot'!H398,'By Lot'!H415,'By Lot'!H432,'By Lot'!H449,'By Lot'!H483,'By Lot'!H534)</f>
        <v>2</v>
      </c>
      <c r="I71" s="2">
        <f>SUM('By Lot'!I328,'By Lot'!I345,'By Lot'!I364,'By Lot'!I398,'By Lot'!I415,'By Lot'!I432,'By Lot'!I449,'By Lot'!I483,'By Lot'!I534)</f>
        <v>2</v>
      </c>
      <c r="J71" s="2">
        <f>SUM('By Lot'!J328,'By Lot'!J345,'By Lot'!J364,'By Lot'!J398,'By Lot'!J415,'By Lot'!J432,'By Lot'!J449,'By Lot'!J483,'By Lot'!J534)</f>
        <v>2</v>
      </c>
      <c r="K71" s="2">
        <f>SUM('By Lot'!K328,'By Lot'!K345,'By Lot'!K364,'By Lot'!K398,'By Lot'!K415,'By Lot'!K432,'By Lot'!K449,'By Lot'!K483,'By Lot'!K534)</f>
        <v>2</v>
      </c>
      <c r="L71" s="2">
        <f>SUM('By Lot'!L328,'By Lot'!L345,'By Lot'!L364,'By Lot'!L398,'By Lot'!L415,'By Lot'!L432,'By Lot'!L449,'By Lot'!L483,'By Lot'!L534)</f>
        <v>2</v>
      </c>
      <c r="M71" s="27">
        <f>SUM('By Lot'!M328,'By Lot'!M345,'By Lot'!M364,'By Lot'!M398,'By Lot'!M415,'By Lot'!M432,'By Lot'!M449,'By Lot'!M483,'By Lot'!M534)</f>
        <v>2</v>
      </c>
      <c r="N71" s="26">
        <f t="shared" si="29"/>
        <v>2</v>
      </c>
      <c r="O71" s="2">
        <f t="shared" si="30"/>
        <v>4</v>
      </c>
      <c r="P71" s="24">
        <f t="shared" si="31"/>
        <v>0.66666666666666663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18"/>
      <c r="B72" s="18" t="s">
        <v>36</v>
      </c>
      <c r="C72" s="18">
        <f>SUM('By Lot'!C329,'By Lot'!C346,'By Lot'!C365,'By Lot'!C399,'By Lot'!C416,'By Lot'!C433,'By Lot'!C450,'By Lot'!C484,'By Lot'!C535)</f>
        <v>27</v>
      </c>
      <c r="D72" s="26">
        <f>SUM('By Lot'!D329,'By Lot'!D346,'By Lot'!D365,'By Lot'!D399,'By Lot'!D416,'By Lot'!D433,'By Lot'!D450,'By Lot'!D484,'By Lot'!D535)</f>
        <v>18</v>
      </c>
      <c r="E72" s="2">
        <f>SUM('By Lot'!E329,'By Lot'!E346,'By Lot'!E365,'By Lot'!E399,'By Lot'!E416,'By Lot'!E433,'By Lot'!E450,'By Lot'!E484,'By Lot'!E535)</f>
        <v>16</v>
      </c>
      <c r="F72" s="2">
        <f>SUM('By Lot'!F329,'By Lot'!F346,'By Lot'!F365,'By Lot'!F399,'By Lot'!F416,'By Lot'!F433,'By Lot'!F450,'By Lot'!F484,'By Lot'!F535)</f>
        <v>17</v>
      </c>
      <c r="G72" s="2">
        <f>SUM('By Lot'!G329,'By Lot'!G346,'By Lot'!G365,'By Lot'!G399,'By Lot'!G416,'By Lot'!G433,'By Lot'!G450,'By Lot'!G484,'By Lot'!G535)</f>
        <v>17</v>
      </c>
      <c r="H72" s="2">
        <f>SUM('By Lot'!H329,'By Lot'!H346,'By Lot'!H365,'By Lot'!H399,'By Lot'!H416,'By Lot'!H433,'By Lot'!H450,'By Lot'!H484,'By Lot'!H535)</f>
        <v>17</v>
      </c>
      <c r="I72" s="2">
        <f>SUM('By Lot'!I329,'By Lot'!I346,'By Lot'!I365,'By Lot'!I399,'By Lot'!I416,'By Lot'!I433,'By Lot'!I450,'By Lot'!I484,'By Lot'!I535)</f>
        <v>13</v>
      </c>
      <c r="J72" s="2">
        <f>SUM('By Lot'!J329,'By Lot'!J346,'By Lot'!J365,'By Lot'!J399,'By Lot'!J416,'By Lot'!J433,'By Lot'!J450,'By Lot'!J484,'By Lot'!J535)</f>
        <v>15</v>
      </c>
      <c r="K72" s="2">
        <f>SUM('By Lot'!K329,'By Lot'!K346,'By Lot'!K365,'By Lot'!K399,'By Lot'!K416,'By Lot'!K433,'By Lot'!K450,'By Lot'!K484,'By Lot'!K535)</f>
        <v>15</v>
      </c>
      <c r="L72" s="2">
        <f>SUM('By Lot'!L329,'By Lot'!L346,'By Lot'!L365,'By Lot'!L399,'By Lot'!L416,'By Lot'!L433,'By Lot'!L450,'By Lot'!L484,'By Lot'!L535)</f>
        <v>17</v>
      </c>
      <c r="M72" s="27">
        <f>SUM('By Lot'!M329,'By Lot'!M346,'By Lot'!M365,'By Lot'!M399,'By Lot'!M416,'By Lot'!M433,'By Lot'!M450,'By Lot'!M484,'By Lot'!M535)</f>
        <v>16</v>
      </c>
      <c r="N72" s="26">
        <f t="shared" si="29"/>
        <v>13</v>
      </c>
      <c r="O72" s="2">
        <f t="shared" si="30"/>
        <v>14</v>
      </c>
      <c r="P72" s="24">
        <f t="shared" si="31"/>
        <v>0.51851851851851849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18"/>
      <c r="B73" s="18" t="s">
        <v>37</v>
      </c>
      <c r="C73" s="18">
        <f>SUM('By Lot'!C330,'By Lot'!C347,'By Lot'!C366,'By Lot'!C400,'By Lot'!C417,'By Lot'!C434,'By Lot'!C451,'By Lot'!C485,'By Lot'!C536)</f>
        <v>5</v>
      </c>
      <c r="D73" s="26">
        <f>SUM('By Lot'!D330,'By Lot'!D347,'By Lot'!D366,'By Lot'!D400,'By Lot'!D417,'By Lot'!D434,'By Lot'!D451,'By Lot'!D485,'By Lot'!D536)</f>
        <v>4</v>
      </c>
      <c r="E73" s="2">
        <f>SUM('By Lot'!E330,'By Lot'!E347,'By Lot'!E366,'By Lot'!E400,'By Lot'!E417,'By Lot'!E434,'By Lot'!E451,'By Lot'!E485,'By Lot'!E536)</f>
        <v>2</v>
      </c>
      <c r="F73" s="2">
        <f>SUM('By Lot'!F330,'By Lot'!F347,'By Lot'!F366,'By Lot'!F400,'By Lot'!F417,'By Lot'!F434,'By Lot'!F451,'By Lot'!F485,'By Lot'!F536)</f>
        <v>2</v>
      </c>
      <c r="G73" s="2">
        <f>SUM('By Lot'!G330,'By Lot'!G347,'By Lot'!G366,'By Lot'!G400,'By Lot'!G417,'By Lot'!G434,'By Lot'!G451,'By Lot'!G485,'By Lot'!G536)</f>
        <v>2</v>
      </c>
      <c r="H73" s="2">
        <f>SUM('By Lot'!H330,'By Lot'!H347,'By Lot'!H366,'By Lot'!H400,'By Lot'!H417,'By Lot'!H434,'By Lot'!H451,'By Lot'!H485,'By Lot'!H536)</f>
        <v>2</v>
      </c>
      <c r="I73" s="2">
        <f>SUM('By Lot'!I330,'By Lot'!I347,'By Lot'!I366,'By Lot'!I400,'By Lot'!I417,'By Lot'!I434,'By Lot'!I451,'By Lot'!I485,'By Lot'!I536)</f>
        <v>3</v>
      </c>
      <c r="J73" s="2">
        <f>SUM('By Lot'!J330,'By Lot'!J347,'By Lot'!J366,'By Lot'!J400,'By Lot'!J417,'By Lot'!J434,'By Lot'!J451,'By Lot'!J485,'By Lot'!J536)</f>
        <v>3</v>
      </c>
      <c r="K73" s="2">
        <f>SUM('By Lot'!K330,'By Lot'!K347,'By Lot'!K366,'By Lot'!K400,'By Lot'!K417,'By Lot'!K434,'By Lot'!K451,'By Lot'!K485,'By Lot'!K536)</f>
        <v>3</v>
      </c>
      <c r="L73" s="2">
        <f>SUM('By Lot'!L330,'By Lot'!L347,'By Lot'!L366,'By Lot'!L400,'By Lot'!L417,'By Lot'!L434,'By Lot'!L451,'By Lot'!L485,'By Lot'!L536)</f>
        <v>3</v>
      </c>
      <c r="M73" s="27">
        <f>SUM('By Lot'!M330,'By Lot'!M347,'By Lot'!M366,'By Lot'!M400,'By Lot'!M417,'By Lot'!M434,'By Lot'!M451,'By Lot'!M485,'By Lot'!M536)</f>
        <v>2</v>
      </c>
      <c r="N73" s="26">
        <f t="shared" si="29"/>
        <v>2</v>
      </c>
      <c r="O73" s="2">
        <f t="shared" si="30"/>
        <v>3</v>
      </c>
      <c r="P73" s="24">
        <f t="shared" si="31"/>
        <v>0.6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32"/>
      <c r="B74" s="33" t="s">
        <v>38</v>
      </c>
      <c r="C74" s="94">
        <f t="shared" ref="C74:M74" si="32">SUM(C62:C73)</f>
        <v>909</v>
      </c>
      <c r="D74" s="67">
        <f t="shared" si="32"/>
        <v>676</v>
      </c>
      <c r="E74" s="68">
        <f t="shared" si="32"/>
        <v>633</v>
      </c>
      <c r="F74" s="68">
        <f t="shared" si="32"/>
        <v>597</v>
      </c>
      <c r="G74" s="68">
        <f t="shared" si="32"/>
        <v>553</v>
      </c>
      <c r="H74" s="68">
        <f t="shared" si="32"/>
        <v>533</v>
      </c>
      <c r="I74" s="68">
        <f t="shared" si="32"/>
        <v>562</v>
      </c>
      <c r="J74" s="68">
        <f t="shared" si="32"/>
        <v>553</v>
      </c>
      <c r="K74" s="68">
        <f t="shared" si="32"/>
        <v>564</v>
      </c>
      <c r="L74" s="68">
        <f t="shared" si="32"/>
        <v>579</v>
      </c>
      <c r="M74" s="69">
        <f t="shared" si="32"/>
        <v>629</v>
      </c>
      <c r="N74" s="70">
        <f t="shared" si="29"/>
        <v>533</v>
      </c>
      <c r="O74" s="71">
        <f t="shared" si="30"/>
        <v>376</v>
      </c>
      <c r="P74" s="40">
        <f t="shared" si="31"/>
        <v>0.41364136413641361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66" t="s">
        <v>72</v>
      </c>
      <c r="B75" s="26" t="s">
        <v>23</v>
      </c>
      <c r="C75" s="66">
        <f>SUM('By Lot'!C487,'By Lot'!C538,'By Lot'!C555,'By Lot'!C572,'By Lot'!C589,'By Lot'!C606,'By Lot'!C623,'By Lot'!C1511)</f>
        <v>13</v>
      </c>
      <c r="D75" s="72">
        <f>SUM('By Lot'!D487,'By Lot'!D538,'By Lot'!D555,'By Lot'!D572,'By Lot'!D589,'By Lot'!D606,'By Lot'!D623,'By Lot'!D1511)</f>
        <v>5</v>
      </c>
      <c r="E75" s="72">
        <f>SUM('By Lot'!E487,'By Lot'!E538,'By Lot'!E555,'By Lot'!E572,'By Lot'!E589,'By Lot'!E606,'By Lot'!E623,'By Lot'!E1511)</f>
        <v>5</v>
      </c>
      <c r="F75" s="72">
        <f>SUM('By Lot'!F487,'By Lot'!F538,'By Lot'!F555,'By Lot'!F572,'By Lot'!F589,'By Lot'!F606,'By Lot'!F623,'By Lot'!F1511)</f>
        <v>5</v>
      </c>
      <c r="G75" s="72">
        <f>SUM('By Lot'!G487,'By Lot'!G538,'By Lot'!G555,'By Lot'!G572,'By Lot'!G589,'By Lot'!G606,'By Lot'!G623,'By Lot'!G1511)</f>
        <v>5</v>
      </c>
      <c r="H75" s="72">
        <f>SUM('By Lot'!H487,'By Lot'!H538,'By Lot'!H555,'By Lot'!H572,'By Lot'!H589,'By Lot'!H606,'By Lot'!H623,'By Lot'!H1511)</f>
        <v>5</v>
      </c>
      <c r="I75" s="72">
        <f>SUM('By Lot'!I487,'By Lot'!I538,'By Lot'!I555,'By Lot'!I572,'By Lot'!I589,'By Lot'!I606,'By Lot'!I623,'By Lot'!I1511)</f>
        <v>5</v>
      </c>
      <c r="J75" s="72">
        <f>SUM('By Lot'!J487,'By Lot'!J538,'By Lot'!J555,'By Lot'!J572,'By Lot'!J589,'By Lot'!J606,'By Lot'!J623,'By Lot'!J1511)</f>
        <v>6</v>
      </c>
      <c r="K75" s="72">
        <f>SUM('By Lot'!K487,'By Lot'!K538,'By Lot'!K555,'By Lot'!K572,'By Lot'!K589,'By Lot'!K606,'By Lot'!K623,'By Lot'!K1511)</f>
        <v>7</v>
      </c>
      <c r="L75" s="72">
        <f>SUM('By Lot'!L487,'By Lot'!L538,'By Lot'!L555,'By Lot'!L572,'By Lot'!L589,'By Lot'!L606,'By Lot'!L623,'By Lot'!L1511)</f>
        <v>6</v>
      </c>
      <c r="M75" s="73">
        <f>SUM('By Lot'!M487,'By Lot'!M538,'By Lot'!M555,'By Lot'!M572,'By Lot'!M589,'By Lot'!M606,'By Lot'!M623,'By Lot'!M1511)</f>
        <v>8</v>
      </c>
      <c r="N75" s="2">
        <f t="shared" si="29"/>
        <v>5</v>
      </c>
      <c r="O75" s="2">
        <f t="shared" si="30"/>
        <v>8</v>
      </c>
      <c r="P75" s="24">
        <f t="shared" si="31"/>
        <v>0.61538461538461542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18" t="s">
        <v>69</v>
      </c>
      <c r="B76" s="26" t="s">
        <v>70</v>
      </c>
      <c r="C76" s="18">
        <f>'By Lot'!C624</f>
        <v>67</v>
      </c>
      <c r="D76" s="2">
        <f>'By Lot'!D624</f>
        <v>42</v>
      </c>
      <c r="E76" s="2">
        <f>'By Lot'!E624</f>
        <v>38</v>
      </c>
      <c r="F76" s="2">
        <f>'By Lot'!F624</f>
        <v>59</v>
      </c>
      <c r="G76" s="2">
        <f>'By Lot'!G624</f>
        <v>61</v>
      </c>
      <c r="H76" s="2">
        <f>'By Lot'!H624</f>
        <v>61</v>
      </c>
      <c r="I76" s="2">
        <f>'By Lot'!I624</f>
        <v>46</v>
      </c>
      <c r="J76" s="2">
        <f>'By Lot'!J624</f>
        <v>51</v>
      </c>
      <c r="K76" s="2">
        <f>'By Lot'!K624</f>
        <v>52</v>
      </c>
      <c r="L76" s="2">
        <f>'By Lot'!L624</f>
        <v>52</v>
      </c>
      <c r="M76" s="27">
        <f>'By Lot'!M624</f>
        <v>52</v>
      </c>
      <c r="N76" s="26">
        <f t="shared" si="29"/>
        <v>38</v>
      </c>
      <c r="O76" s="2">
        <f t="shared" si="30"/>
        <v>29</v>
      </c>
      <c r="P76" s="24">
        <f t="shared" si="31"/>
        <v>0.43283582089552236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18"/>
      <c r="B77" s="26" t="s">
        <v>73</v>
      </c>
      <c r="C77" s="18">
        <f>'By Lot'!C625</f>
        <v>18</v>
      </c>
      <c r="D77" s="2">
        <f>'By Lot'!D625</f>
        <v>18</v>
      </c>
      <c r="E77" s="2">
        <f>'By Lot'!E625</f>
        <v>18</v>
      </c>
      <c r="F77" s="2">
        <f>'By Lot'!F625</f>
        <v>18</v>
      </c>
      <c r="G77" s="2">
        <f>'By Lot'!G625</f>
        <v>18</v>
      </c>
      <c r="H77" s="2">
        <f>'By Lot'!H625</f>
        <v>18</v>
      </c>
      <c r="I77" s="2">
        <f>'By Lot'!I625</f>
        <v>18</v>
      </c>
      <c r="J77" s="2">
        <f>'By Lot'!J625</f>
        <v>18</v>
      </c>
      <c r="K77" s="2">
        <f>'By Lot'!K625</f>
        <v>18</v>
      </c>
      <c r="L77" s="2">
        <f>'By Lot'!L625</f>
        <v>16</v>
      </c>
      <c r="M77" s="27">
        <f>'By Lot'!M625</f>
        <v>18</v>
      </c>
      <c r="N77" s="26">
        <f t="shared" si="29"/>
        <v>16</v>
      </c>
      <c r="O77" s="2">
        <f t="shared" si="30"/>
        <v>2</v>
      </c>
      <c r="P77" s="24">
        <f t="shared" si="31"/>
        <v>0.1111111111111111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18"/>
      <c r="B78" s="18" t="s">
        <v>25</v>
      </c>
      <c r="C78" s="18">
        <f>SUM('By Lot'!C488,'By Lot'!C505,'By Lot'!C539,'By Lot'!C556,'By Lot'!C573,'By Lot'!C590,'By Lot'!C607,'By Lot'!C626,'By Lot'!C1512)</f>
        <v>10</v>
      </c>
      <c r="D78" s="26">
        <f>SUM('By Lot'!D488,'By Lot'!D505,'By Lot'!D539,'By Lot'!D556,'By Lot'!D573,'By Lot'!D590,'By Lot'!D607,'By Lot'!D626,'By Lot'!D1512)</f>
        <v>1</v>
      </c>
      <c r="E78" s="2">
        <f>SUM('By Lot'!E488,'By Lot'!E505,'By Lot'!E539,'By Lot'!E556,'By Lot'!E573,'By Lot'!E590,'By Lot'!E607,'By Lot'!E626,'By Lot'!E1512)</f>
        <v>1</v>
      </c>
      <c r="F78" s="2">
        <f>SUM('By Lot'!F488,'By Lot'!F505,'By Lot'!F539,'By Lot'!F556,'By Lot'!F573,'By Lot'!F590,'By Lot'!F607,'By Lot'!F626,'By Lot'!F1512)</f>
        <v>0</v>
      </c>
      <c r="G78" s="2">
        <f>SUM('By Lot'!G488,'By Lot'!G505,'By Lot'!G539,'By Lot'!G556,'By Lot'!G573,'By Lot'!G590,'By Lot'!G607,'By Lot'!G626,'By Lot'!G1512)</f>
        <v>0</v>
      </c>
      <c r="H78" s="2">
        <f>SUM('By Lot'!H488,'By Lot'!H505,'By Lot'!H539,'By Lot'!H556,'By Lot'!H573,'By Lot'!H590,'By Lot'!H607,'By Lot'!H626,'By Lot'!H1512)</f>
        <v>0</v>
      </c>
      <c r="I78" s="2">
        <f>SUM('By Lot'!I488,'By Lot'!I505,'By Lot'!I539,'By Lot'!I556,'By Lot'!I573,'By Lot'!I590,'By Lot'!I607,'By Lot'!I626,'By Lot'!I1512)</f>
        <v>2</v>
      </c>
      <c r="J78" s="2">
        <f>SUM('By Lot'!J488,'By Lot'!J505,'By Lot'!J539,'By Lot'!J556,'By Lot'!J573,'By Lot'!J590,'By Lot'!J607,'By Lot'!J626,'By Lot'!J1512)</f>
        <v>2</v>
      </c>
      <c r="K78" s="2">
        <f>SUM('By Lot'!K488,'By Lot'!K505,'By Lot'!K539,'By Lot'!K556,'By Lot'!K573,'By Lot'!K590,'By Lot'!K607,'By Lot'!K626,'By Lot'!K1512)</f>
        <v>1</v>
      </c>
      <c r="L78" s="2">
        <f>SUM('By Lot'!L488,'By Lot'!L505,'By Lot'!L539,'By Lot'!L556,'By Lot'!L573,'By Lot'!L590,'By Lot'!L607,'By Lot'!L626,'By Lot'!L1512)</f>
        <v>0</v>
      </c>
      <c r="M78" s="27">
        <f>SUM('By Lot'!M488,'By Lot'!M505,'By Lot'!M539,'By Lot'!M556,'By Lot'!M573,'By Lot'!M590,'By Lot'!M607,'By Lot'!M626,'By Lot'!M1512)</f>
        <v>3</v>
      </c>
      <c r="N78" s="26">
        <f t="shared" si="29"/>
        <v>0</v>
      </c>
      <c r="O78" s="2">
        <f t="shared" si="30"/>
        <v>10</v>
      </c>
      <c r="P78" s="24">
        <f t="shared" si="31"/>
        <v>1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18"/>
      <c r="B79" s="18" t="s">
        <v>27</v>
      </c>
      <c r="C79" s="18"/>
      <c r="D79" s="26"/>
      <c r="E79" s="2"/>
      <c r="F79" s="2"/>
      <c r="G79" s="2"/>
      <c r="H79" s="2"/>
      <c r="I79" s="2"/>
      <c r="J79" s="2"/>
      <c r="K79" s="2"/>
      <c r="L79" s="2"/>
      <c r="M79" s="27"/>
      <c r="N79" s="26"/>
      <c r="O79" s="2"/>
      <c r="P79" s="24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18"/>
      <c r="B80" s="18" t="s">
        <v>31</v>
      </c>
      <c r="C80" s="28">
        <f>SUM('By Lot'!C490:C491,'By Lot'!C507:C508,'By Lot'!C541:C542,'By Lot'!C558:C559,'By Lot'!C575:C576,'By Lot'!C592:C593,'By Lot'!C609:C610,'By Lot'!C628:C629,'By Lot'!C1514:C1515)</f>
        <v>31</v>
      </c>
      <c r="D80" s="19">
        <f>SUM('By Lot'!D492:D493,'By Lot'!D507:D508,'By Lot'!D541:D542,'By Lot'!D558:D559,'By Lot'!D575:D576,'By Lot'!D592:D593,'By Lot'!D609:D610,'By Lot'!D628:D629,'By Lot'!D1514:D1515)</f>
        <v>1</v>
      </c>
      <c r="E80" s="23">
        <f>SUM('By Lot'!E492:E493,'By Lot'!E507:E508,'By Lot'!E541:E542,'By Lot'!E558:E559,'By Lot'!E575:E576,'By Lot'!E592:E593,'By Lot'!E609:E610,'By Lot'!E628:E629,'By Lot'!E1514:E1515)</f>
        <v>0</v>
      </c>
      <c r="F80" s="23">
        <f>SUM('By Lot'!F492:F493,'By Lot'!F507:F508,'By Lot'!F541:F542,'By Lot'!F558:F559,'By Lot'!F575:F576,'By Lot'!F592:F593,'By Lot'!F609:F610,'By Lot'!F628:F629,'By Lot'!F1514:F1515)</f>
        <v>0</v>
      </c>
      <c r="G80" s="23">
        <f>SUM('By Lot'!G492:G493,'By Lot'!G507:G508,'By Lot'!G541:G542,'By Lot'!G558:G559,'By Lot'!G575:G576,'By Lot'!G592:G593,'By Lot'!G609:G610,'By Lot'!G628:G629,'By Lot'!G1514:G1515)</f>
        <v>0</v>
      </c>
      <c r="H80" s="23">
        <f>SUM('By Lot'!H492:H493,'By Lot'!H507:H508,'By Lot'!H541:H542,'By Lot'!H558:H559,'By Lot'!H575:H576,'By Lot'!H592:H593,'By Lot'!H609:H610,'By Lot'!H628:H629,'By Lot'!H1514:H1515)</f>
        <v>0</v>
      </c>
      <c r="I80" s="23">
        <f>SUM('By Lot'!I492:I493,'By Lot'!I507:I508,'By Lot'!I541:I542,'By Lot'!I558:I559,'By Lot'!I575:I576,'By Lot'!I592:I593,'By Lot'!I609:I610,'By Lot'!I628:I629,'By Lot'!I1514:I1515)</f>
        <v>0</v>
      </c>
      <c r="J80" s="23">
        <f>SUM('By Lot'!J492:J493,'By Lot'!J507:J508,'By Lot'!J541:J542,'By Lot'!J558:J559,'By Lot'!J575:J576,'By Lot'!J592:J593,'By Lot'!J609:J610,'By Lot'!J628:J629,'By Lot'!J1514:J1515)</f>
        <v>0</v>
      </c>
      <c r="K80" s="23">
        <f>SUM('By Lot'!K492:K493,'By Lot'!K507:K508,'By Lot'!K541:K542,'By Lot'!K558:K559,'By Lot'!K575:K576,'By Lot'!K592:K593,'By Lot'!K609:K610,'By Lot'!K628:K629,'By Lot'!K1514:K1515)</f>
        <v>3</v>
      </c>
      <c r="L80" s="23">
        <f>SUM('By Lot'!L492:L493,'By Lot'!L507:L508,'By Lot'!L541:L542,'By Lot'!L558:L559,'By Lot'!L575:L576,'By Lot'!L592:L593,'By Lot'!L609:L610,'By Lot'!L628:L629,'By Lot'!L1514:L1515)</f>
        <v>4</v>
      </c>
      <c r="M80" s="25">
        <f>SUM('By Lot'!M492:M493,'By Lot'!M507:M508,'By Lot'!M541:M542,'By Lot'!M558:M559,'By Lot'!M575:M576,'By Lot'!M592:M593,'By Lot'!M609:M610,'By Lot'!M628:M629,'By Lot'!M1514:M1515)</f>
        <v>6</v>
      </c>
      <c r="N80" s="19">
        <f t="shared" ref="N80:N89" si="33">MIN(D80:M80)</f>
        <v>0</v>
      </c>
      <c r="O80" s="23">
        <f t="shared" ref="O80:O89" si="34">C80-N80</f>
        <v>31</v>
      </c>
      <c r="P80" s="24">
        <f t="shared" ref="P80:P89" si="35">O80/C80</f>
        <v>1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18"/>
      <c r="B81" s="18" t="s">
        <v>32</v>
      </c>
      <c r="C81" s="28">
        <f>SUM('By Lot'!C492,'By Lot'!C509,'By Lot'!C543,'By Lot'!C560,'By Lot'!C577,'By Lot'!C594,'By Lot'!C611,'By Lot'!C630,'By Lot'!C1516)</f>
        <v>25</v>
      </c>
      <c r="D81" s="19">
        <f>SUM('By Lot'!D494,'By Lot'!D509,'By Lot'!D543,'By Lot'!D560,'By Lot'!D577,'By Lot'!D594,'By Lot'!D611,'By Lot'!D630,'By Lot'!D1516)</f>
        <v>17</v>
      </c>
      <c r="E81" s="23">
        <f>SUM('By Lot'!E494,'By Lot'!E509,'By Lot'!E543,'By Lot'!E560,'By Lot'!E577,'By Lot'!E594,'By Lot'!E611,'By Lot'!E630,'By Lot'!E1516)</f>
        <v>18</v>
      </c>
      <c r="F81" s="23">
        <f>SUM('By Lot'!F494,'By Lot'!F509,'By Lot'!F543,'By Lot'!F560,'By Lot'!F577,'By Lot'!F594,'By Lot'!F611,'By Lot'!F630,'By Lot'!F1516)</f>
        <v>17</v>
      </c>
      <c r="G81" s="23">
        <f>SUM('By Lot'!G494,'By Lot'!G509,'By Lot'!G543,'By Lot'!G560,'By Lot'!G577,'By Lot'!G594,'By Lot'!G611,'By Lot'!G630,'By Lot'!G1516)</f>
        <v>17</v>
      </c>
      <c r="H81" s="23">
        <f>SUM('By Lot'!H494,'By Lot'!H509,'By Lot'!H543,'By Lot'!H560,'By Lot'!H577,'By Lot'!H594,'By Lot'!H611,'By Lot'!H630,'By Lot'!H1516)</f>
        <v>17</v>
      </c>
      <c r="I81" s="23">
        <f>SUM('By Lot'!I494,'By Lot'!I509,'By Lot'!I543,'By Lot'!I560,'By Lot'!I577,'By Lot'!I594,'By Lot'!I611,'By Lot'!I630,'By Lot'!I1516)</f>
        <v>20</v>
      </c>
      <c r="J81" s="23">
        <f>SUM('By Lot'!J494,'By Lot'!J509,'By Lot'!J543,'By Lot'!J560,'By Lot'!J577,'By Lot'!J594,'By Lot'!J611,'By Lot'!J630,'By Lot'!J1516)</f>
        <v>18</v>
      </c>
      <c r="K81" s="23">
        <f>SUM('By Lot'!K494,'By Lot'!K509,'By Lot'!K543,'By Lot'!K560,'By Lot'!K577,'By Lot'!K594,'By Lot'!K611,'By Lot'!K630,'By Lot'!K1516)</f>
        <v>17</v>
      </c>
      <c r="L81" s="23">
        <f>SUM('By Lot'!L494,'By Lot'!L509,'By Lot'!L543,'By Lot'!L560,'By Lot'!L577,'By Lot'!L594,'By Lot'!L611,'By Lot'!L630,'By Lot'!L1516)</f>
        <v>17</v>
      </c>
      <c r="M81" s="25">
        <f>SUM('By Lot'!M494,'By Lot'!M509,'By Lot'!M543,'By Lot'!M560,'By Lot'!M577,'By Lot'!M594,'By Lot'!M611,'By Lot'!M630,'By Lot'!M1516)</f>
        <v>18</v>
      </c>
      <c r="N81" s="19">
        <f t="shared" si="33"/>
        <v>17</v>
      </c>
      <c r="O81" s="23">
        <f t="shared" si="34"/>
        <v>8</v>
      </c>
      <c r="P81" s="24">
        <f t="shared" si="35"/>
        <v>0.32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18"/>
      <c r="B82" s="18" t="s">
        <v>33</v>
      </c>
      <c r="C82" s="28">
        <f>SUM('By Lot'!C493:C498,'By Lot'!C510:C515,'By Lot'!C544:C549,'By Lot'!C561:C566,'By Lot'!C578:C583,'By Lot'!C595:C600,'By Lot'!C612:C617,'By Lot'!C631:C635,'By Lot'!C1517:C1522)</f>
        <v>4</v>
      </c>
      <c r="D82" s="19">
        <f>SUM('By Lot'!D495:D500,'By Lot'!D510:D515,'By Lot'!D544:D549,'By Lot'!D561:D566,'By Lot'!D578:D583,'By Lot'!D595:D600,'By Lot'!D612:D617,'By Lot'!D631:D635,'By Lot'!D1517:D1522)</f>
        <v>6</v>
      </c>
      <c r="E82" s="23">
        <f>SUM('By Lot'!E495:E500,'By Lot'!E510:E515,'By Lot'!E544:E549,'By Lot'!E561:E566,'By Lot'!E578:E583,'By Lot'!E595:E600,'By Lot'!E612:E617,'By Lot'!E631:E635,'By Lot'!E1517:E1522)</f>
        <v>6</v>
      </c>
      <c r="F82" s="23">
        <f>SUM('By Lot'!F495:F500,'By Lot'!F510:F515,'By Lot'!F544:F549,'By Lot'!F561:F566,'By Lot'!F578:F583,'By Lot'!F595:F600,'By Lot'!F612:F617,'By Lot'!F631:F635,'By Lot'!F1517:F1522)</f>
        <v>5</v>
      </c>
      <c r="G82" s="23">
        <f>SUM('By Lot'!G495:G500,'By Lot'!G510:G515,'By Lot'!G544:G549,'By Lot'!G561:G566,'By Lot'!G578:G583,'By Lot'!G595:G600,'By Lot'!G612:G617,'By Lot'!G631:G635,'By Lot'!G1517:G1522)</f>
        <v>5</v>
      </c>
      <c r="H82" s="23">
        <f>SUM('By Lot'!H495:H500,'By Lot'!H510:H515,'By Lot'!H544:H549,'By Lot'!H561:H566,'By Lot'!H578:H583,'By Lot'!H595:H600,'By Lot'!H612:H617,'By Lot'!H631:H635,'By Lot'!H1517:H1522)</f>
        <v>5</v>
      </c>
      <c r="I82" s="23">
        <f>SUM('By Lot'!I495:I500,'By Lot'!I510:I515,'By Lot'!I544:I549,'By Lot'!I561:I566,'By Lot'!I578:I583,'By Lot'!I595:I600,'By Lot'!I612:I617,'By Lot'!I631:I635,'By Lot'!I1517:I1522)</f>
        <v>3</v>
      </c>
      <c r="J82" s="23">
        <f>SUM('By Lot'!J495:J500,'By Lot'!J510:J515,'By Lot'!J544:J549,'By Lot'!J561:J566,'By Lot'!J578:J583,'By Lot'!J595:J600,'By Lot'!J612:J617,'By Lot'!J631:J635,'By Lot'!J1517:J1522)</f>
        <v>4</v>
      </c>
      <c r="K82" s="23">
        <f>SUM('By Lot'!K495:K500,'By Lot'!K510:K515,'By Lot'!K544:K549,'By Lot'!K561:K566,'By Lot'!K578:K583,'By Lot'!K595:K600,'By Lot'!K612:K617,'By Lot'!K631:K635,'By Lot'!K1517:K1522)</f>
        <v>5</v>
      </c>
      <c r="L82" s="23">
        <f>SUM('By Lot'!L495:L500,'By Lot'!L510:L515,'By Lot'!L544:L549,'By Lot'!L561:L566,'By Lot'!L578:L583,'By Lot'!L595:L600,'By Lot'!L612:L617,'By Lot'!L631:L635,'By Lot'!L1517:L1522)</f>
        <v>5</v>
      </c>
      <c r="M82" s="25">
        <f>SUM('By Lot'!M495:M500,'By Lot'!M510:M515,'By Lot'!M544:M549,'By Lot'!M561:M566,'By Lot'!M578:M583,'By Lot'!M595:M600,'By Lot'!M612:M617,'By Lot'!M631:M635,'By Lot'!M1517:M1522)</f>
        <v>5</v>
      </c>
      <c r="N82" s="19">
        <f t="shared" si="33"/>
        <v>3</v>
      </c>
      <c r="O82" s="23">
        <f t="shared" si="34"/>
        <v>1</v>
      </c>
      <c r="P82" s="24">
        <f t="shared" si="35"/>
        <v>0.25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18"/>
      <c r="B83" s="18" t="s">
        <v>34</v>
      </c>
      <c r="C83" s="28">
        <f>SUM('By Lot'!C499,'By Lot'!C516,'By Lot'!C550,'By Lot'!C567,'By Lot'!C584,'By Lot'!C601,'By Lot'!C618,'By Lot'!C636,'By Lot'!C1523)</f>
        <v>22</v>
      </c>
      <c r="D83" s="19">
        <f>SUM('By Lot'!D499:D501,'By Lot'!D516,'By Lot'!D550,'By Lot'!D567,'By Lot'!D584,'By Lot'!D601,'By Lot'!D618,'By Lot'!D636,'By Lot'!D1523)</f>
        <v>18</v>
      </c>
      <c r="E83" s="23">
        <f>SUM('By Lot'!E499:E501,'By Lot'!E516,'By Lot'!E550,'By Lot'!E567,'By Lot'!E584,'By Lot'!E601,'By Lot'!E618,'By Lot'!E636,'By Lot'!E1523)</f>
        <v>17</v>
      </c>
      <c r="F83" s="23">
        <f>SUM('By Lot'!F499:F501,'By Lot'!F516,'By Lot'!F550,'By Lot'!F567,'By Lot'!F584,'By Lot'!F601,'By Lot'!F618,'By Lot'!F636,'By Lot'!F1523)</f>
        <v>14</v>
      </c>
      <c r="G83" s="23">
        <f>SUM('By Lot'!G499:G501,'By Lot'!G516,'By Lot'!G550,'By Lot'!G567,'By Lot'!G584,'By Lot'!G601,'By Lot'!G618,'By Lot'!G636,'By Lot'!G1523)</f>
        <v>14</v>
      </c>
      <c r="H83" s="23">
        <f>SUM('By Lot'!H499:H501,'By Lot'!H516,'By Lot'!H550,'By Lot'!H567,'By Lot'!H584,'By Lot'!H601,'By Lot'!H618,'By Lot'!H636,'By Lot'!H1523)</f>
        <v>14</v>
      </c>
      <c r="I83" s="23">
        <f>SUM('By Lot'!I499:I501,'By Lot'!I516,'By Lot'!I550,'By Lot'!I567,'By Lot'!I584,'By Lot'!I601,'By Lot'!I618,'By Lot'!I636,'By Lot'!I1523)</f>
        <v>15</v>
      </c>
      <c r="J83" s="23">
        <f>SUM('By Lot'!J499:J501,'By Lot'!J516,'By Lot'!J550,'By Lot'!J567,'By Lot'!J584,'By Lot'!J601,'By Lot'!J618,'By Lot'!J636,'By Lot'!J1523)</f>
        <v>16</v>
      </c>
      <c r="K83" s="23">
        <f>SUM('By Lot'!K499:K501,'By Lot'!K516,'By Lot'!K550,'By Lot'!K567,'By Lot'!K584,'By Lot'!K601,'By Lot'!K618,'By Lot'!K636,'By Lot'!K1523)</f>
        <v>17</v>
      </c>
      <c r="L83" s="23">
        <f>SUM('By Lot'!L499:L501,'By Lot'!L516,'By Lot'!L550,'By Lot'!L567,'By Lot'!L584,'By Lot'!L601,'By Lot'!L618,'By Lot'!L636,'By Lot'!L1523)</f>
        <v>17</v>
      </c>
      <c r="M83" s="25">
        <f>SUM('By Lot'!M499:M501,'By Lot'!M516,'By Lot'!M550,'By Lot'!M567,'By Lot'!M584,'By Lot'!M601,'By Lot'!M618,'By Lot'!M636,'By Lot'!M1523)</f>
        <v>19</v>
      </c>
      <c r="N83" s="19">
        <f t="shared" si="33"/>
        <v>14</v>
      </c>
      <c r="O83" s="23">
        <f t="shared" si="34"/>
        <v>8</v>
      </c>
      <c r="P83" s="24">
        <f t="shared" si="35"/>
        <v>0.36363636363636365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18"/>
      <c r="B84" s="18" t="s">
        <v>35</v>
      </c>
      <c r="C84" s="18"/>
      <c r="D84" s="19"/>
      <c r="E84" s="23"/>
      <c r="F84" s="23"/>
      <c r="G84" s="23"/>
      <c r="H84" s="23"/>
      <c r="I84" s="23"/>
      <c r="J84" s="23"/>
      <c r="K84" s="23"/>
      <c r="L84" s="23"/>
      <c r="M84" s="25"/>
      <c r="N84" s="19"/>
      <c r="O84" s="23"/>
      <c r="P84" s="24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18"/>
      <c r="B85" s="18" t="s">
        <v>36</v>
      </c>
      <c r="C85" s="28">
        <f>SUM('By Lot'!C501,'By Lot'!C518,'By Lot'!C552,'By Lot'!C569,'By Lot'!C586,'By Lot'!C603,'By Lot'!C620,'By Lot'!C638,'By Lot'!C1525)</f>
        <v>9</v>
      </c>
      <c r="D85" s="19">
        <f>SUM('By Lot'!D501,'By Lot'!D518,'By Lot'!D552,'By Lot'!D569,'By Lot'!D586,'By Lot'!D603,'By Lot'!D620,'By Lot'!D638,'By Lot'!D1525)</f>
        <v>9</v>
      </c>
      <c r="E85" s="23">
        <f>SUM('By Lot'!E501,'By Lot'!E518,'By Lot'!E552,'By Lot'!E569,'By Lot'!E586,'By Lot'!E603,'By Lot'!E620,'By Lot'!E638,'By Lot'!E1525)</f>
        <v>6</v>
      </c>
      <c r="F85" s="23">
        <f>SUM('By Lot'!F501,'By Lot'!F518,'By Lot'!F552,'By Lot'!F569,'By Lot'!F586,'By Lot'!F603,'By Lot'!F620,'By Lot'!F638,'By Lot'!F1525)</f>
        <v>6</v>
      </c>
      <c r="G85" s="23">
        <f>SUM('By Lot'!G501,'By Lot'!G518,'By Lot'!G552,'By Lot'!G569,'By Lot'!G586,'By Lot'!G603,'By Lot'!G620,'By Lot'!G638,'By Lot'!G1525)</f>
        <v>6</v>
      </c>
      <c r="H85" s="23">
        <f>SUM('By Lot'!H501,'By Lot'!H518,'By Lot'!H552,'By Lot'!H569,'By Lot'!H586,'By Lot'!H603,'By Lot'!H620,'By Lot'!H638,'By Lot'!H1525)</f>
        <v>5</v>
      </c>
      <c r="I85" s="23">
        <f>SUM('By Lot'!I501,'By Lot'!I518,'By Lot'!I552,'By Lot'!I569,'By Lot'!I586,'By Lot'!I603,'By Lot'!I620,'By Lot'!I638,'By Lot'!I1525)</f>
        <v>7</v>
      </c>
      <c r="J85" s="23">
        <f>SUM('By Lot'!J501,'By Lot'!J518,'By Lot'!J552,'By Lot'!J569,'By Lot'!J586,'By Lot'!J603,'By Lot'!J620,'By Lot'!J638,'By Lot'!J1525)</f>
        <v>7</v>
      </c>
      <c r="K85" s="23">
        <f>SUM('By Lot'!K501,'By Lot'!K518,'By Lot'!K552,'By Lot'!K569,'By Lot'!K586,'By Lot'!K603,'By Lot'!K620,'By Lot'!K638,'By Lot'!K1525)</f>
        <v>8</v>
      </c>
      <c r="L85" s="23">
        <f>SUM('By Lot'!L501,'By Lot'!L518,'By Lot'!L552,'By Lot'!L569,'By Lot'!L586,'By Lot'!L603,'By Lot'!L620,'By Lot'!L638,'By Lot'!L1525)</f>
        <v>9</v>
      </c>
      <c r="M85" s="25">
        <f>SUM('By Lot'!M501,'By Lot'!M518,'By Lot'!M552,'By Lot'!M569,'By Lot'!M586,'By Lot'!M603,'By Lot'!M620,'By Lot'!M638,'By Lot'!M1525)</f>
        <v>9</v>
      </c>
      <c r="N85" s="19">
        <f t="shared" si="33"/>
        <v>5</v>
      </c>
      <c r="O85" s="23">
        <f t="shared" si="34"/>
        <v>4</v>
      </c>
      <c r="P85" s="24">
        <f t="shared" si="35"/>
        <v>0.44444444444444442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18"/>
      <c r="B86" s="18" t="s">
        <v>37</v>
      </c>
      <c r="C86" s="28">
        <f>SUM('By Lot'!C502,'By Lot'!C519,'By Lot'!C553,'By Lot'!C570,'By Lot'!C587,'By Lot'!C604,'By Lot'!C621,'By Lot'!C639,'By Lot'!C1526)</f>
        <v>24</v>
      </c>
      <c r="D86" s="19">
        <f>SUM('By Lot'!D502:D504,'By Lot'!D519,'By Lot'!D553,'By Lot'!D570,'By Lot'!D587,'By Lot'!D604,'By Lot'!D621,'By Lot'!D639,'By Lot'!D1526)</f>
        <v>44</v>
      </c>
      <c r="E86" s="23">
        <f>SUM('By Lot'!E502:E504,'By Lot'!E519,'By Lot'!E553,'By Lot'!E570,'By Lot'!E587,'By Lot'!E604,'By Lot'!E621,'By Lot'!E639,'By Lot'!E1526)</f>
        <v>39</v>
      </c>
      <c r="F86" s="23">
        <f>SUM('By Lot'!F502:F504,'By Lot'!F519,'By Lot'!F553,'By Lot'!F570,'By Lot'!F587,'By Lot'!F604,'By Lot'!F621,'By Lot'!F639,'By Lot'!F1526)</f>
        <v>31</v>
      </c>
      <c r="G86" s="23">
        <f>SUM('By Lot'!G502:G504,'By Lot'!G519,'By Lot'!G553,'By Lot'!G570,'By Lot'!G587,'By Lot'!G604,'By Lot'!G621,'By Lot'!G639,'By Lot'!G1526)</f>
        <v>32</v>
      </c>
      <c r="H86" s="23">
        <f>SUM('By Lot'!H502:H504,'By Lot'!H519,'By Lot'!H553,'By Lot'!H570,'By Lot'!H587,'By Lot'!H604,'By Lot'!H621,'By Lot'!H639,'By Lot'!H1526)</f>
        <v>30</v>
      </c>
      <c r="I86" s="23">
        <f>SUM('By Lot'!I502:I504,'By Lot'!I519,'By Lot'!I553,'By Lot'!I570,'By Lot'!I587,'By Lot'!I604,'By Lot'!I621,'By Lot'!I639,'By Lot'!I1526)</f>
        <v>24</v>
      </c>
      <c r="J86" s="23">
        <f>SUM('By Lot'!J502:J504,'By Lot'!J519,'By Lot'!J553,'By Lot'!J570,'By Lot'!J587,'By Lot'!J604,'By Lot'!J621,'By Lot'!J639,'By Lot'!J1526)</f>
        <v>27</v>
      </c>
      <c r="K86" s="23">
        <f>SUM('By Lot'!K502:K504,'By Lot'!K519,'By Lot'!K553,'By Lot'!K570,'By Lot'!K587,'By Lot'!K604,'By Lot'!K621,'By Lot'!K639,'By Lot'!K1526)</f>
        <v>30</v>
      </c>
      <c r="L86" s="23">
        <f>SUM('By Lot'!L502:L504,'By Lot'!L519,'By Lot'!L553,'By Lot'!L570,'By Lot'!L587,'By Lot'!L604,'By Lot'!L621,'By Lot'!L639,'By Lot'!L1526)</f>
        <v>26</v>
      </c>
      <c r="M86" s="25">
        <f>SUM('By Lot'!M502:M504,'By Lot'!M519,'By Lot'!M553,'By Lot'!M570,'By Lot'!M587,'By Lot'!M604,'By Lot'!M621,'By Lot'!M639,'By Lot'!M1526)</f>
        <v>33</v>
      </c>
      <c r="N86" s="19">
        <f t="shared" si="33"/>
        <v>24</v>
      </c>
      <c r="O86" s="23">
        <f t="shared" si="34"/>
        <v>0</v>
      </c>
      <c r="P86" s="24">
        <f t="shared" si="35"/>
        <v>0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32"/>
      <c r="B87" s="33" t="s">
        <v>38</v>
      </c>
      <c r="C87" s="33">
        <f t="shared" ref="C87:M87" si="36">SUM(C75:C86)</f>
        <v>223</v>
      </c>
      <c r="D87" s="70">
        <f t="shared" si="36"/>
        <v>161</v>
      </c>
      <c r="E87" s="71">
        <f t="shared" si="36"/>
        <v>148</v>
      </c>
      <c r="F87" s="71">
        <f t="shared" si="36"/>
        <v>155</v>
      </c>
      <c r="G87" s="71">
        <f t="shared" si="36"/>
        <v>158</v>
      </c>
      <c r="H87" s="71">
        <f t="shared" si="36"/>
        <v>155</v>
      </c>
      <c r="I87" s="71">
        <f t="shared" si="36"/>
        <v>140</v>
      </c>
      <c r="J87" s="71">
        <f t="shared" si="36"/>
        <v>149</v>
      </c>
      <c r="K87" s="71">
        <f t="shared" si="36"/>
        <v>158</v>
      </c>
      <c r="L87" s="71">
        <f t="shared" si="36"/>
        <v>152</v>
      </c>
      <c r="M87" s="93">
        <f t="shared" si="36"/>
        <v>171</v>
      </c>
      <c r="N87" s="70">
        <f t="shared" si="33"/>
        <v>140</v>
      </c>
      <c r="O87" s="71">
        <f t="shared" si="34"/>
        <v>83</v>
      </c>
      <c r="P87" s="40">
        <f t="shared" si="35"/>
        <v>0.37219730941704038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66" t="s">
        <v>74</v>
      </c>
      <c r="B88" s="18" t="s">
        <v>23</v>
      </c>
      <c r="C88" s="18">
        <f>SUM('By Lot'!C641,'By Lot'!C658,'By Lot'!C675,'By Lot'!C709,'By Lot'!C726,'By Lot'!C743)</f>
        <v>212</v>
      </c>
      <c r="D88" s="19">
        <f>SUM('By Lot'!D641,'By Lot'!D658,'By Lot'!D675,'By Lot'!D709,'By Lot'!D726,'By Lot'!D743)</f>
        <v>108</v>
      </c>
      <c r="E88" s="23">
        <f>SUM('By Lot'!E641,'By Lot'!E658,'By Lot'!E675,'By Lot'!E709,'By Lot'!E726,'By Lot'!E743)</f>
        <v>99</v>
      </c>
      <c r="F88" s="23">
        <f>SUM('By Lot'!F641,'By Lot'!F658,'By Lot'!F675,'By Lot'!F709,'By Lot'!F726,'By Lot'!F743)</f>
        <v>87</v>
      </c>
      <c r="G88" s="23">
        <f>SUM('By Lot'!G641,'By Lot'!G658,'By Lot'!G675,'By Lot'!G709,'By Lot'!G726,'By Lot'!G743)</f>
        <v>85</v>
      </c>
      <c r="H88" s="23">
        <f>SUM('By Lot'!H641,'By Lot'!H658,'By Lot'!H675,'By Lot'!H709,'By Lot'!H726,'By Lot'!H743)</f>
        <v>86</v>
      </c>
      <c r="I88" s="23">
        <f>SUM('By Lot'!I641,'By Lot'!I658,'By Lot'!I675,'By Lot'!I709,'By Lot'!I726,'By Lot'!I743)</f>
        <v>106</v>
      </c>
      <c r="J88" s="23">
        <f>SUM('By Lot'!J641,'By Lot'!J658,'By Lot'!J675,'By Lot'!J709,'By Lot'!J726,'By Lot'!J743)</f>
        <v>112</v>
      </c>
      <c r="K88" s="23">
        <f>SUM('By Lot'!K641,'By Lot'!K658,'By Lot'!K675,'By Lot'!K709,'By Lot'!K726,'By Lot'!K743)</f>
        <v>153</v>
      </c>
      <c r="L88" s="23">
        <f>SUM('By Lot'!L641,'By Lot'!L658,'By Lot'!L675,'By Lot'!L709,'By Lot'!L726,'By Lot'!L743)</f>
        <v>170</v>
      </c>
      <c r="M88" s="25">
        <f>SUM('By Lot'!M641,'By Lot'!M658,'By Lot'!M675,'By Lot'!M709,'By Lot'!M726,'By Lot'!M743)</f>
        <v>178</v>
      </c>
      <c r="N88" s="19">
        <f t="shared" si="33"/>
        <v>85</v>
      </c>
      <c r="O88" s="23">
        <f t="shared" si="34"/>
        <v>127</v>
      </c>
      <c r="P88" s="24">
        <f t="shared" si="35"/>
        <v>0.59905660377358494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18" t="s">
        <v>69</v>
      </c>
      <c r="B89" s="18" t="s">
        <v>25</v>
      </c>
      <c r="C89" s="18">
        <f>SUM('By Lot'!C642,'By Lot'!C659,'By Lot'!C676,'By Lot'!C710,'By Lot'!C727,'By Lot'!C744)</f>
        <v>132</v>
      </c>
      <c r="D89" s="19">
        <f>SUM('By Lot'!D642,'By Lot'!D659,'By Lot'!D676,'By Lot'!D710,'By Lot'!D727,'By Lot'!D744)</f>
        <v>97</v>
      </c>
      <c r="E89" s="23">
        <f>SUM('By Lot'!E642,'By Lot'!E659,'By Lot'!E676,'By Lot'!E710,'By Lot'!E727,'By Lot'!E744)</f>
        <v>91</v>
      </c>
      <c r="F89" s="23">
        <f>SUM('By Lot'!F642,'By Lot'!F659,'By Lot'!F676,'By Lot'!F710,'By Lot'!F727,'By Lot'!F744)</f>
        <v>85</v>
      </c>
      <c r="G89" s="23">
        <f>SUM('By Lot'!G642,'By Lot'!G659,'By Lot'!G676,'By Lot'!G710,'By Lot'!G727,'By Lot'!G744)</f>
        <v>80</v>
      </c>
      <c r="H89" s="23">
        <f>SUM('By Lot'!H642,'By Lot'!H659,'By Lot'!H676,'By Lot'!H710,'By Lot'!H727,'By Lot'!H744)</f>
        <v>75</v>
      </c>
      <c r="I89" s="23">
        <f>SUM('By Lot'!I642,'By Lot'!I659,'By Lot'!I676,'By Lot'!I710,'By Lot'!I727,'By Lot'!I744)</f>
        <v>116</v>
      </c>
      <c r="J89" s="23">
        <f>SUM('By Lot'!J642,'By Lot'!J659,'By Lot'!J676,'By Lot'!J710,'By Lot'!J727,'By Lot'!J744)</f>
        <v>118</v>
      </c>
      <c r="K89" s="23">
        <f>SUM('By Lot'!K642,'By Lot'!K659,'By Lot'!K676,'By Lot'!K710,'By Lot'!K727,'By Lot'!K744)</f>
        <v>124</v>
      </c>
      <c r="L89" s="23">
        <f>SUM('By Lot'!L642,'By Lot'!L659,'By Lot'!L676,'By Lot'!L710,'By Lot'!L727,'By Lot'!L744)</f>
        <v>121</v>
      </c>
      <c r="M89" s="25">
        <f>SUM('By Lot'!M642,'By Lot'!M659,'By Lot'!M676,'By Lot'!M710,'By Lot'!M727,'By Lot'!M744)</f>
        <v>128</v>
      </c>
      <c r="N89" s="19">
        <f t="shared" si="33"/>
        <v>75</v>
      </c>
      <c r="O89" s="23">
        <f t="shared" si="34"/>
        <v>57</v>
      </c>
      <c r="P89" s="24">
        <f t="shared" si="35"/>
        <v>0.43181818181818182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18"/>
      <c r="B90" s="18" t="s">
        <v>27</v>
      </c>
      <c r="C90" s="18"/>
      <c r="D90" s="26"/>
      <c r="E90" s="2"/>
      <c r="F90" s="2"/>
      <c r="G90" s="2"/>
      <c r="H90" s="2"/>
      <c r="I90" s="2"/>
      <c r="J90" s="2"/>
      <c r="K90" s="2"/>
      <c r="L90" s="2"/>
      <c r="M90" s="27"/>
      <c r="N90" s="26"/>
      <c r="O90" s="2"/>
      <c r="P90" s="24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18"/>
      <c r="B91" s="18" t="s">
        <v>31</v>
      </c>
      <c r="C91" s="18">
        <f>SUM('By Lot'!C644:C645,'By Lot'!C661:C662,'By Lot'!C678:C679,'By Lot'!C712:C713,'By Lot'!C729:C730,'By Lot'!C746:C747)</f>
        <v>28</v>
      </c>
      <c r="D91" s="19">
        <f>SUM('By Lot'!D644:D645,'By Lot'!D661:D662,'By Lot'!D678:D679,'By Lot'!D712:D713,'By Lot'!D729:D730,'By Lot'!D746:D747)</f>
        <v>1</v>
      </c>
      <c r="E91" s="23">
        <f>SUM('By Lot'!E644:E645,'By Lot'!E661:E662,'By Lot'!E678:E679,'By Lot'!E712:E713,'By Lot'!E729:E730,'By Lot'!E746:E747)</f>
        <v>1</v>
      </c>
      <c r="F91" s="23">
        <f>SUM('By Lot'!F644:F645,'By Lot'!F661:F662,'By Lot'!F678:F679,'By Lot'!F712:F713,'By Lot'!F729:F730,'By Lot'!F746:F747)</f>
        <v>2</v>
      </c>
      <c r="G91" s="23">
        <f>SUM('By Lot'!G644:G645,'By Lot'!G661:G662,'By Lot'!G678:G679,'By Lot'!G712:G713,'By Lot'!G729:G730,'By Lot'!G746:G747)</f>
        <v>3</v>
      </c>
      <c r="H91" s="23">
        <f>SUM('By Lot'!H644:H645,'By Lot'!H661:H662,'By Lot'!H678:H679,'By Lot'!H712:H713,'By Lot'!H729:H730,'By Lot'!H746:H747)</f>
        <v>6</v>
      </c>
      <c r="I91" s="23">
        <f>SUM('By Lot'!I644:I645,'By Lot'!I661:I662,'By Lot'!I678:I679,'By Lot'!I712:I713,'By Lot'!I729:I730,'By Lot'!I746:I747)</f>
        <v>5</v>
      </c>
      <c r="J91" s="23">
        <f>SUM('By Lot'!J644:J645,'By Lot'!J661:J662,'By Lot'!J678:J679,'By Lot'!J712:J713,'By Lot'!J729:J730,'By Lot'!J746:J747)</f>
        <v>3</v>
      </c>
      <c r="K91" s="23">
        <f>SUM('By Lot'!K644:K645,'By Lot'!K661:K662,'By Lot'!K678:K679,'By Lot'!K712:K713,'By Lot'!K729:K730,'By Lot'!K746:K747)</f>
        <v>24</v>
      </c>
      <c r="L91" s="23">
        <f>SUM('By Lot'!L644:L645,'By Lot'!L661:L662,'By Lot'!L678:L679,'By Lot'!L712:L713,'By Lot'!L729:L730,'By Lot'!L746:L747)</f>
        <v>25</v>
      </c>
      <c r="M91" s="25">
        <f>SUM('By Lot'!M644:M645,'By Lot'!M661:M662,'By Lot'!M678:M679,'By Lot'!M712:M713,'By Lot'!M729:M730,'By Lot'!M746:M747)</f>
        <v>24</v>
      </c>
      <c r="N91" s="19">
        <f t="shared" ref="N91:N94" si="37">MIN(D91:M91)</f>
        <v>1</v>
      </c>
      <c r="O91" s="23">
        <f t="shared" ref="O91:O94" si="38">C91-N91</f>
        <v>27</v>
      </c>
      <c r="P91" s="24">
        <f t="shared" ref="P91:P94" si="39">O91/C91</f>
        <v>0.9642857142857143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18"/>
      <c r="B92" s="18" t="s">
        <v>32</v>
      </c>
      <c r="C92" s="18">
        <f>SUM('By Lot'!C646,'By Lot'!C663,'By Lot'!C680,'By Lot'!C714,'By Lot'!C731,'By Lot'!C748)</f>
        <v>9</v>
      </c>
      <c r="D92" s="19">
        <f>SUM('By Lot'!D646,'By Lot'!D663,'By Lot'!D680,'By Lot'!D714,'By Lot'!D731,'By Lot'!D748)</f>
        <v>8</v>
      </c>
      <c r="E92" s="23">
        <f>SUM('By Lot'!E646,'By Lot'!E663,'By Lot'!E680,'By Lot'!E714,'By Lot'!E731,'By Lot'!E748)</f>
        <v>8</v>
      </c>
      <c r="F92" s="23">
        <f>SUM('By Lot'!F646,'By Lot'!F663,'By Lot'!F680,'By Lot'!F714,'By Lot'!F731,'By Lot'!F748)</f>
        <v>8</v>
      </c>
      <c r="G92" s="23">
        <f>SUM('By Lot'!G646,'By Lot'!G663,'By Lot'!G680,'By Lot'!G714,'By Lot'!G731,'By Lot'!G748)</f>
        <v>8</v>
      </c>
      <c r="H92" s="23">
        <f>SUM('By Lot'!H646,'By Lot'!H663,'By Lot'!H680,'By Lot'!H714,'By Lot'!H731,'By Lot'!H748)</f>
        <v>7</v>
      </c>
      <c r="I92" s="23">
        <f>SUM('By Lot'!I646,'By Lot'!I663,'By Lot'!I680,'By Lot'!I714,'By Lot'!I731,'By Lot'!I748)</f>
        <v>4</v>
      </c>
      <c r="J92" s="23">
        <f>SUM('By Lot'!J646,'By Lot'!J663,'By Lot'!J680,'By Lot'!J714,'By Lot'!J731,'By Lot'!J748)</f>
        <v>2</v>
      </c>
      <c r="K92" s="23">
        <f>SUM('By Lot'!K646,'By Lot'!K663,'By Lot'!K680,'By Lot'!K714,'By Lot'!K731,'By Lot'!K748)</f>
        <v>4</v>
      </c>
      <c r="L92" s="23">
        <f>SUM('By Lot'!L646,'By Lot'!L663,'By Lot'!L680,'By Lot'!L714,'By Lot'!L731,'By Lot'!L748)</f>
        <v>5</v>
      </c>
      <c r="M92" s="25">
        <f>SUM('By Lot'!M646,'By Lot'!M663,'By Lot'!M680,'By Lot'!M714,'By Lot'!M731,'By Lot'!M748)</f>
        <v>5</v>
      </c>
      <c r="N92" s="19">
        <f t="shared" si="37"/>
        <v>2</v>
      </c>
      <c r="O92" s="23">
        <f t="shared" si="38"/>
        <v>7</v>
      </c>
      <c r="P92" s="24">
        <f t="shared" si="39"/>
        <v>0.77777777777777779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18"/>
      <c r="B93" s="18" t="s">
        <v>33</v>
      </c>
      <c r="C93" s="18">
        <f>SUM('By Lot'!C647:C652,'By Lot'!C664:C669,'By Lot'!C681:C686,'By Lot'!C715:C720,'By Lot'!C732:C737,'By Lot'!C749:C754)</f>
        <v>7</v>
      </c>
      <c r="D93" s="19">
        <f>SUM('By Lot'!D647:D652,'By Lot'!D664:D669,'By Lot'!D681:D686,'By Lot'!D715:D720,'By Lot'!D732:D737,'By Lot'!D749:D754)</f>
        <v>4</v>
      </c>
      <c r="E93" s="23">
        <f>SUM('By Lot'!E647:E652,'By Lot'!E664:E669,'By Lot'!E681:E686,'By Lot'!E715:E720,'By Lot'!E732:E737,'By Lot'!E749:E754)</f>
        <v>4</v>
      </c>
      <c r="F93" s="23">
        <f>SUM('By Lot'!F647:F652,'By Lot'!F664:F669,'By Lot'!F681:F686,'By Lot'!F715:F720,'By Lot'!F732:F737,'By Lot'!F749:F754)</f>
        <v>4</v>
      </c>
      <c r="G93" s="23">
        <f>SUM('By Lot'!G647:G652,'By Lot'!G664:G669,'By Lot'!G681:G686,'By Lot'!G715:G720,'By Lot'!G732:G737,'By Lot'!G749:G754)</f>
        <v>4</v>
      </c>
      <c r="H93" s="23">
        <f>SUM('By Lot'!H647:H652,'By Lot'!H664:H669,'By Lot'!H681:H686,'By Lot'!H715:H720,'By Lot'!H732:H737,'By Lot'!H749:H754)</f>
        <v>4</v>
      </c>
      <c r="I93" s="23">
        <f>SUM('By Lot'!I647:I652,'By Lot'!I664:I669,'By Lot'!I681:I686,'By Lot'!I715:I720,'By Lot'!I732:I737,'By Lot'!I749:I754)</f>
        <v>4</v>
      </c>
      <c r="J93" s="23">
        <f>SUM('By Lot'!J647:J652,'By Lot'!J664:J669,'By Lot'!J681:J686,'By Lot'!J715:J720,'By Lot'!J732:J737,'By Lot'!J749:J754)</f>
        <v>3</v>
      </c>
      <c r="K93" s="23">
        <f>SUM('By Lot'!K647:K652,'By Lot'!K664:K669,'By Lot'!K681:K686,'By Lot'!K715:K720,'By Lot'!K732:K737,'By Lot'!K749:K754)</f>
        <v>4</v>
      </c>
      <c r="L93" s="23">
        <f>SUM('By Lot'!L647:L652,'By Lot'!L664:L669,'By Lot'!L681:L686,'By Lot'!L715:L720,'By Lot'!L732:L737,'By Lot'!L749:L754)</f>
        <v>4</v>
      </c>
      <c r="M93" s="25">
        <f>SUM('By Lot'!M647:M652,'By Lot'!M664:M669,'By Lot'!M681:M686,'By Lot'!M715:M720,'By Lot'!M732:M737,'By Lot'!M749:M754)</f>
        <v>4</v>
      </c>
      <c r="N93" s="19">
        <f t="shared" si="37"/>
        <v>3</v>
      </c>
      <c r="O93" s="23">
        <f t="shared" si="38"/>
        <v>4</v>
      </c>
      <c r="P93" s="24">
        <f t="shared" si="39"/>
        <v>0.5714285714285714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18"/>
      <c r="B94" s="18" t="s">
        <v>34</v>
      </c>
      <c r="C94" s="18">
        <f>SUM('By Lot'!C653,'By Lot'!C670,'By Lot'!C687,'By Lot'!C721,'By Lot'!C738,'By Lot'!C755)</f>
        <v>27</v>
      </c>
      <c r="D94" s="19">
        <f>SUM('By Lot'!D653,'By Lot'!D670,'By Lot'!D687,'By Lot'!D721,'By Lot'!D738,'By Lot'!D755)</f>
        <v>24</v>
      </c>
      <c r="E94" s="23">
        <f>SUM('By Lot'!E653,'By Lot'!E670,'By Lot'!E687,'By Lot'!E721,'By Lot'!E738,'By Lot'!E755)</f>
        <v>24</v>
      </c>
      <c r="F94" s="23">
        <f>SUM('By Lot'!F653,'By Lot'!F670,'By Lot'!F687,'By Lot'!F721,'By Lot'!F738,'By Lot'!F755)</f>
        <v>24</v>
      </c>
      <c r="G94" s="23">
        <f>SUM('By Lot'!G653,'By Lot'!G670,'By Lot'!G687,'By Lot'!G721,'By Lot'!G738,'By Lot'!G755)</f>
        <v>24</v>
      </c>
      <c r="H94" s="23">
        <f>SUM('By Lot'!H653,'By Lot'!H670,'By Lot'!H687,'By Lot'!H721,'By Lot'!H738,'By Lot'!H755)</f>
        <v>24</v>
      </c>
      <c r="I94" s="23">
        <f>SUM('By Lot'!I653,'By Lot'!I670,'By Lot'!I687,'By Lot'!I721,'By Lot'!I738,'By Lot'!I755)</f>
        <v>26</v>
      </c>
      <c r="J94" s="23">
        <f>SUM('By Lot'!J653,'By Lot'!J670,'By Lot'!J687,'By Lot'!J721,'By Lot'!J738,'By Lot'!J755)</f>
        <v>26</v>
      </c>
      <c r="K94" s="23">
        <f>SUM('By Lot'!K653,'By Lot'!K670,'By Lot'!K687,'By Lot'!K721,'By Lot'!K738,'By Lot'!K755)</f>
        <v>27</v>
      </c>
      <c r="L94" s="23">
        <f>SUM('By Lot'!L653,'By Lot'!L670,'By Lot'!L687,'By Lot'!L721,'By Lot'!L738,'By Lot'!L755)</f>
        <v>27</v>
      </c>
      <c r="M94" s="25">
        <f>SUM('By Lot'!M653,'By Lot'!M670,'By Lot'!M687,'By Lot'!M721,'By Lot'!M738,'By Lot'!M755)</f>
        <v>26</v>
      </c>
      <c r="N94" s="19">
        <f t="shared" si="37"/>
        <v>24</v>
      </c>
      <c r="O94" s="23">
        <f t="shared" si="38"/>
        <v>3</v>
      </c>
      <c r="P94" s="24">
        <f t="shared" si="39"/>
        <v>0.1111111111111111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18"/>
      <c r="B95" s="18" t="s">
        <v>35</v>
      </c>
      <c r="C95" s="18"/>
      <c r="D95" s="26"/>
      <c r="E95" s="2"/>
      <c r="F95" s="2"/>
      <c r="G95" s="2"/>
      <c r="H95" s="2"/>
      <c r="I95" s="2"/>
      <c r="J95" s="2"/>
      <c r="K95" s="2"/>
      <c r="L95" s="2"/>
      <c r="M95" s="27"/>
      <c r="N95" s="26"/>
      <c r="O95" s="2"/>
      <c r="P95" s="24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18"/>
      <c r="B96" s="18" t="s">
        <v>36</v>
      </c>
      <c r="C96" s="18">
        <f>SUM('By Lot'!C655,'By Lot'!C672,'By Lot'!C689,'By Lot'!C723,'By Lot'!C740,'By Lot'!C757)</f>
        <v>7</v>
      </c>
      <c r="D96" s="26">
        <f>SUM('By Lot'!D655,'By Lot'!D672,'By Lot'!D689,'By Lot'!D723,'By Lot'!D740,'By Lot'!D757)</f>
        <v>1</v>
      </c>
      <c r="E96" s="2">
        <f>SUM('By Lot'!E655,'By Lot'!E672,'By Lot'!E689,'By Lot'!E723,'By Lot'!E740,'By Lot'!E757)</f>
        <v>1</v>
      </c>
      <c r="F96" s="2">
        <f>SUM('By Lot'!F655,'By Lot'!F672,'By Lot'!F689,'By Lot'!F723,'By Lot'!F740,'By Lot'!F757)</f>
        <v>3</v>
      </c>
      <c r="G96" s="2">
        <f>SUM('By Lot'!G655,'By Lot'!G672,'By Lot'!G689,'By Lot'!G723,'By Lot'!G740,'By Lot'!G757)</f>
        <v>3</v>
      </c>
      <c r="H96" s="2">
        <f>SUM('By Lot'!H655,'By Lot'!H672,'By Lot'!H689,'By Lot'!H723,'By Lot'!H740,'By Lot'!H757)</f>
        <v>3</v>
      </c>
      <c r="I96" s="2">
        <f>SUM('By Lot'!I655,'By Lot'!I672,'By Lot'!I689,'By Lot'!I723,'By Lot'!I740,'By Lot'!I757)</f>
        <v>4</v>
      </c>
      <c r="J96" s="2">
        <f>SUM('By Lot'!J655,'By Lot'!J672,'By Lot'!J689,'By Lot'!J723,'By Lot'!J740,'By Lot'!J757)</f>
        <v>4</v>
      </c>
      <c r="K96" s="2">
        <f>SUM('By Lot'!K655,'By Lot'!K672,'By Lot'!K689,'By Lot'!K723,'By Lot'!K740,'By Lot'!K757)</f>
        <v>4</v>
      </c>
      <c r="L96" s="2">
        <f>SUM('By Lot'!L655,'By Lot'!L672,'By Lot'!L689,'By Lot'!L723,'By Lot'!L740,'By Lot'!L757)</f>
        <v>4</v>
      </c>
      <c r="M96" s="27">
        <f>SUM('By Lot'!M655,'By Lot'!M672,'By Lot'!M689,'By Lot'!M723,'By Lot'!M740,'By Lot'!M757)</f>
        <v>4</v>
      </c>
      <c r="N96" s="26">
        <f t="shared" ref="N96:N112" si="40">MIN(D96:M96)</f>
        <v>1</v>
      </c>
      <c r="O96" s="2">
        <f t="shared" ref="O96:O112" si="41">C96-N96</f>
        <v>6</v>
      </c>
      <c r="P96" s="24">
        <f t="shared" ref="P96:P112" si="42">O96/C96</f>
        <v>0.8571428571428571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18"/>
      <c r="B97" s="18" t="s">
        <v>37</v>
      </c>
      <c r="C97" s="18">
        <f>SUM('By Lot'!C656,'By Lot'!C673,'By Lot'!C690,'By Lot'!C724,'By Lot'!C741,'By Lot'!C758)</f>
        <v>10</v>
      </c>
      <c r="D97" s="26">
        <f>SUM('By Lot'!D656,'By Lot'!D673,'By Lot'!D690,'By Lot'!D724,'By Lot'!D741,'By Lot'!D758)</f>
        <v>3</v>
      </c>
      <c r="E97" s="2">
        <f>SUM('By Lot'!E656,'By Lot'!E673,'By Lot'!E690,'By Lot'!E724,'By Lot'!E741,'By Lot'!E758)</f>
        <v>3</v>
      </c>
      <c r="F97" s="2">
        <f>SUM('By Lot'!F656,'By Lot'!F673,'By Lot'!F690,'By Lot'!F724,'By Lot'!F741,'By Lot'!F758)</f>
        <v>3</v>
      </c>
      <c r="G97" s="2">
        <f>SUM('By Lot'!G656,'By Lot'!G673,'By Lot'!G690,'By Lot'!G724,'By Lot'!G741,'By Lot'!G758)</f>
        <v>3</v>
      </c>
      <c r="H97" s="2">
        <f>SUM('By Lot'!H656,'By Lot'!H673,'By Lot'!H690,'By Lot'!H724,'By Lot'!H741,'By Lot'!H758)</f>
        <v>3</v>
      </c>
      <c r="I97" s="2">
        <f>SUM('By Lot'!I656,'By Lot'!I673,'By Lot'!I690,'By Lot'!I724,'By Lot'!I741,'By Lot'!I758)</f>
        <v>8</v>
      </c>
      <c r="J97" s="2">
        <f>SUM('By Lot'!J656,'By Lot'!J673,'By Lot'!J690,'By Lot'!J724,'By Lot'!J741,'By Lot'!J758)</f>
        <v>8</v>
      </c>
      <c r="K97" s="2">
        <f>SUM('By Lot'!K656,'By Lot'!K673,'By Lot'!K690,'By Lot'!K724,'By Lot'!K741,'By Lot'!K758)</f>
        <v>8</v>
      </c>
      <c r="L97" s="2">
        <f>SUM('By Lot'!L656,'By Lot'!L673,'By Lot'!L690,'By Lot'!L724,'By Lot'!L741,'By Lot'!L758)</f>
        <v>9</v>
      </c>
      <c r="M97" s="27">
        <f>SUM('By Lot'!M656,'By Lot'!M673,'By Lot'!M690,'By Lot'!M724,'By Lot'!M741,'By Lot'!M758)</f>
        <v>9</v>
      </c>
      <c r="N97" s="26">
        <f t="shared" si="40"/>
        <v>3</v>
      </c>
      <c r="O97" s="2">
        <f t="shared" si="41"/>
        <v>7</v>
      </c>
      <c r="P97" s="24">
        <f t="shared" si="42"/>
        <v>0.7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32"/>
      <c r="B98" s="33" t="s">
        <v>38</v>
      </c>
      <c r="C98" s="33">
        <f t="shared" ref="C98:M98" si="43">SUM(C88:C97)</f>
        <v>432</v>
      </c>
      <c r="D98" s="38">
        <f t="shared" si="43"/>
        <v>246</v>
      </c>
      <c r="E98" s="39">
        <f t="shared" si="43"/>
        <v>231</v>
      </c>
      <c r="F98" s="39">
        <f t="shared" si="43"/>
        <v>216</v>
      </c>
      <c r="G98" s="39">
        <f t="shared" si="43"/>
        <v>210</v>
      </c>
      <c r="H98" s="39">
        <f t="shared" si="43"/>
        <v>208</v>
      </c>
      <c r="I98" s="39">
        <f t="shared" si="43"/>
        <v>273</v>
      </c>
      <c r="J98" s="39">
        <f t="shared" si="43"/>
        <v>276</v>
      </c>
      <c r="K98" s="39">
        <f t="shared" si="43"/>
        <v>348</v>
      </c>
      <c r="L98" s="39">
        <f t="shared" si="43"/>
        <v>365</v>
      </c>
      <c r="M98" s="95">
        <f t="shared" si="43"/>
        <v>378</v>
      </c>
      <c r="N98" s="38">
        <f t="shared" si="40"/>
        <v>208</v>
      </c>
      <c r="O98" s="39">
        <f t="shared" si="41"/>
        <v>224</v>
      </c>
      <c r="P98" s="40">
        <f t="shared" si="42"/>
        <v>0.51851851851851849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41" t="s">
        <v>75</v>
      </c>
      <c r="B99" s="18" t="s">
        <v>23</v>
      </c>
      <c r="C99" s="18">
        <f>SUM('By Lot'!C692,'By Lot'!C760,'By Lot'!C778,'By Lot'!C795,
'By Lot'!C812,'By Lot'!C829,'By Lot'!C846,'By Lot'!C863,
'By Lot'!C914,'By Lot'!C931,'By Lot'!C1000,'By Lot'!C1017,
'By Lot'!C1034,'By Lot'!C1051,'By Lot'!C1068,'By Lot'!C1085)</f>
        <v>317</v>
      </c>
      <c r="D99" s="26">
        <f>SUM('By Lot'!D692,'By Lot'!D760,'By Lot'!D778,'By Lot'!D795,'By Lot'!D812,'By Lot'!D829,'By Lot'!D846,'By Lot'!D863,'By Lot'!D914,'By Lot'!D931,'By Lot'!D1000,'By Lot'!D1017,'By Lot'!D1034,'By Lot'!D1051,'By Lot'!D1068,'By Lot'!D1085)</f>
        <v>322</v>
      </c>
      <c r="E99" s="2">
        <f>SUM('By Lot'!E692,'By Lot'!E760,'By Lot'!E778,'By Lot'!E795,'By Lot'!E812,'By Lot'!E829,'By Lot'!E846,'By Lot'!E863,'By Lot'!E914,'By Lot'!E931,'By Lot'!E1000,'By Lot'!E1017,'By Lot'!E1034,'By Lot'!E1051,'By Lot'!E1068,'By Lot'!E1085)</f>
        <v>282</v>
      </c>
      <c r="F99" s="2">
        <f>SUM('By Lot'!F692,'By Lot'!F760,'By Lot'!F778,'By Lot'!F795,'By Lot'!F812,'By Lot'!F829,'By Lot'!F846,'By Lot'!F863,'By Lot'!F914,'By Lot'!F931,'By Lot'!F1000,'By Lot'!F1017,'By Lot'!F1034,'By Lot'!F1051,'By Lot'!F1068,'By Lot'!F1085)</f>
        <v>318</v>
      </c>
      <c r="G99" s="2">
        <f>SUM('By Lot'!G692,'By Lot'!G760,'By Lot'!G778,'By Lot'!G795,'By Lot'!G812,'By Lot'!G829,'By Lot'!G846,'By Lot'!G863,'By Lot'!G914,'By Lot'!G931,'By Lot'!G1000,'By Lot'!G1017,'By Lot'!G1034,'By Lot'!G1051,'By Lot'!G1068,'By Lot'!G1085)</f>
        <v>316</v>
      </c>
      <c r="H99" s="2">
        <f>SUM('By Lot'!H692,'By Lot'!H760,'By Lot'!H778,'By Lot'!H795,'By Lot'!H812,'By Lot'!H829,'By Lot'!H846,'By Lot'!H863,'By Lot'!H914,'By Lot'!H931,'By Lot'!H1000,'By Lot'!H1017,'By Lot'!H1034,'By Lot'!H1051,'By Lot'!H1068,'By Lot'!H1085)</f>
        <v>311</v>
      </c>
      <c r="I99" s="2">
        <f>SUM('By Lot'!I692,'By Lot'!I760,'By Lot'!I778,'By Lot'!I795,'By Lot'!I812,'By Lot'!I829,'By Lot'!I846,'By Lot'!I863,'By Lot'!I914,'By Lot'!I931,'By Lot'!I1000,'By Lot'!I1017,'By Lot'!I1034,'By Lot'!I1051,'By Lot'!I1068,'By Lot'!I1085)</f>
        <v>295</v>
      </c>
      <c r="J99" s="2">
        <f>SUM('By Lot'!J692,'By Lot'!J760,'By Lot'!J778,'By Lot'!J795,'By Lot'!J812,'By Lot'!J829,'By Lot'!J846,'By Lot'!J863,'By Lot'!J914,'By Lot'!J931,'By Lot'!J1000,'By Lot'!J1017,'By Lot'!J1034,'By Lot'!J1051,'By Lot'!J1068,'By Lot'!J1085)</f>
        <v>295</v>
      </c>
      <c r="K99" s="2">
        <f>SUM('By Lot'!K692,'By Lot'!K760,'By Lot'!K778,'By Lot'!K795,'By Lot'!K812,'By Lot'!K829,'By Lot'!K846,'By Lot'!K863,'By Lot'!K914,'By Lot'!K931,'By Lot'!K1000,'By Lot'!K1017,'By Lot'!K1034,'By Lot'!K1051,'By Lot'!K1068,'By Lot'!K1085)</f>
        <v>294</v>
      </c>
      <c r="L99" s="2">
        <f>SUM('By Lot'!L692,'By Lot'!L760,'By Lot'!L778,'By Lot'!L795,'By Lot'!L812,'By Lot'!L829,'By Lot'!L846,'By Lot'!L863,'By Lot'!L914,'By Lot'!L931,'By Lot'!L1000,'By Lot'!L1017,'By Lot'!L1034,'By Lot'!L1051,'By Lot'!L1068,'By Lot'!L1085)</f>
        <v>300</v>
      </c>
      <c r="M99" s="27">
        <f>SUM('By Lot'!M692,'By Lot'!M760,'By Lot'!M778,'By Lot'!M795,'By Lot'!M812,'By Lot'!M829,'By Lot'!M846,'By Lot'!M863,'By Lot'!M914,'By Lot'!M931,'By Lot'!M1000,'By Lot'!M1017,'By Lot'!M1034,'By Lot'!M1051,'By Lot'!M1068,'By Lot'!M1085)</f>
        <v>303</v>
      </c>
      <c r="N99" s="26">
        <f t="shared" si="40"/>
        <v>282</v>
      </c>
      <c r="O99" s="2">
        <f t="shared" si="41"/>
        <v>35</v>
      </c>
      <c r="P99" s="24">
        <f t="shared" si="42"/>
        <v>0.11041009463722397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6" t="s">
        <v>69</v>
      </c>
      <c r="B100" s="18" t="s">
        <v>25</v>
      </c>
      <c r="C100" s="18">
        <f>SUM('By Lot'!C693,'By Lot'!C761,'By Lot'!C779,'By Lot'!C796,
'By Lot'!C813,'By Lot'!C830,'By Lot'!C847,'By Lot'!C864,
'By Lot'!C915,'By Lot'!C932,'By Lot'!C1001,'By Lot'!C1018,
'By Lot'!C1035,'By Lot'!C1052,'By Lot'!C1069,'By Lot'!C1086)</f>
        <v>1027</v>
      </c>
      <c r="D100" s="26">
        <f>SUM('By Lot'!D693,'By Lot'!D761,'By Lot'!D779,'By Lot'!D796,'By Lot'!D813,'By Lot'!D830,'By Lot'!D847,'By Lot'!D864,'By Lot'!D915,'By Lot'!D932,'By Lot'!D1001,'By Lot'!D1018,'By Lot'!D1035,'By Lot'!D1052,'By Lot'!D1069,'By Lot'!D1086)</f>
        <v>731</v>
      </c>
      <c r="E100" s="2">
        <f>SUM('By Lot'!E693,'By Lot'!E761,'By Lot'!E779,'By Lot'!E796,'By Lot'!E813,'By Lot'!E830,'By Lot'!E847,'By Lot'!E864,'By Lot'!E915,'By Lot'!E932,'By Lot'!E1001,'By Lot'!E1018,'By Lot'!E1035,'By Lot'!E1052,'By Lot'!E1069,'By Lot'!E1086)</f>
        <v>723</v>
      </c>
      <c r="F100" s="2">
        <f>SUM('By Lot'!F693,'By Lot'!F761,'By Lot'!F779,'By Lot'!F796,'By Lot'!F813,'By Lot'!F830,'By Lot'!F847,'By Lot'!F864,'By Lot'!F915,'By Lot'!F932,'By Lot'!F1001,'By Lot'!F1018,'By Lot'!F1035,'By Lot'!F1052,'By Lot'!F1069,'By Lot'!F1086)</f>
        <v>712</v>
      </c>
      <c r="G100" s="2">
        <f>SUM('By Lot'!G693,'By Lot'!G761,'By Lot'!G779,'By Lot'!G796,'By Lot'!G813,'By Lot'!G830,'By Lot'!G847,'By Lot'!G864,'By Lot'!G915,'By Lot'!G932,'By Lot'!G1001,'By Lot'!G1018,'By Lot'!G1035,'By Lot'!G1052,'By Lot'!G1069,'By Lot'!G1086)</f>
        <v>692</v>
      </c>
      <c r="H100" s="2">
        <f>SUM('By Lot'!H693,'By Lot'!H761,'By Lot'!H779,'By Lot'!H796,'By Lot'!H813,'By Lot'!H830,'By Lot'!H847,'By Lot'!H864,'By Lot'!H915,'By Lot'!H932,'By Lot'!H1001,'By Lot'!H1018,'By Lot'!H1035,'By Lot'!H1052,'By Lot'!H1069,'By Lot'!H1086)</f>
        <v>676</v>
      </c>
      <c r="I100" s="2">
        <f>SUM('By Lot'!I693,'By Lot'!I761,'By Lot'!I779,'By Lot'!I796,'By Lot'!I813,'By Lot'!I830,'By Lot'!I847,'By Lot'!I864,'By Lot'!I915,'By Lot'!I932,'By Lot'!I1001,'By Lot'!I1018,'By Lot'!I1035,'By Lot'!I1052,'By Lot'!I1069,'By Lot'!I1086)</f>
        <v>709</v>
      </c>
      <c r="J100" s="2">
        <f>SUM('By Lot'!J693,'By Lot'!J761,'By Lot'!J779,'By Lot'!J796,'By Lot'!J813,'By Lot'!J830,'By Lot'!J847,'By Lot'!J864,'By Lot'!J915,'By Lot'!J932,'By Lot'!J1001,'By Lot'!J1018,'By Lot'!J1035,'By Lot'!J1052,'By Lot'!J1069,'By Lot'!J1086)</f>
        <v>726</v>
      </c>
      <c r="K100" s="2">
        <f>SUM('By Lot'!K693,'By Lot'!K761,'By Lot'!K779,'By Lot'!K796,'By Lot'!K813,'By Lot'!K830,'By Lot'!K847,'By Lot'!K864,'By Lot'!K915,'By Lot'!K932,'By Lot'!K1001,'By Lot'!K1018,'By Lot'!K1035,'By Lot'!K1052,'By Lot'!K1069,'By Lot'!K1086)</f>
        <v>903</v>
      </c>
      <c r="L100" s="2">
        <f>SUM('By Lot'!L693,'By Lot'!L761,'By Lot'!L779,'By Lot'!L796,'By Lot'!L813,'By Lot'!L830,'By Lot'!L847,'By Lot'!L864,'By Lot'!L915,'By Lot'!L932,'By Lot'!L1001,'By Lot'!L1018,'By Lot'!L1035,'By Lot'!L1052,'By Lot'!L1069,'By Lot'!L1086)</f>
        <v>939</v>
      </c>
      <c r="M100" s="27">
        <f>SUM('By Lot'!M693,'By Lot'!M761,'By Lot'!M779,'By Lot'!M796,'By Lot'!M813,'By Lot'!M830,'By Lot'!M847,'By Lot'!M864,'By Lot'!M915,'By Lot'!M932,'By Lot'!M1001,'By Lot'!M1018,'By Lot'!M1035,'By Lot'!M1052,'By Lot'!M1069,'By Lot'!M1086)</f>
        <v>970</v>
      </c>
      <c r="N100" s="26">
        <f t="shared" si="40"/>
        <v>676</v>
      </c>
      <c r="O100" s="2">
        <f t="shared" si="41"/>
        <v>351</v>
      </c>
      <c r="P100" s="24">
        <f t="shared" si="42"/>
        <v>0.34177215189873417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6"/>
      <c r="B101" s="18" t="s">
        <v>27</v>
      </c>
      <c r="C101" s="18">
        <f>SUM('By Lot'!C694,'By Lot'!C762,'By Lot'!C780,'By Lot'!C797,
'By Lot'!C814,'By Lot'!C831,'By Lot'!C848,'By Lot'!C865,
'By Lot'!C916,'By Lot'!C933,'By Lot'!C1002,'By Lot'!C1019,
'By Lot'!C1036,'By Lot'!C1053,'By Lot'!C1070,'By Lot'!C1087)</f>
        <v>410</v>
      </c>
      <c r="D101" s="26">
        <f>SUM('By Lot'!D694,'By Lot'!D762,'By Lot'!D780,'By Lot'!D797,'By Lot'!D814,'By Lot'!D831,'By Lot'!D848,'By Lot'!D865,'By Lot'!D916,'By Lot'!D933,'By Lot'!D1002,'By Lot'!D1019,'By Lot'!D1036,'By Lot'!D1053,'By Lot'!D1070,'By Lot'!D1087)</f>
        <v>313</v>
      </c>
      <c r="E101" s="2">
        <f>SUM('By Lot'!E694,'By Lot'!E762,'By Lot'!E780,'By Lot'!E797,'By Lot'!E814,'By Lot'!E831,'By Lot'!E848,'By Lot'!E865,'By Lot'!E916,'By Lot'!E933,'By Lot'!E1002,'By Lot'!E1019,'By Lot'!E1036,'By Lot'!E1053,'By Lot'!E1070,'By Lot'!E1087)</f>
        <v>298</v>
      </c>
      <c r="F101" s="2">
        <f>SUM('By Lot'!F694,'By Lot'!F762,'By Lot'!F780,'By Lot'!F797,'By Lot'!F814,'By Lot'!F831,'By Lot'!F848,'By Lot'!F865,'By Lot'!F916,'By Lot'!F933,'By Lot'!F1002,'By Lot'!F1019,'By Lot'!G1037,'By Lot'!F1053,'By Lot'!F1070,'By Lot'!F1087)</f>
        <v>263</v>
      </c>
      <c r="G101" s="2">
        <f>SUM('By Lot'!G694,'By Lot'!G762,'By Lot'!G780,'By Lot'!G797,'By Lot'!G814,'By Lot'!G831,'By Lot'!G848,'By Lot'!G865,'By Lot'!G916,'By Lot'!G933,'By Lot'!G1002,'By Lot'!G1019,'By Lot'!G1036,'By Lot'!G1053,'By Lot'!G1070,'By Lot'!G1087)</f>
        <v>300</v>
      </c>
      <c r="H101" s="2">
        <f>SUM('By Lot'!H694,'By Lot'!H762,'By Lot'!H780,'By Lot'!H797,'By Lot'!H814,'By Lot'!H831,'By Lot'!H848,'By Lot'!H865,'By Lot'!H916,'By Lot'!H933,'By Lot'!H1002,'By Lot'!H1019,'By Lot'!H1036,'By Lot'!H1053,'By Lot'!H1070,'By Lot'!H1087)</f>
        <v>301</v>
      </c>
      <c r="I101" s="2">
        <f>SUM('By Lot'!I694,'By Lot'!I762,'By Lot'!I780,'By Lot'!I797,'By Lot'!I814,'By Lot'!I831,'By Lot'!I848,'By Lot'!I865,'By Lot'!I916,'By Lot'!I933,'By Lot'!I1002,'By Lot'!I1019,'By Lot'!I1036,'By Lot'!I1053,'By Lot'!I1070,'By Lot'!I1087)</f>
        <v>309</v>
      </c>
      <c r="J101" s="2">
        <f>SUM('By Lot'!J694,'By Lot'!J762,'By Lot'!J780,'By Lot'!J797,'By Lot'!J814,'By Lot'!J831,'By Lot'!J848,'By Lot'!J865,'By Lot'!J916,'By Lot'!J933,'By Lot'!J1002,'By Lot'!J1019,'By Lot'!J1036,'By Lot'!J1053,'By Lot'!J1070,'By Lot'!J1087)</f>
        <v>312</v>
      </c>
      <c r="K101" s="2">
        <f>SUM('By Lot'!K694,'By Lot'!K762,'By Lot'!K780,'By Lot'!K797,'By Lot'!K814,'By Lot'!K831,'By Lot'!K848,'By Lot'!K865,'By Lot'!K916,'By Lot'!K933,'By Lot'!K1002,'By Lot'!K1019,'By Lot'!K1036,'By Lot'!K1053,'By Lot'!K1070,'By Lot'!K1087)</f>
        <v>379</v>
      </c>
      <c r="L101" s="2">
        <f>SUM('By Lot'!L694,'By Lot'!L762,'By Lot'!L780,'By Lot'!L797,'By Lot'!L814,'By Lot'!L831,'By Lot'!L848,'By Lot'!L865,'By Lot'!L916,'By Lot'!L933,'By Lot'!L1002,'By Lot'!L1019,'By Lot'!L1036,'By Lot'!L1053,'By Lot'!L1070,'By Lot'!L1087)</f>
        <v>383</v>
      </c>
      <c r="M101" s="27">
        <f>SUM('By Lot'!M694,'By Lot'!M762,'By Lot'!M780,'By Lot'!M797,'By Lot'!M814,'By Lot'!M831,'By Lot'!M848,'By Lot'!M865,'By Lot'!M916,'By Lot'!M933,'By Lot'!M1002,'By Lot'!M1019,'By Lot'!M1036,'By Lot'!M1053,'By Lot'!M1070,'By Lot'!M1087)</f>
        <v>394</v>
      </c>
      <c r="N101" s="26">
        <f t="shared" si="40"/>
        <v>263</v>
      </c>
      <c r="O101" s="2">
        <f t="shared" si="41"/>
        <v>147</v>
      </c>
      <c r="P101" s="24">
        <f t="shared" si="42"/>
        <v>0.35853658536585364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6"/>
      <c r="B102" s="18" t="s">
        <v>29</v>
      </c>
      <c r="C102" s="18">
        <f>SUM('By Lot'!C763)</f>
        <v>228</v>
      </c>
      <c r="D102" s="26">
        <f>SUM('By Lot'!D763)</f>
        <v>223</v>
      </c>
      <c r="E102" s="2">
        <f>SUM('By Lot'!E763)</f>
        <v>222</v>
      </c>
      <c r="F102" s="2">
        <f>SUM('By Lot'!F763)</f>
        <v>224</v>
      </c>
      <c r="G102" s="2">
        <f>SUM('By Lot'!G763)</f>
        <v>224</v>
      </c>
      <c r="H102" s="2">
        <f>SUM('By Lot'!H763)</f>
        <v>224</v>
      </c>
      <c r="I102" s="23">
        <f>SUM('By Lot'!I763)</f>
        <v>225</v>
      </c>
      <c r="J102" s="23">
        <f>SUM('By Lot'!J763)</f>
        <v>227</v>
      </c>
      <c r="K102" s="23">
        <f>SUM('By Lot'!K763)</f>
        <v>227</v>
      </c>
      <c r="L102" s="23">
        <f>SUM('By Lot'!L763)</f>
        <v>227</v>
      </c>
      <c r="M102" s="25">
        <f>SUM('By Lot'!M763)</f>
        <v>227</v>
      </c>
      <c r="N102" s="26">
        <f t="shared" si="40"/>
        <v>222</v>
      </c>
      <c r="O102" s="2">
        <f t="shared" si="41"/>
        <v>6</v>
      </c>
      <c r="P102" s="24">
        <f t="shared" si="42"/>
        <v>2.6315789473684209E-2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6"/>
      <c r="B103" s="18" t="s">
        <v>31</v>
      </c>
      <c r="C103" s="18">
        <f>SUM('By Lot'!C695:C696,'By Lot'!C764:C765,'By Lot'!C781:C782,'By Lot'!C798:C799,
'By Lot'!C815:C816,'By Lot'!C832:C833,'By Lot'!C849:C850,'By Lot'!C866:C867,
'By Lot'!C917:C918,'By Lot'!C934:C935,'By Lot'!C1003:C1004,'By Lot'!C1020:C1021,
'By Lot'!C1037:C1038,'By Lot'!C1054:C1055,'By Lot'!C1071:C1072,'By Lot'!C1088:C1089)</f>
        <v>166</v>
      </c>
      <c r="D103" s="26">
        <f>SUM('By Lot'!D695:D696,'By Lot'!D764:D765,'By Lot'!D781:D782,'By Lot'!D798:D799,'By Lot'!D815:D816,'By Lot'!D832:D833,'By Lot'!D849:D850,'By Lot'!D866:D867,'By Lot'!D917:D918,'By Lot'!D934:D935,'By Lot'!D1003:D1004,'By Lot'!D1020:D1021,'By Lot'!D1037:D1038,'By Lot'!D1054:D1055,'By Lot'!D1071:D1072,'By Lot'!D1088:D1089)</f>
        <v>139</v>
      </c>
      <c r="E103" s="2">
        <f>SUM('By Lot'!E695:E696,'By Lot'!E764:E765,'By Lot'!E781:E782,'By Lot'!E798:E799,'By Lot'!E815:E816,'By Lot'!E832:E833,'By Lot'!E849:E850,'By Lot'!E866:E867,'By Lot'!E917:E918,'By Lot'!E934:E935,'By Lot'!E1003:E1004,'By Lot'!E1020:E1021,'By Lot'!E1037:E1038,'By Lot'!E1054:E1055,'By Lot'!E1071:E1072,'By Lot'!E1088:E1089)</f>
        <v>139</v>
      </c>
      <c r="F103" s="2">
        <f>SUM('By Lot'!F695:F696,'By Lot'!F764:F765,'By Lot'!F781:F782,'By Lot'!F798:F799,'By Lot'!F815:F816,'By Lot'!F832:F833,'By Lot'!F849:F850,'By Lot'!F866:F867,'By Lot'!F917:F918,'By Lot'!F934:F935,'By Lot'!F1003:F1004,'By Lot'!F1020:F1021,'By Lot'!F1037:F1038,'By Lot'!F1054:F1055,'By Lot'!F1071:F1072,'By Lot'!F1088:F1089)</f>
        <v>137</v>
      </c>
      <c r="G103" s="2">
        <f>SUM('By Lot'!G695:G696,'By Lot'!G764:G765,'By Lot'!G781:G782,'By Lot'!G798:G799,'By Lot'!G815:G816,'By Lot'!G832:G833,'By Lot'!G849:G850,'By Lot'!G866:G867,'By Lot'!G917:G918,'By Lot'!G934:G935,'By Lot'!G1003:G1004,'By Lot'!G1020:G1021,'By Lot'!G1037:G1038,'By Lot'!G1054:G1055,'By Lot'!G1071:G1072,'By Lot'!G1088:G1089)</f>
        <v>138</v>
      </c>
      <c r="H103" s="2">
        <f>SUM('By Lot'!H695:H696,'By Lot'!H764:H765,'By Lot'!H781:H782,'By Lot'!H798:H799,'By Lot'!H815:H816,'By Lot'!H832:H833,'By Lot'!H849:H850,'By Lot'!H866:H867,'By Lot'!H917:H918,'By Lot'!H934:H935,'By Lot'!H1003:H1004,'By Lot'!H1020:H1021,'By Lot'!H1037:H1038,'By Lot'!H1054:H1055,'By Lot'!H1071:H1072,'By Lot'!H1088:H1089)</f>
        <v>136</v>
      </c>
      <c r="I103" s="2">
        <f>SUM('By Lot'!I695:I696,'By Lot'!I764:I765,'By Lot'!I781:I782,'By Lot'!I798:I799,'By Lot'!I815:I816,'By Lot'!I832:I833,'By Lot'!I849:I850,'By Lot'!I866:I867,'By Lot'!I917:I918,'By Lot'!I934:I935,'By Lot'!I1003:I1004,'By Lot'!I1020:I1021,'By Lot'!I1037:I1038,'By Lot'!I1054:I1055,'By Lot'!I1071:I1072,'By Lot'!I1088:I1089)</f>
        <v>135</v>
      </c>
      <c r="J103" s="2">
        <f>SUM('By Lot'!J695:J696,'By Lot'!J764:J765,'By Lot'!J781:J782,'By Lot'!J798:J799,'By Lot'!J815:J816,'By Lot'!J832:J833,'By Lot'!J849:J850,'By Lot'!J866:J867,'By Lot'!J917:J918,'By Lot'!J934:J935,'By Lot'!J1003:J1004,'By Lot'!J1020:J1021,'By Lot'!J1037:J1038,'By Lot'!J1054:J1055,'By Lot'!J1071:J1072,'By Lot'!J1088:J1089)</f>
        <v>139</v>
      </c>
      <c r="K103" s="2">
        <f>SUM('By Lot'!K695:K696,'By Lot'!K764:K765,'By Lot'!K781:K782,'By Lot'!K798:K799,'By Lot'!K815:K816,'By Lot'!K832:K833,'By Lot'!K849:K850,'By Lot'!K866:K867,'By Lot'!K917:K918,'By Lot'!K934:K935,'By Lot'!K1003:K1004,'By Lot'!K1020:K1021,'By Lot'!K1037:K1038,'By Lot'!K1054:K1055,'By Lot'!K1071:K1072,'By Lot'!K1088:K1089)</f>
        <v>147</v>
      </c>
      <c r="L103" s="2">
        <f>SUM('By Lot'!L695:L696,'By Lot'!L764:L765,'By Lot'!L781:L782,'By Lot'!L798:L799,'By Lot'!L815:L816,'By Lot'!L832:L833,'By Lot'!L849:L850,'By Lot'!L866:L867,'By Lot'!L917:L918,'By Lot'!L934:L935,'By Lot'!L1003:L1004,'By Lot'!L1020:L1021,'By Lot'!L1037:L1038,'By Lot'!L1054:L1055,'By Lot'!L1071:L1072,'By Lot'!L1088:L1089)</f>
        <v>159</v>
      </c>
      <c r="M103" s="27">
        <f>SUM('By Lot'!M695:M696,'By Lot'!M764:M765,'By Lot'!M781:M782,'By Lot'!M798:M799,'By Lot'!M815:M816,'By Lot'!M832:M833,'By Lot'!M849:M850,'By Lot'!M866:M867,'By Lot'!M917:M918,'By Lot'!M934:M935,'By Lot'!M1003:M1004,'By Lot'!M1020:M1021,'By Lot'!M1037:M1038,'By Lot'!M1054:M1055,'By Lot'!M1071:M1072,'By Lot'!M1088:M1089)</f>
        <v>157</v>
      </c>
      <c r="N103" s="26">
        <f t="shared" si="40"/>
        <v>135</v>
      </c>
      <c r="O103" s="2">
        <f t="shared" si="41"/>
        <v>31</v>
      </c>
      <c r="P103" s="24">
        <f t="shared" si="42"/>
        <v>0.18674698795180722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6"/>
      <c r="B104" s="18" t="s">
        <v>32</v>
      </c>
      <c r="C104" s="18">
        <f>SUM('By Lot'!C697,'By Lot'!C766,'By Lot'!C783,'By Lot'!C800,
'By Lot'!C817,'By Lot'!C834,'By Lot'!C851,'By Lot'!C868,
'By Lot'!C919,'By Lot'!C936,'By Lot'!C1005,'By Lot'!C1022,
'By Lot'!C1039,'By Lot'!C1056,'By Lot'!C1073,'By Lot'!C1090)</f>
        <v>25</v>
      </c>
      <c r="D104" s="26">
        <f>SUM('By Lot'!D697,'By Lot'!D766,'By Lot'!D783,'By Lot'!D800,'By Lot'!D817,'By Lot'!D834,'By Lot'!D851,'By Lot'!D868,'By Lot'!D919,'By Lot'!D936,'By Lot'!D1005,'By Lot'!D1022,'By Lot'!D1039,'By Lot'!D1056,'By Lot'!D1073,'By Lot'!D1090)</f>
        <v>16</v>
      </c>
      <c r="E104" s="2">
        <f>SUM('By Lot'!E697,'By Lot'!E766,'By Lot'!E783,'By Lot'!E800,'By Lot'!E817,'By Lot'!E834,'By Lot'!E851,'By Lot'!E868,'By Lot'!E919,'By Lot'!E936,'By Lot'!E1005,'By Lot'!E1022,'By Lot'!E1039,'By Lot'!E1056,'By Lot'!E1073,'By Lot'!E1090)</f>
        <v>16</v>
      </c>
      <c r="F104" s="2">
        <f>SUM('By Lot'!F697,'By Lot'!F766,'By Lot'!F783,'By Lot'!F800,'By Lot'!F817,'By Lot'!F834,'By Lot'!F851,'By Lot'!F868,'By Lot'!F919,'By Lot'!F936,'By Lot'!F1005,'By Lot'!F1022,'By Lot'!F1039,'By Lot'!F1056,'By Lot'!F1073,'By Lot'!F1090)</f>
        <v>18</v>
      </c>
      <c r="G104" s="2">
        <f>SUM('By Lot'!G697,'By Lot'!G766,'By Lot'!G783,'By Lot'!G800,'By Lot'!G817,'By Lot'!G834,'By Lot'!G851,'By Lot'!G868,'By Lot'!G919,'By Lot'!G936,'By Lot'!G1005,'By Lot'!G1022,'By Lot'!G1039,'By Lot'!G1056,'By Lot'!G1073,'By Lot'!G1090)</f>
        <v>18</v>
      </c>
      <c r="H104" s="2">
        <f>SUM('By Lot'!H697,'By Lot'!H766,'By Lot'!H783,'By Lot'!H800,'By Lot'!H817,'By Lot'!H834,'By Lot'!H851,'By Lot'!H868,'By Lot'!H919,'By Lot'!H936,'By Lot'!H1005,'By Lot'!H1022,'By Lot'!H1039,'By Lot'!H1056,'By Lot'!H1073,'By Lot'!H1090)</f>
        <v>17</v>
      </c>
      <c r="I104" s="2">
        <f>SUM('By Lot'!I697,'By Lot'!I766,'By Lot'!I783,'By Lot'!I800,'By Lot'!I817,'By Lot'!I834,'By Lot'!I851,'By Lot'!I868,'By Lot'!I919,'By Lot'!I936,'By Lot'!I1005,'By Lot'!I1022,'By Lot'!I1039,'By Lot'!I1056,'By Lot'!I1073,'By Lot'!I1090)</f>
        <v>17</v>
      </c>
      <c r="J104" s="2">
        <f>SUM('By Lot'!J697,'By Lot'!J766,'By Lot'!J783,'By Lot'!J800,'By Lot'!J817,'By Lot'!J834,'By Lot'!J851,'By Lot'!J868,'By Lot'!J919,'By Lot'!J936,'By Lot'!J1005,'By Lot'!J1022,'By Lot'!J1039,'By Lot'!J1056,'By Lot'!J1073,'By Lot'!J1090)</f>
        <v>19</v>
      </c>
      <c r="K104" s="2">
        <f>SUM('By Lot'!K697,'By Lot'!K766,'By Lot'!K783,'By Lot'!K800,'By Lot'!K817,'By Lot'!K834,'By Lot'!K851,'By Lot'!K868,'By Lot'!K919,'By Lot'!K936,'By Lot'!K1005,'By Lot'!K1022,'By Lot'!K1039,'By Lot'!K1056,'By Lot'!K1073,'By Lot'!K1090)</f>
        <v>17</v>
      </c>
      <c r="L104" s="2">
        <f>SUM('By Lot'!L697,'By Lot'!L766,'By Lot'!L783,'By Lot'!L800,'By Lot'!L817,'By Lot'!L834,'By Lot'!L851,'By Lot'!L868,'By Lot'!L919,'By Lot'!L936,'By Lot'!L1005,'By Lot'!L1022,'By Lot'!L1039,'By Lot'!L1056,'By Lot'!L1073,'By Lot'!L1090)</f>
        <v>17</v>
      </c>
      <c r="M104" s="27">
        <f>SUM('By Lot'!M697,'By Lot'!M766,'By Lot'!M783,'By Lot'!M800,'By Lot'!M817,'By Lot'!M834,'By Lot'!M851,'By Lot'!M868,'By Lot'!M919,'By Lot'!M936,'By Lot'!M1005,'By Lot'!M1022,'By Lot'!M1039,'By Lot'!M1056,'By Lot'!M1073,'By Lot'!M1090)</f>
        <v>20</v>
      </c>
      <c r="N104" s="26">
        <f t="shared" si="40"/>
        <v>16</v>
      </c>
      <c r="O104" s="2">
        <f t="shared" si="41"/>
        <v>9</v>
      </c>
      <c r="P104" s="24">
        <f t="shared" si="42"/>
        <v>0.36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6"/>
      <c r="B105" s="18" t="s">
        <v>33</v>
      </c>
      <c r="C105" s="18">
        <f>SUM('By Lot'!C698:C703,'By Lot'!C767:C772,'By Lot'!C784:C789,'By Lot'!C801:C806,
'By Lot'!C818:C823,'By Lot'!C835:C840,'By Lot'!C852:C857,'By Lot'!C869:C874,
'By Lot'!C920:C925,'By Lot'!C937:C942,'By Lot'!C1006:C1011,'By Lot'!C1023:C1028,
'By Lot'!C1040:C1045,'By Lot'!C1057:C1062,'By Lot'!C1074:C1079,'By Lot'!C1091:C1096)</f>
        <v>127</v>
      </c>
      <c r="D105" s="26">
        <f>SUM('By Lot'!D698:D703,'By Lot'!D767:D772,'By Lot'!D784:D789,'By Lot'!D801:D806,'By Lot'!D818:D823,'By Lot'!D835:D840,'By Lot'!D852:D857,'By Lot'!D869:D874,'By Lot'!D920:D925,'By Lot'!D937:D942,'By Lot'!D1006:D1011,'By Lot'!D1023:D1028,'By Lot'!D1040:D1045,'By Lot'!D1057:D1062,'By Lot'!D1074:D1079,'By Lot'!D1091:D1096)</f>
        <v>103</v>
      </c>
      <c r="E105" s="2">
        <f>SUM('By Lot'!E698:E703,'By Lot'!E767:E772,'By Lot'!E784:E789,'By Lot'!E801:E806,'By Lot'!E818:E823,'By Lot'!E835:E840,'By Lot'!E852:E857,'By Lot'!E869:E874,'By Lot'!E920:E925,'By Lot'!E937:E942,'By Lot'!E1006:E1011,'By Lot'!E1023:E1028,'By Lot'!E1040:E1045,'By Lot'!E1057:E1062,'By Lot'!E1074:E1079,'By Lot'!E1091:E1096)</f>
        <v>102</v>
      </c>
      <c r="F105" s="2">
        <f>SUM('By Lot'!F698:F703,'By Lot'!F767:F772,'By Lot'!F784:F789,'By Lot'!F801:F806,'By Lot'!F818:F823,'By Lot'!F835:F840,'By Lot'!F852:F857,'By Lot'!F869:F874,'By Lot'!F920:F925,'By Lot'!F937:F942,'By Lot'!F1006:F1011,'By Lot'!F1023:F1028,'By Lot'!F1040:F1045,'By Lot'!F1057:F1062,'By Lot'!F1074:F1079,'By Lot'!F1091:F1096)</f>
        <v>103</v>
      </c>
      <c r="G105" s="2">
        <f>SUM('By Lot'!G698:G703,'By Lot'!G767:G772,'By Lot'!G784:G789,'By Lot'!G801:G806,'By Lot'!G818:G823,'By Lot'!G835:G840,'By Lot'!G852:G857,'By Lot'!G869:G874,'By Lot'!G920:G925,'By Lot'!G937:G942,'By Lot'!G1006:G1011,'By Lot'!G1023:G1028,'By Lot'!G1040:G1045,'By Lot'!G1057:G1062,'By Lot'!G1074:G1079,'By Lot'!G1091:G1096)</f>
        <v>101</v>
      </c>
      <c r="H105" s="2">
        <f>SUM('By Lot'!H698:H703,'By Lot'!H767:H772,'By Lot'!H784:H789,'By Lot'!H801:H806,'By Lot'!H818:H823,'By Lot'!H835:H840,'By Lot'!H852:H857,'By Lot'!H869:H874,'By Lot'!H920:H925,'By Lot'!H937:H942,'By Lot'!H1006:H1011,'By Lot'!H1023:H1028,'By Lot'!H1040:H1045,'By Lot'!H1057:H1062,'By Lot'!H1074:H1079,'By Lot'!H1091:H1096)</f>
        <v>100</v>
      </c>
      <c r="I105" s="2">
        <f>SUM('By Lot'!I698:I703,'By Lot'!I767:I772,'By Lot'!I784:I789,'By Lot'!I801:I806,'By Lot'!I818:I823,'By Lot'!I835:I840,'By Lot'!I852:I857,'By Lot'!I869:I874,'By Lot'!I920:I925,'By Lot'!I937:I942,'By Lot'!I1006:I1011,'By Lot'!I1023:I1028,'By Lot'!I1040:I1045,'By Lot'!I1057:I1062,'By Lot'!I1074:I1079,'By Lot'!I1091:I1096)</f>
        <v>104</v>
      </c>
      <c r="J105" s="2">
        <f>SUM('By Lot'!J698:J703,'By Lot'!J767:J772,'By Lot'!J784:J789,'By Lot'!J801:J806,'By Lot'!J818:J823,'By Lot'!J835:J840,'By Lot'!J852:J857,'By Lot'!J869:J874,'By Lot'!J920:J925,'By Lot'!J937:J942,'By Lot'!J1006:J1011,'By Lot'!J1023:J1028,'By Lot'!J1040:J1045,'By Lot'!J1057:J1062,'By Lot'!J1074:J1079,'By Lot'!J1091:J1096)</f>
        <v>109</v>
      </c>
      <c r="K105" s="2">
        <f>SUM('By Lot'!K698:K703,'By Lot'!K767:K772,'By Lot'!K784:K789,'By Lot'!K801:K806,'By Lot'!K818:K823,'By Lot'!K835:K840,'By Lot'!K852:K857,'By Lot'!K869:K874,'By Lot'!K920:K925,'By Lot'!K937:K942,'By Lot'!K1006:K1011,'By Lot'!K1023:K1028,'By Lot'!K1040:K1045,'By Lot'!K1057:K1062,'By Lot'!K1074:K1079,'By Lot'!K1091:K1096)</f>
        <v>112</v>
      </c>
      <c r="L105" s="2">
        <f>SUM('By Lot'!L698:L703,'By Lot'!L767:L772,'By Lot'!L784:L789,'By Lot'!L801:L806,'By Lot'!L818:L823,'By Lot'!L835:L840,'By Lot'!L852:L857,'By Lot'!L869:L874,'By Lot'!L920:L925,'By Lot'!L937:L942,'By Lot'!L1006:L1011,'By Lot'!L1023:L1028,'By Lot'!L1040:L1045,'By Lot'!L1057:L1062,'By Lot'!L1074:L1079,'By Lot'!L1091:L1096)</f>
        <v>115</v>
      </c>
      <c r="M105" s="27">
        <f>SUM('By Lot'!M698:M703,'By Lot'!M767:M772,'By Lot'!M784:M789,'By Lot'!M801:M806,'By Lot'!M818:M823,'By Lot'!M835:M840,'By Lot'!M852:M857,'By Lot'!M869:M874,'By Lot'!M920:M925,'By Lot'!M937:M942,'By Lot'!M1006:M1011,'By Lot'!M1023:M1028,'By Lot'!M1040:M1045,'By Lot'!M1057:M1062,'By Lot'!M1074:M1079,'By Lot'!M1091:M1096)</f>
        <v>114</v>
      </c>
      <c r="N105" s="26">
        <f t="shared" si="40"/>
        <v>100</v>
      </c>
      <c r="O105" s="2">
        <f t="shared" si="41"/>
        <v>27</v>
      </c>
      <c r="P105" s="24">
        <f t="shared" si="42"/>
        <v>0.2125984251968504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6"/>
      <c r="B106" s="18" t="s">
        <v>34</v>
      </c>
      <c r="C106" s="18">
        <f>SUM('By Lot'!C704,'By Lot'!C773,'By Lot'!C790,'By Lot'!C807,
'By Lot'!C824,'By Lot'!C841,'By Lot'!C858,'By Lot'!C875,
'By Lot'!C926,'By Lot'!C943,'By Lot'!C1012,'By Lot'!C1029,
'By Lot'!C1046,'By Lot'!C1063,'By Lot'!C1080,'By Lot'!C1097)</f>
        <v>51</v>
      </c>
      <c r="D106" s="26">
        <f>SUM('By Lot'!D704,'By Lot'!D773,'By Lot'!D790,'By Lot'!D807,'By Lot'!D824,'By Lot'!D841,'By Lot'!D858,'By Lot'!D875,'By Lot'!D926,'By Lot'!D943,'By Lot'!D1012,'By Lot'!D1029,'By Lot'!D1046,'By Lot'!D1063,'By Lot'!D1080,'By Lot'!D1097)</f>
        <v>49</v>
      </c>
      <c r="E106" s="2">
        <f>SUM('By Lot'!E704,'By Lot'!E773,'By Lot'!E790,'By Lot'!E807,'By Lot'!E824,'By Lot'!E841,'By Lot'!E858,'By Lot'!E875,'By Lot'!E926,'By Lot'!E943,'By Lot'!E1012,'By Lot'!E1029,'By Lot'!E1046,'By Lot'!E1063,'By Lot'!E1080,'By Lot'!E1097)</f>
        <v>48</v>
      </c>
      <c r="F106" s="2">
        <f>SUM('By Lot'!F704,'By Lot'!F773,'By Lot'!F790,'By Lot'!F807,'By Lot'!F824,'By Lot'!F841,'By Lot'!F858,'By Lot'!F875,'By Lot'!F926,'By Lot'!F943,'By Lot'!F1012,'By Lot'!F1029,'By Lot'!F1046,'By Lot'!F1063,'By Lot'!F1080,'By Lot'!F1097)</f>
        <v>49</v>
      </c>
      <c r="G106" s="2">
        <f>SUM('By Lot'!G704,'By Lot'!G773,'By Lot'!G790,'By Lot'!G807,'By Lot'!G824,'By Lot'!G841,'By Lot'!G858,'By Lot'!G875,'By Lot'!G926,'By Lot'!G943,'By Lot'!G1012,'By Lot'!G1029,'By Lot'!G1046,'By Lot'!G1063,'By Lot'!G1080,'By Lot'!G1097)</f>
        <v>49</v>
      </c>
      <c r="H106" s="2">
        <f>SUM('By Lot'!H704,'By Lot'!H773,'By Lot'!H790,'By Lot'!H807,'By Lot'!H824,'By Lot'!H841,'By Lot'!H858,'By Lot'!H875,'By Lot'!H926,'By Lot'!H943,'By Lot'!H1012,'By Lot'!H1029,'By Lot'!H1046,'By Lot'!H1063,'By Lot'!H1080,'By Lot'!H1097)</f>
        <v>49</v>
      </c>
      <c r="I106" s="2">
        <f>SUM('By Lot'!I704,'By Lot'!I773,'By Lot'!I790,'By Lot'!I807,'By Lot'!I824,'By Lot'!I841,'By Lot'!I858,'By Lot'!I875,'By Lot'!I926,'By Lot'!I943,'By Lot'!I1012,'By Lot'!I1029,'By Lot'!I1046,'By Lot'!I1063,'By Lot'!I1080,'By Lot'!I1097)</f>
        <v>48</v>
      </c>
      <c r="J106" s="2">
        <f>SUM('By Lot'!J704,'By Lot'!J773,'By Lot'!J790,'By Lot'!J807,'By Lot'!J824,'By Lot'!J841,'By Lot'!J858,'By Lot'!J875,'By Lot'!J926,'By Lot'!J943,'By Lot'!J1012,'By Lot'!J1029,'By Lot'!J1046,'By Lot'!J1063,'By Lot'!J1080,'By Lot'!J1097)</f>
        <v>47</v>
      </c>
      <c r="K106" s="2">
        <f>SUM('By Lot'!K704,'By Lot'!K773,'By Lot'!K790,'By Lot'!K807,'By Lot'!K824,'By Lot'!K841,'By Lot'!K858,'By Lot'!K875,'By Lot'!K926,'By Lot'!K943,'By Lot'!K1012,'By Lot'!K1029,'By Lot'!K1046,'By Lot'!K1063,'By Lot'!K1080,'By Lot'!K1097)</f>
        <v>47</v>
      </c>
      <c r="L106" s="2">
        <f>SUM('By Lot'!L704,'By Lot'!L773,'By Lot'!L790,'By Lot'!L807,'By Lot'!L824,'By Lot'!L841,'By Lot'!L858,'By Lot'!L875,'By Lot'!L926,'By Lot'!L943,'By Lot'!L1012,'By Lot'!L1029,'By Lot'!L1046,'By Lot'!L1063,'By Lot'!L1080,'By Lot'!L1097)</f>
        <v>49</v>
      </c>
      <c r="M106" s="27">
        <f>SUM('By Lot'!M704,'By Lot'!M773,'By Lot'!M790,'By Lot'!M807,'By Lot'!M824,'By Lot'!M841,'By Lot'!M858,'By Lot'!M875,'By Lot'!M926,'By Lot'!M943,'By Lot'!M1012,'By Lot'!M1029,'By Lot'!M1046,'By Lot'!M1063,'By Lot'!M1080,'By Lot'!M1097)</f>
        <v>48</v>
      </c>
      <c r="N106" s="26">
        <f t="shared" si="40"/>
        <v>47</v>
      </c>
      <c r="O106" s="2">
        <f t="shared" si="41"/>
        <v>4</v>
      </c>
      <c r="P106" s="24">
        <f t="shared" si="42"/>
        <v>7.8431372549019607E-2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6"/>
      <c r="B107" s="18" t="s">
        <v>35</v>
      </c>
      <c r="C107" s="18">
        <f>SUM('By Lot'!C705,'By Lot'!C774,'By Lot'!C791,'By Lot'!C808,
'By Lot'!C825,'By Lot'!C842,'By Lot'!C859,'By Lot'!C876,
'By Lot'!C927,'By Lot'!C944,'By Lot'!C1013,'By Lot'!C1030,
'By Lot'!C1047,'By Lot'!C1064,'By Lot'!C1081,'By Lot'!C1098)</f>
        <v>21</v>
      </c>
      <c r="D107" s="19">
        <f>SUM('By Lot'!D705,'By Lot'!D774,'By Lot'!D791,'By Lot'!D808,'By Lot'!D825,'By Lot'!D842,'By Lot'!D859,'By Lot'!D876,'By Lot'!D927,'By Lot'!D944,'By Lot'!D1013,'By Lot'!D1030,'By Lot'!D1047,'By Lot'!D1064,'By Lot'!D1081,'By Lot'!D1098)</f>
        <v>5</v>
      </c>
      <c r="E107" s="23">
        <f>SUM('By Lot'!E705,'By Lot'!E774,'By Lot'!E791,'By Lot'!E808,'By Lot'!E825,'By Lot'!E842,'By Lot'!E859,'By Lot'!E876,'By Lot'!E927,'By Lot'!E944,'By Lot'!E1013,'By Lot'!E1030,'By Lot'!E1047,'By Lot'!E1064,'By Lot'!E1081,'By Lot'!E1098)</f>
        <v>5</v>
      </c>
      <c r="F107" s="23">
        <f>SUM('By Lot'!F705,'By Lot'!F774,'By Lot'!F791,'By Lot'!F808,'By Lot'!F825,'By Lot'!F842,'By Lot'!F859,'By Lot'!F876,'By Lot'!F927,'By Lot'!F944,'By Lot'!F1013,'By Lot'!F1030,'By Lot'!F1047,'By Lot'!F1064,'By Lot'!F1081,'By Lot'!F1098)</f>
        <v>6</v>
      </c>
      <c r="G107" s="23">
        <f>SUM('By Lot'!G705,'By Lot'!G774,'By Lot'!G791,'By Lot'!G808,'By Lot'!G825,'By Lot'!G842,'By Lot'!G859,'By Lot'!G876,'By Lot'!G927,'By Lot'!G944,'By Lot'!G1013,'By Lot'!G1030,'By Lot'!G1047,'By Lot'!G1064,'By Lot'!G1081,'By Lot'!G1098)</f>
        <v>9</v>
      </c>
      <c r="H107" s="23">
        <f>SUM('By Lot'!H705,'By Lot'!H774,'By Lot'!H791,'By Lot'!H808,'By Lot'!H825,'By Lot'!H842,'By Lot'!H859,'By Lot'!H876,'By Lot'!H927,'By Lot'!H944,'By Lot'!H1013,'By Lot'!H1030,'By Lot'!H1047,'By Lot'!H1064,'By Lot'!H1081,'By Lot'!H1098)</f>
        <v>8</v>
      </c>
      <c r="I107" s="2">
        <f>SUM('By Lot'!I705,'By Lot'!I774,'By Lot'!I791,'By Lot'!I808,'By Lot'!I825,'By Lot'!I842,'By Lot'!I859,'By Lot'!I876,'By Lot'!I927,'By Lot'!I944,'By Lot'!I1013,'By Lot'!I1030,'By Lot'!I1047,'By Lot'!I1064,'By Lot'!I1081,'By Lot'!I1098)</f>
        <v>8</v>
      </c>
      <c r="J107" s="2">
        <f>SUM('By Lot'!J705,'By Lot'!J774,'By Lot'!J791,'By Lot'!J808,'By Lot'!J825,'By Lot'!J842,'By Lot'!J859,'By Lot'!J876,'By Lot'!J927,'By Lot'!J944,'By Lot'!J1013,'By Lot'!J1030,'By Lot'!J1047,'By Lot'!J1064,'By Lot'!J1081,'By Lot'!J1098)</f>
        <v>7</v>
      </c>
      <c r="K107" s="2">
        <f>SUM('By Lot'!K705,'By Lot'!K774,'By Lot'!K791,'By Lot'!K808,'By Lot'!K825,'By Lot'!K842,'By Lot'!K859,'By Lot'!K876,'By Lot'!K927,'By Lot'!K944,'By Lot'!K1013,'By Lot'!K1030,'By Lot'!K1047,'By Lot'!K1064,'By Lot'!K1081,'By Lot'!K1098)</f>
        <v>10</v>
      </c>
      <c r="L107" s="2">
        <f>SUM('By Lot'!L705,'By Lot'!L774,'By Lot'!L791,'By Lot'!L808,'By Lot'!L825,'By Lot'!L842,'By Lot'!L859,'By Lot'!L876,'By Lot'!L927,'By Lot'!L944,'By Lot'!L1013,'By Lot'!L1030,'By Lot'!L1047,'By Lot'!L1064,'By Lot'!L1081,'By Lot'!L1098)</f>
        <v>10</v>
      </c>
      <c r="M107" s="27">
        <f>SUM('By Lot'!M705,'By Lot'!M774,'By Lot'!M791,'By Lot'!M808,'By Lot'!M825,'By Lot'!M842,'By Lot'!M859,'By Lot'!M876,'By Lot'!M927,'By Lot'!M944,'By Lot'!M1013,'By Lot'!M1030,'By Lot'!M1047,'By Lot'!M1064,'By Lot'!M1081,'By Lot'!M1098)</f>
        <v>10</v>
      </c>
      <c r="N107" s="19">
        <f t="shared" si="40"/>
        <v>5</v>
      </c>
      <c r="O107" s="23">
        <f t="shared" si="41"/>
        <v>16</v>
      </c>
      <c r="P107" s="24">
        <f t="shared" si="42"/>
        <v>0.76190476190476186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6"/>
      <c r="B108" s="18" t="s">
        <v>36</v>
      </c>
      <c r="C108" s="18">
        <f>SUM('By Lot'!C706,'By Lot'!C775,'By Lot'!C792,'By Lot'!C809,
'By Lot'!C826,'By Lot'!C843,'By Lot'!C860,'By Lot'!C877,
'By Lot'!C928,'By Lot'!C945,'By Lot'!C1014,'By Lot'!C1031,
'By Lot'!C1048,'By Lot'!C1065,'By Lot'!C1082,'By Lot'!C1099)</f>
        <v>8</v>
      </c>
      <c r="D108" s="26">
        <f>SUM('By Lot'!D706,'By Lot'!D775,'By Lot'!D792,'By Lot'!D809,'By Lot'!D826,'By Lot'!D843,'By Lot'!D860,'By Lot'!D877,'By Lot'!D928,'By Lot'!D945,'By Lot'!D1014,'By Lot'!D1031,'By Lot'!D1048,'By Lot'!D1065,'By Lot'!D1082,'By Lot'!D1099)</f>
        <v>2</v>
      </c>
      <c r="E108" s="2">
        <f>SUM('By Lot'!E706,'By Lot'!E775,'By Lot'!E792,'By Lot'!E809,'By Lot'!E826,'By Lot'!E843,'By Lot'!E860,'By Lot'!E877,'By Lot'!E928,'By Lot'!E945,'By Lot'!E1014,'By Lot'!E1031,'By Lot'!E1048,'By Lot'!E1065,'By Lot'!E1082,'By Lot'!E1099)</f>
        <v>2</v>
      </c>
      <c r="F108" s="2">
        <f>SUM('By Lot'!F706,'By Lot'!F775,'By Lot'!F792,'By Lot'!F809,'By Lot'!F826,'By Lot'!F843,'By Lot'!F860,'By Lot'!F877,'By Lot'!F928,'By Lot'!F945,'By Lot'!F1014,'By Lot'!F1031,'By Lot'!F1048,'By Lot'!F1065,'By Lot'!F1082,'By Lot'!F1099)</f>
        <v>5</v>
      </c>
      <c r="G108" s="2">
        <f>SUM('By Lot'!G706,'By Lot'!G775,'By Lot'!G792,'By Lot'!G809,'By Lot'!G826,'By Lot'!G843,'By Lot'!G860,'By Lot'!G877,'By Lot'!G928,'By Lot'!G945,'By Lot'!G1014,'By Lot'!G1031,'By Lot'!G1048,'By Lot'!G1065,'By Lot'!G1082,'By Lot'!G1099)</f>
        <v>5</v>
      </c>
      <c r="H108" s="2">
        <f>SUM('By Lot'!H706,'By Lot'!H775,'By Lot'!H792,'By Lot'!H809,'By Lot'!H826,'By Lot'!H843,'By Lot'!H860,'By Lot'!H877,'By Lot'!H928,'By Lot'!H945,'By Lot'!H1014,'By Lot'!H1031,'By Lot'!H1048,'By Lot'!H1065,'By Lot'!H1082,'By Lot'!H1099)</f>
        <v>5</v>
      </c>
      <c r="I108" s="2">
        <f>SUM('By Lot'!I706,'By Lot'!I775,'By Lot'!I792,'By Lot'!I809,'By Lot'!I826,'By Lot'!I843,'By Lot'!I860,'By Lot'!I877,'By Lot'!I928,'By Lot'!I945,'By Lot'!I1014,'By Lot'!I1031,'By Lot'!I1048,'By Lot'!I1065,'By Lot'!I1082,'By Lot'!I1099)</f>
        <v>4</v>
      </c>
      <c r="J108" s="2">
        <f>SUM('By Lot'!J706,'By Lot'!J775,'By Lot'!J792,'By Lot'!J809,'By Lot'!J826,'By Lot'!J843,'By Lot'!J860,'By Lot'!J877,'By Lot'!J928,'By Lot'!J945,'By Lot'!J1014,'By Lot'!J1031,'By Lot'!J1048,'By Lot'!J1065,'By Lot'!J1082,'By Lot'!J1099)</f>
        <v>3</v>
      </c>
      <c r="K108" s="2">
        <f>SUM('By Lot'!K706,'By Lot'!K775,'By Lot'!K792,'By Lot'!K809,'By Lot'!K826,'By Lot'!K843,'By Lot'!K860,'By Lot'!K877,'By Lot'!K928,'By Lot'!K945,'By Lot'!K1014,'By Lot'!K1031,'By Lot'!K1048,'By Lot'!K1065,'By Lot'!K1082,'By Lot'!K1099)</f>
        <v>5</v>
      </c>
      <c r="L108" s="2">
        <f>SUM('By Lot'!L706,'By Lot'!L775,'By Lot'!L792,'By Lot'!L809,'By Lot'!L826,'By Lot'!L843,'By Lot'!L860,'By Lot'!L877,'By Lot'!L928,'By Lot'!L945,'By Lot'!L1014,'By Lot'!L1031,'By Lot'!L1048,'By Lot'!L1065,'By Lot'!L1082,'By Lot'!L1099)</f>
        <v>7</v>
      </c>
      <c r="M108" s="27">
        <f>SUM('By Lot'!M706,'By Lot'!M775,'By Lot'!M792,'By Lot'!M809,'By Lot'!M826,'By Lot'!M843,'By Lot'!M860,'By Lot'!M877,'By Lot'!M928,'By Lot'!M945,'By Lot'!M1014,'By Lot'!M1031,'By Lot'!M1048,'By Lot'!M1065,'By Lot'!M1082,'By Lot'!M1099)</f>
        <v>7</v>
      </c>
      <c r="N108" s="26">
        <f t="shared" si="40"/>
        <v>2</v>
      </c>
      <c r="O108" s="2">
        <f t="shared" si="41"/>
        <v>6</v>
      </c>
      <c r="P108" s="24">
        <f t="shared" si="42"/>
        <v>0.75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6"/>
      <c r="B109" s="18" t="s">
        <v>37</v>
      </c>
      <c r="C109" s="18">
        <f>SUM('By Lot'!C707,'By Lot'!C776,'By Lot'!C793,'By Lot'!C810,
'By Lot'!C827,'By Lot'!C844,'By Lot'!C861,'By Lot'!C878,
'By Lot'!C929,'By Lot'!C946,'By Lot'!C1015,'By Lot'!C1032,
'By Lot'!C1049,'By Lot'!C1066,'By Lot'!C1083,'By Lot'!C1100)</f>
        <v>21</v>
      </c>
      <c r="D109" s="26">
        <f>SUM('By Lot'!D707,'By Lot'!D776,'By Lot'!D793,'By Lot'!D810,'By Lot'!D827,'By Lot'!D844,'By Lot'!D861,'By Lot'!D878,'By Lot'!D929,'By Lot'!D946,'By Lot'!D1015,'By Lot'!D1032,'By Lot'!D1049,'By Lot'!D1066,'By Lot'!D1083,'By Lot'!D1100)</f>
        <v>18</v>
      </c>
      <c r="E109" s="2">
        <f>SUM('By Lot'!E707,'By Lot'!E776,'By Lot'!E793,'By Lot'!E810,'By Lot'!E827,'By Lot'!E844,'By Lot'!E861,'By Lot'!E878,'By Lot'!E929,'By Lot'!E946,'By Lot'!E1015,'By Lot'!E1032,'By Lot'!E1049,'By Lot'!E1066,'By Lot'!E1083,'By Lot'!E1100)</f>
        <v>17</v>
      </c>
      <c r="F109" s="2">
        <f>SUM('By Lot'!F707,'By Lot'!F776,'By Lot'!F793,'By Lot'!F810,'By Lot'!F827,'By Lot'!F844,'By Lot'!F861,'By Lot'!F878,'By Lot'!F929,'By Lot'!F946,'By Lot'!F1015,'By Lot'!F1032,'By Lot'!F1049,'By Lot'!F1066,'By Lot'!F1083,'By Lot'!F1100)</f>
        <v>11</v>
      </c>
      <c r="G109" s="2">
        <f>SUM('By Lot'!G707,'By Lot'!G776,'By Lot'!G793,'By Lot'!G810,'By Lot'!G827,'By Lot'!G844,'By Lot'!G861,'By Lot'!G878,'By Lot'!G929,'By Lot'!G946,'By Lot'!G1015,'By Lot'!G1032,'By Lot'!G1049,'By Lot'!G1066,'By Lot'!G1083,'By Lot'!G1100)</f>
        <v>12</v>
      </c>
      <c r="H109" s="2">
        <f>SUM('By Lot'!H707,'By Lot'!H776,'By Lot'!H793,'By Lot'!H810,'By Lot'!H827,'By Lot'!H844,'By Lot'!H861,'By Lot'!H878,'By Lot'!H929,'By Lot'!H946,'By Lot'!H1015,'By Lot'!H1032,'By Lot'!H1049,'By Lot'!H1066,'By Lot'!H1083,'By Lot'!H1100)</f>
        <v>15</v>
      </c>
      <c r="I109" s="2">
        <f>SUM('By Lot'!I707,'By Lot'!I776,'By Lot'!I793,'By Lot'!I810,'By Lot'!I827,'By Lot'!I844,'By Lot'!I861,'By Lot'!I878,'By Lot'!I929,'By Lot'!I946,'By Lot'!I1015,'By Lot'!I1032,'By Lot'!I1049,'By Lot'!I1066,'By Lot'!I1083,'By Lot'!I1100)</f>
        <v>20</v>
      </c>
      <c r="J109" s="2">
        <f>SUM('By Lot'!J707,'By Lot'!J776,'By Lot'!J793,'By Lot'!J810,'By Lot'!J827,'By Lot'!J844,'By Lot'!J861,'By Lot'!J878,'By Lot'!J929,'By Lot'!J946,'By Lot'!J1015,'By Lot'!J1032,'By Lot'!J1049,'By Lot'!J1066,'By Lot'!J1083,'By Lot'!J1100)</f>
        <v>20</v>
      </c>
      <c r="K109" s="2">
        <f>SUM('By Lot'!K707,'By Lot'!K776,'By Lot'!K793,'By Lot'!K810,'By Lot'!K827,'By Lot'!K844,'By Lot'!K861,'By Lot'!K878,'By Lot'!K929,'By Lot'!K946,'By Lot'!K1015,'By Lot'!K1032,'By Lot'!K1049,'By Lot'!K1066,'By Lot'!K1083,'By Lot'!K1100)</f>
        <v>20</v>
      </c>
      <c r="L109" s="2">
        <f>SUM('By Lot'!L707,'By Lot'!L776,'By Lot'!L793,'By Lot'!L810,'By Lot'!L827,'By Lot'!L844,'By Lot'!L861,'By Lot'!L878,'By Lot'!L929,'By Lot'!L946,'By Lot'!L1015,'By Lot'!L1032,'By Lot'!L1049,'By Lot'!L1066,'By Lot'!L1083,'By Lot'!L1100)</f>
        <v>18</v>
      </c>
      <c r="M109" s="27">
        <f>SUM('By Lot'!M707,'By Lot'!M776,'By Lot'!M793,'By Lot'!M810,'By Lot'!M827,'By Lot'!M844,'By Lot'!M861,'By Lot'!M878,'By Lot'!M929,'By Lot'!M946,'By Lot'!M1015,'By Lot'!M1032,'By Lot'!M1049,'By Lot'!M1066,'By Lot'!M1083,'By Lot'!M1100)</f>
        <v>19</v>
      </c>
      <c r="N109" s="26">
        <f t="shared" si="40"/>
        <v>11</v>
      </c>
      <c r="O109" s="2">
        <f t="shared" si="41"/>
        <v>10</v>
      </c>
      <c r="P109" s="24">
        <f t="shared" si="42"/>
        <v>0.47619047619047616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42"/>
      <c r="B110" s="33" t="s">
        <v>38</v>
      </c>
      <c r="C110" s="33">
        <f t="shared" ref="C110:M110" si="44">SUM(C99:C109)</f>
        <v>2401</v>
      </c>
      <c r="D110" s="70">
        <f t="shared" si="44"/>
        <v>1921</v>
      </c>
      <c r="E110" s="71">
        <f t="shared" si="44"/>
        <v>1854</v>
      </c>
      <c r="F110" s="71">
        <f t="shared" si="44"/>
        <v>1846</v>
      </c>
      <c r="G110" s="71">
        <f t="shared" si="44"/>
        <v>1864</v>
      </c>
      <c r="H110" s="71">
        <f t="shared" si="44"/>
        <v>1842</v>
      </c>
      <c r="I110" s="71">
        <f t="shared" si="44"/>
        <v>1874</v>
      </c>
      <c r="J110" s="71">
        <f t="shared" si="44"/>
        <v>1904</v>
      </c>
      <c r="K110" s="71">
        <f t="shared" si="44"/>
        <v>2161</v>
      </c>
      <c r="L110" s="71">
        <f t="shared" si="44"/>
        <v>2224</v>
      </c>
      <c r="M110" s="93">
        <f t="shared" si="44"/>
        <v>2269</v>
      </c>
      <c r="N110" s="70">
        <f t="shared" si="40"/>
        <v>1842</v>
      </c>
      <c r="O110" s="71">
        <f t="shared" si="41"/>
        <v>559</v>
      </c>
      <c r="P110" s="40">
        <f t="shared" si="42"/>
        <v>0.23281965847563516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66" t="s">
        <v>76</v>
      </c>
      <c r="B111" s="18" t="s">
        <v>23</v>
      </c>
      <c r="C111" s="18">
        <f>SUM('By Lot'!C880,'By Lot'!C897,'By Lot'!C948,'By Lot'!C966,'By Lot'!C983)</f>
        <v>24</v>
      </c>
      <c r="D111" s="26">
        <f>SUM('By Lot'!D880,'By Lot'!D897,'By Lot'!D948,'By Lot'!D966,'By Lot'!D983)</f>
        <v>20</v>
      </c>
      <c r="E111" s="2">
        <f>SUM('By Lot'!E880,'By Lot'!E897,'By Lot'!E948,'By Lot'!E966,'By Lot'!E983)</f>
        <v>19</v>
      </c>
      <c r="F111" s="2">
        <f>SUM('By Lot'!F880,'By Lot'!F897,'By Lot'!F948,'By Lot'!F966,'By Lot'!F983)</f>
        <v>14</v>
      </c>
      <c r="G111" s="2">
        <f>SUM('By Lot'!G880,'By Lot'!G897,'By Lot'!G948,'By Lot'!G966,'By Lot'!G983)</f>
        <v>13</v>
      </c>
      <c r="H111" s="2">
        <f>SUM('By Lot'!H880,'By Lot'!H897,'By Lot'!H948,'By Lot'!H966,'By Lot'!H983)</f>
        <v>9</v>
      </c>
      <c r="I111" s="23">
        <f>SUM('By Lot'!I880,'By Lot'!I897,'By Lot'!I948,'By Lot'!I966,'By Lot'!I983)</f>
        <v>23</v>
      </c>
      <c r="J111" s="23">
        <f>SUM('By Lot'!J880,'By Lot'!J897,'By Lot'!J948,'By Lot'!J966,'By Lot'!J983)</f>
        <v>23</v>
      </c>
      <c r="K111" s="23">
        <f>SUM('By Lot'!K880,'By Lot'!K897,'By Lot'!K948,'By Lot'!K966,'By Lot'!K983)</f>
        <v>23</v>
      </c>
      <c r="L111" s="23">
        <f>SUM('By Lot'!L880,'By Lot'!L897,'By Lot'!L948,'By Lot'!L966,'By Lot'!L983)</f>
        <v>23</v>
      </c>
      <c r="M111" s="25">
        <f>SUM('By Lot'!M880,'By Lot'!M897,'By Lot'!M948,'By Lot'!M966,'By Lot'!M983)</f>
        <v>23</v>
      </c>
      <c r="N111" s="26">
        <f t="shared" si="40"/>
        <v>9</v>
      </c>
      <c r="O111" s="2">
        <f t="shared" si="41"/>
        <v>15</v>
      </c>
      <c r="P111" s="24">
        <f t="shared" si="42"/>
        <v>0.625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18" t="s">
        <v>43</v>
      </c>
      <c r="B112" s="18" t="s">
        <v>25</v>
      </c>
      <c r="C112" s="18">
        <f>SUM('By Lot'!C881,'By Lot'!C898,'By Lot'!C949,'By Lot'!C967,'By Lot'!C984)</f>
        <v>169</v>
      </c>
      <c r="D112" s="26">
        <f>SUM('By Lot'!D881,'By Lot'!D898,'By Lot'!D949,'By Lot'!D967,'By Lot'!D984)</f>
        <v>157</v>
      </c>
      <c r="E112" s="2">
        <f>SUM('By Lot'!E881,'By Lot'!E898,'By Lot'!E949,'By Lot'!E967,'By Lot'!E984)</f>
        <v>145</v>
      </c>
      <c r="F112" s="2">
        <f>SUM('By Lot'!F881,'By Lot'!F898,'By Lot'!F949,'By Lot'!F967,'By Lot'!F984)</f>
        <v>130</v>
      </c>
      <c r="G112" s="2">
        <f>SUM('By Lot'!G881,'By Lot'!G898,'By Lot'!G949,'By Lot'!G967,'By Lot'!G984)</f>
        <v>124</v>
      </c>
      <c r="H112" s="2">
        <f>SUM('By Lot'!H881,'By Lot'!H898,'By Lot'!H949,'By Lot'!H967,'By Lot'!H984)</f>
        <v>117</v>
      </c>
      <c r="I112" s="23">
        <f>SUM('By Lot'!I881,'By Lot'!I898,'By Lot'!I949,'By Lot'!I967,'By Lot'!I984)</f>
        <v>153</v>
      </c>
      <c r="J112" s="23">
        <f>SUM('By Lot'!J881,'By Lot'!J898,'By Lot'!J949,'By Lot'!J967,'By Lot'!J984)</f>
        <v>156</v>
      </c>
      <c r="K112" s="23">
        <f>SUM('By Lot'!K881,'By Lot'!K898,'By Lot'!K949,'By Lot'!K967,'By Lot'!K984)</f>
        <v>157</v>
      </c>
      <c r="L112" s="23">
        <f>SUM('By Lot'!L881,'By Lot'!L898,'By Lot'!L949,'By Lot'!L967,'By Lot'!L984)</f>
        <v>114</v>
      </c>
      <c r="M112" s="25">
        <f>SUM('By Lot'!M881,'By Lot'!M898,'By Lot'!M949,'By Lot'!M967,'By Lot'!M984)</f>
        <v>145</v>
      </c>
      <c r="N112" s="26">
        <f t="shared" si="40"/>
        <v>114</v>
      </c>
      <c r="O112" s="2">
        <f t="shared" si="41"/>
        <v>55</v>
      </c>
      <c r="P112" s="24">
        <f t="shared" si="42"/>
        <v>0.32544378698224852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18"/>
      <c r="B113" s="18" t="s">
        <v>27</v>
      </c>
      <c r="C113" s="18"/>
      <c r="D113" s="26"/>
      <c r="E113" s="2"/>
      <c r="F113" s="2"/>
      <c r="G113" s="2"/>
      <c r="H113" s="2"/>
      <c r="I113" s="2"/>
      <c r="J113" s="2"/>
      <c r="K113" s="2"/>
      <c r="L113" s="2"/>
      <c r="M113" s="27"/>
      <c r="N113" s="26"/>
      <c r="O113" s="2"/>
      <c r="P113" s="24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18"/>
      <c r="B114" s="18" t="s">
        <v>31</v>
      </c>
      <c r="C114" s="18">
        <f>SUM('By Lot'!C883:C884,'By Lot'!C900:C901,'By Lot'!C951:C952,'By Lot'!C969:C970,'By Lot'!C986:C987)</f>
        <v>13</v>
      </c>
      <c r="D114" s="26">
        <f>SUM('By Lot'!D883:D884,'By Lot'!D900:D901,'By Lot'!D951:D952,'By Lot'!D969:D970,'By Lot'!D986:D987)</f>
        <v>12</v>
      </c>
      <c r="E114" s="2">
        <f>SUM('By Lot'!E883:E884,'By Lot'!E900:E901,'By Lot'!E951:E952,'By Lot'!E969:E970,'By Lot'!E986:E987)</f>
        <v>12</v>
      </c>
      <c r="F114" s="2">
        <f>SUM('By Lot'!F883:F884,'By Lot'!F900:F901,'By Lot'!F951:F952,'By Lot'!F969:F970,'By Lot'!F986:F987)</f>
        <v>8</v>
      </c>
      <c r="G114" s="2">
        <f>SUM('By Lot'!G883:G884,'By Lot'!G900:G901,'By Lot'!G951:G952,'By Lot'!G969:G970,'By Lot'!G986:G987)</f>
        <v>7</v>
      </c>
      <c r="H114" s="2">
        <f>SUM('By Lot'!H883:H884,'By Lot'!H900:H901,'By Lot'!H951:H952,'By Lot'!H969:H970,'By Lot'!H986:H987)</f>
        <v>6</v>
      </c>
      <c r="I114" s="23">
        <f>SUM('By Lot'!I883:I884,'By Lot'!I900:I901,'By Lot'!I951:I952,'By Lot'!I969:I970,'By Lot'!I986:I987)</f>
        <v>10</v>
      </c>
      <c r="J114" s="23">
        <f>SUM('By Lot'!J883:J884,'By Lot'!J900:J901,'By Lot'!J951:J952,'By Lot'!J969:J970,'By Lot'!J986:J987)</f>
        <v>10</v>
      </c>
      <c r="K114" s="23">
        <f>SUM('By Lot'!K883:K884,'By Lot'!K900:K901,'By Lot'!K951:K952,'By Lot'!K969:K970,'By Lot'!K986:K987)</f>
        <v>12</v>
      </c>
      <c r="L114" s="23">
        <f>SUM('By Lot'!L883:L884,'By Lot'!L900:L901,'By Lot'!L951:L952,'By Lot'!L969:L970,'By Lot'!L986:L987)</f>
        <v>13</v>
      </c>
      <c r="M114" s="25">
        <f>SUM('By Lot'!M883:M884,'By Lot'!M900:M901,'By Lot'!M951:M952,'By Lot'!M969:M970,'By Lot'!M986:M987)</f>
        <v>12</v>
      </c>
      <c r="N114" s="26">
        <f t="shared" ref="N114:N119" si="45">MIN(D114:M114)</f>
        <v>6</v>
      </c>
      <c r="O114" s="2">
        <f t="shared" ref="O114:O119" si="46">C114-N114</f>
        <v>7</v>
      </c>
      <c r="P114" s="24">
        <f t="shared" ref="P114:P119" si="47">O114/C114</f>
        <v>0.53846153846153844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18"/>
      <c r="B115" s="18" t="s">
        <v>32</v>
      </c>
      <c r="C115" s="18">
        <f>SUM('By Lot'!C885,'By Lot'!C902,'By Lot'!C953,'By Lot'!C971,'By Lot'!C988)</f>
        <v>11</v>
      </c>
      <c r="D115" s="26">
        <f>SUM('By Lot'!D885,'By Lot'!D902,'By Lot'!D953,'By Lot'!D971,'By Lot'!D988)</f>
        <v>8</v>
      </c>
      <c r="E115" s="2">
        <f>SUM('By Lot'!E885,'By Lot'!E902,'By Lot'!E953,'By Lot'!E971,'By Lot'!E988)</f>
        <v>8</v>
      </c>
      <c r="F115" s="2">
        <f>SUM('By Lot'!F885,'By Lot'!F902,'By Lot'!F953,'By Lot'!F971,'By Lot'!F988)</f>
        <v>8</v>
      </c>
      <c r="G115" s="2">
        <f>SUM('By Lot'!G885,'By Lot'!G902,'By Lot'!G953,'By Lot'!G971,'By Lot'!G988)</f>
        <v>6</v>
      </c>
      <c r="H115" s="2">
        <f>SUM('By Lot'!H885,'By Lot'!H902,'By Lot'!H953,'By Lot'!H971,'By Lot'!H988)</f>
        <v>6</v>
      </c>
      <c r="I115" s="23">
        <f>SUM('By Lot'!I885,'By Lot'!I902,'By Lot'!I953,'By Lot'!I971,'By Lot'!I988)</f>
        <v>6</v>
      </c>
      <c r="J115" s="23">
        <f>SUM('By Lot'!J885,'By Lot'!J902,'By Lot'!J953,'By Lot'!J971,'By Lot'!J988)</f>
        <v>6</v>
      </c>
      <c r="K115" s="23">
        <f>SUM('By Lot'!K885,'By Lot'!K902,'By Lot'!K953,'By Lot'!K971,'By Lot'!K988)</f>
        <v>6</v>
      </c>
      <c r="L115" s="23">
        <f>SUM('By Lot'!L885,'By Lot'!L902,'By Lot'!L953,'By Lot'!L971,'By Lot'!L988)</f>
        <v>6</v>
      </c>
      <c r="M115" s="25">
        <f>SUM('By Lot'!M885,'By Lot'!M902,'By Lot'!M953,'By Lot'!M971,'By Lot'!M988)</f>
        <v>6</v>
      </c>
      <c r="N115" s="26">
        <f t="shared" si="45"/>
        <v>6</v>
      </c>
      <c r="O115" s="2">
        <f t="shared" si="46"/>
        <v>5</v>
      </c>
      <c r="P115" s="24">
        <f t="shared" si="47"/>
        <v>0.45454545454545453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18"/>
      <c r="B116" s="18" t="s">
        <v>33</v>
      </c>
      <c r="C116" s="18">
        <f>SUM('By Lot'!C886:C891,'By Lot'!C903:C908,'By Lot'!C956:C960,'By Lot'!C972:C977,'By Lot'!C989:C994)</f>
        <v>11</v>
      </c>
      <c r="D116" s="26">
        <f>SUM('By Lot'!D886:D891,'By Lot'!D903:D908,'By Lot'!D956:D960,'By Lot'!D972:D977,'By Lot'!D989:D994)</f>
        <v>9</v>
      </c>
      <c r="E116" s="2">
        <f>SUM('By Lot'!E886:E891,'By Lot'!E903:E908,'By Lot'!E956:E960,'By Lot'!E972:E977,'By Lot'!E989:E994)</f>
        <v>9</v>
      </c>
      <c r="F116" s="2">
        <f>SUM('By Lot'!F886:F891,'By Lot'!F903:F908,'By Lot'!F956:F960,'By Lot'!F972:F977,'By Lot'!F989:F994)</f>
        <v>8</v>
      </c>
      <c r="G116" s="2">
        <f>SUM('By Lot'!G886:G891,'By Lot'!G903:G908,'By Lot'!G956:G960,'By Lot'!G972:G977,'By Lot'!G989:G994)</f>
        <v>8</v>
      </c>
      <c r="H116" s="2">
        <f>SUM('By Lot'!H886:H891,'By Lot'!H903:H908,'By Lot'!H956:H960,'By Lot'!H972:H977,'By Lot'!H989:H994)</f>
        <v>7</v>
      </c>
      <c r="I116" s="23">
        <f>SUM('By Lot'!I886:I891,'By Lot'!I903:I908,'By Lot'!I956:I960,'By Lot'!I972:I977,'By Lot'!I989:I994)</f>
        <v>10</v>
      </c>
      <c r="J116" s="23">
        <f>SUM('By Lot'!J886:J891,'By Lot'!J903:J908,'By Lot'!J956:J960,'By Lot'!J972:J977,'By Lot'!J989:J994)</f>
        <v>10</v>
      </c>
      <c r="K116" s="23">
        <f>SUM('By Lot'!K886:K891,'By Lot'!K903:K908,'By Lot'!K956:K960,'By Lot'!K972:K977,'By Lot'!K989:K994)</f>
        <v>11</v>
      </c>
      <c r="L116" s="23">
        <f>SUM('By Lot'!L886:L891,'By Lot'!L903:L908,'By Lot'!L956:L960,'By Lot'!L972:L977,'By Lot'!L989:L994)</f>
        <v>11</v>
      </c>
      <c r="M116" s="25">
        <f>SUM('By Lot'!M886:M891,'By Lot'!M903:M908,'By Lot'!M956:M960,'By Lot'!M972:M977,'By Lot'!M989:M994)</f>
        <v>11</v>
      </c>
      <c r="N116" s="26">
        <f t="shared" si="45"/>
        <v>7</v>
      </c>
      <c r="O116" s="2">
        <f t="shared" si="46"/>
        <v>4</v>
      </c>
      <c r="P116" s="24">
        <f t="shared" si="47"/>
        <v>0.36363636363636365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18"/>
      <c r="B117" s="18" t="s">
        <v>34</v>
      </c>
      <c r="C117" s="18">
        <f>SUM('By Lot'!C892,'By Lot'!C909,'By Lot'!C961,'By Lot'!C978,'By Lot'!C995)</f>
        <v>7</v>
      </c>
      <c r="D117" s="26">
        <f>SUM('By Lot'!D892,'By Lot'!D909,'By Lot'!D961,'By Lot'!D978,'By Lot'!D995)</f>
        <v>6</v>
      </c>
      <c r="E117" s="2">
        <f>SUM('By Lot'!E892,'By Lot'!E909,'By Lot'!E961,'By Lot'!E978,'By Lot'!E995)</f>
        <v>6</v>
      </c>
      <c r="F117" s="2">
        <f>SUM('By Lot'!F892,'By Lot'!F909,'By Lot'!F961,'By Lot'!F978,'By Lot'!F995)</f>
        <v>6</v>
      </c>
      <c r="G117" s="2">
        <f>SUM('By Lot'!G892,'By Lot'!G909,'By Lot'!G961,'By Lot'!G978,'By Lot'!G995)</f>
        <v>6</v>
      </c>
      <c r="H117" s="2">
        <f>SUM('By Lot'!H892,'By Lot'!H909,'By Lot'!H961,'By Lot'!H978,'By Lot'!H995)</f>
        <v>6</v>
      </c>
      <c r="I117" s="2">
        <f>SUM('By Lot'!I892,'By Lot'!I909,'By Lot'!I961,'By Lot'!I978,'By Lot'!I995)</f>
        <v>7</v>
      </c>
      <c r="J117" s="2">
        <f>SUM('By Lot'!J892,'By Lot'!J909,'By Lot'!J961,'By Lot'!J978,'By Lot'!J995)</f>
        <v>7</v>
      </c>
      <c r="K117" s="2">
        <f>SUM('By Lot'!K892,'By Lot'!K909,'By Lot'!K961,'By Lot'!K978,'By Lot'!K995)</f>
        <v>7</v>
      </c>
      <c r="L117" s="2">
        <f>SUM('By Lot'!L892,'By Lot'!L909,'By Lot'!L961,'By Lot'!L978,'By Lot'!L995)</f>
        <v>7</v>
      </c>
      <c r="M117" s="27">
        <f>SUM('By Lot'!M892,'By Lot'!M909,'By Lot'!M961,'By Lot'!M978,'By Lot'!M995)</f>
        <v>7</v>
      </c>
      <c r="N117" s="26">
        <f t="shared" si="45"/>
        <v>6</v>
      </c>
      <c r="O117" s="2">
        <f t="shared" si="46"/>
        <v>1</v>
      </c>
      <c r="P117" s="24">
        <f t="shared" si="47"/>
        <v>0.14285714285714285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18"/>
      <c r="B118" s="18" t="s">
        <v>35</v>
      </c>
      <c r="C118" s="18">
        <f>SUM('By Lot'!C893,'By Lot'!C910,'By Lot'!C962,'By Lot'!C979,'By Lot'!C996)</f>
        <v>7</v>
      </c>
      <c r="D118" s="26">
        <f>SUM('By Lot'!D893,'By Lot'!D910,'By Lot'!D962,'By Lot'!D979,'By Lot'!D996)</f>
        <v>1</v>
      </c>
      <c r="E118" s="2">
        <f>SUM('By Lot'!E893,'By Lot'!E910,'By Lot'!E962,'By Lot'!E979,'By Lot'!E996)</f>
        <v>2</v>
      </c>
      <c r="F118" s="2">
        <f>SUM('By Lot'!F893,'By Lot'!F910,'By Lot'!F962,'By Lot'!F979,'By Lot'!F996)</f>
        <v>3</v>
      </c>
      <c r="G118" s="2">
        <f>SUM('By Lot'!G893,'By Lot'!G910,'By Lot'!G962,'By Lot'!G979,'By Lot'!G996)</f>
        <v>2</v>
      </c>
      <c r="H118" s="2">
        <f>SUM('By Lot'!H893,'By Lot'!H910,'By Lot'!H962,'By Lot'!H979,'By Lot'!H996)</f>
        <v>1</v>
      </c>
      <c r="I118" s="2">
        <f>SUM('By Lot'!I893,'By Lot'!I910,'By Lot'!I962,'By Lot'!I979,'By Lot'!I996)</f>
        <v>1</v>
      </c>
      <c r="J118" s="2">
        <f>SUM('By Lot'!J893,'By Lot'!J910,'By Lot'!J962,'By Lot'!J979,'By Lot'!J996)</f>
        <v>1</v>
      </c>
      <c r="K118" s="2">
        <f>SUM('By Lot'!K893,'By Lot'!K910,'By Lot'!K962,'By Lot'!K979,'By Lot'!K996)</f>
        <v>1</v>
      </c>
      <c r="L118" s="2">
        <f>SUM('By Lot'!L893,'By Lot'!L910,'By Lot'!L962,'By Lot'!L979,'By Lot'!L996)</f>
        <v>1</v>
      </c>
      <c r="M118" s="27">
        <f>SUM('By Lot'!M893,'By Lot'!M910,'By Lot'!M962,'By Lot'!M979,'By Lot'!M996)</f>
        <v>1</v>
      </c>
      <c r="N118" s="26">
        <f t="shared" si="45"/>
        <v>1</v>
      </c>
      <c r="O118" s="2">
        <f t="shared" si="46"/>
        <v>6</v>
      </c>
      <c r="P118" s="24">
        <f t="shared" si="47"/>
        <v>0.8571428571428571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18"/>
      <c r="B119" s="18" t="s">
        <v>36</v>
      </c>
      <c r="C119" s="18">
        <f>SUM('By Lot'!C894,'By Lot'!C911,'By Lot'!C963,'By Lot'!C980,'By Lot'!C997)</f>
        <v>2</v>
      </c>
      <c r="D119" s="26">
        <f>SUM('By Lot'!D894,'By Lot'!D911,'By Lot'!D963,'By Lot'!D980,'By Lot'!D997)</f>
        <v>2</v>
      </c>
      <c r="E119" s="2">
        <f>SUM('By Lot'!E894,'By Lot'!E911,'By Lot'!E963,'By Lot'!E980,'By Lot'!E997)</f>
        <v>2</v>
      </c>
      <c r="F119" s="2">
        <f>SUM('By Lot'!F894,'By Lot'!F911,'By Lot'!F963,'By Lot'!F980,'By Lot'!F997)</f>
        <v>2</v>
      </c>
      <c r="G119" s="2">
        <f>SUM('By Lot'!G894,'By Lot'!G911,'By Lot'!G963,'By Lot'!G980,'By Lot'!G997)</f>
        <v>1</v>
      </c>
      <c r="H119" s="2">
        <f>SUM('By Lot'!H894,'By Lot'!H911,'By Lot'!H963,'By Lot'!H980,'By Lot'!H997)</f>
        <v>2</v>
      </c>
      <c r="I119" s="2">
        <f>SUM('By Lot'!I894,'By Lot'!I911,'By Lot'!I963,'By Lot'!I980,'By Lot'!I997)</f>
        <v>1</v>
      </c>
      <c r="J119" s="2">
        <f>SUM('By Lot'!J894,'By Lot'!J911,'By Lot'!J963,'By Lot'!J980,'By Lot'!J997)</f>
        <v>1</v>
      </c>
      <c r="K119" s="2">
        <f>SUM('By Lot'!K894,'By Lot'!K911,'By Lot'!K963,'By Lot'!K980,'By Lot'!K997)</f>
        <v>1</v>
      </c>
      <c r="L119" s="2">
        <f>SUM('By Lot'!L894,'By Lot'!L911,'By Lot'!L963,'By Lot'!L980,'By Lot'!L997)</f>
        <v>1</v>
      </c>
      <c r="M119" s="27">
        <f>SUM('By Lot'!M894,'By Lot'!M911,'By Lot'!M963,'By Lot'!M980,'By Lot'!M997)</f>
        <v>1</v>
      </c>
      <c r="N119" s="26">
        <f t="shared" si="45"/>
        <v>1</v>
      </c>
      <c r="O119" s="2">
        <f t="shared" si="46"/>
        <v>1</v>
      </c>
      <c r="P119" s="24">
        <f t="shared" si="47"/>
        <v>0.5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18"/>
      <c r="B120" s="18" t="s">
        <v>37</v>
      </c>
      <c r="C120" s="18"/>
      <c r="D120" s="26"/>
      <c r="E120" s="2"/>
      <c r="F120" s="2"/>
      <c r="G120" s="2"/>
      <c r="H120" s="2"/>
      <c r="I120" s="2"/>
      <c r="J120" s="2"/>
      <c r="K120" s="2"/>
      <c r="L120" s="2"/>
      <c r="M120" s="27"/>
      <c r="N120" s="26"/>
      <c r="O120" s="2"/>
      <c r="P120" s="24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32"/>
      <c r="B121" s="33" t="s">
        <v>38</v>
      </c>
      <c r="C121" s="33">
        <f t="shared" ref="C121:M121" si="48">SUM(C111:C120)</f>
        <v>244</v>
      </c>
      <c r="D121" s="70">
        <f t="shared" si="48"/>
        <v>215</v>
      </c>
      <c r="E121" s="71">
        <f t="shared" si="48"/>
        <v>203</v>
      </c>
      <c r="F121" s="71">
        <f t="shared" si="48"/>
        <v>179</v>
      </c>
      <c r="G121" s="71">
        <f t="shared" si="48"/>
        <v>167</v>
      </c>
      <c r="H121" s="71">
        <f t="shared" si="48"/>
        <v>154</v>
      </c>
      <c r="I121" s="39">
        <f t="shared" si="48"/>
        <v>211</v>
      </c>
      <c r="J121" s="39">
        <f t="shared" si="48"/>
        <v>214</v>
      </c>
      <c r="K121" s="39">
        <f t="shared" si="48"/>
        <v>218</v>
      </c>
      <c r="L121" s="39">
        <f t="shared" si="48"/>
        <v>176</v>
      </c>
      <c r="M121" s="95">
        <f t="shared" si="48"/>
        <v>206</v>
      </c>
      <c r="N121" s="70">
        <f>MIN(D121:M121)</f>
        <v>154</v>
      </c>
      <c r="O121" s="71">
        <f>C121-N121</f>
        <v>90</v>
      </c>
      <c r="P121" s="40">
        <f>O121/C121</f>
        <v>0.36885245901639346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66" t="s">
        <v>76</v>
      </c>
      <c r="B122" s="18" t="s">
        <v>23</v>
      </c>
      <c r="C122" s="18"/>
      <c r="D122" s="26"/>
      <c r="E122" s="2"/>
      <c r="F122" s="2"/>
      <c r="G122" s="2"/>
      <c r="H122" s="2"/>
      <c r="I122" s="2"/>
      <c r="J122" s="2"/>
      <c r="K122" s="2"/>
      <c r="L122" s="2"/>
      <c r="M122" s="27"/>
      <c r="N122" s="26"/>
      <c r="O122" s="2"/>
      <c r="P122" s="24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18" t="s">
        <v>77</v>
      </c>
      <c r="B123" s="18" t="s">
        <v>25</v>
      </c>
      <c r="C123" s="18">
        <f>SUM('By Lot'!C1103,'By Lot'!C1120,'By Lot'!C1137,'By Lot'!C1154,
'By Lot'!C1171,'By Lot'!C1188,'By Lot'!C1205,'By Lot'!C1223,
'By Lot'!C1240,'By Lot'!C1257,'By Lot'!C1274)</f>
        <v>714</v>
      </c>
      <c r="D123" s="26">
        <f>SUM('By Lot'!D1103,'By Lot'!D1120,'By Lot'!D1137,'By Lot'!D1154,'By Lot'!D1171,'By Lot'!D1188,'By Lot'!D1205,'By Lot'!D1223,'By Lot'!D1240,'By Lot'!D1257,'By Lot'!D1274)</f>
        <v>694</v>
      </c>
      <c r="E123" s="2">
        <f>SUM('By Lot'!E1103,'By Lot'!E1120,'By Lot'!E1137,'By Lot'!E1154,'By Lot'!E1171,'By Lot'!E1188,'By Lot'!E1205,'By Lot'!E1223,'By Lot'!E1240,'By Lot'!E1257,'By Lot'!E1274)</f>
        <v>676</v>
      </c>
      <c r="F123" s="2">
        <f>SUM('By Lot'!F1103,'By Lot'!F1120,'By Lot'!F1137,'By Lot'!F1154,'By Lot'!F1171,'By Lot'!F1188,'By Lot'!F1205,'By Lot'!F1223,'By Lot'!F1240,'By Lot'!F1257,'By Lot'!F1274)</f>
        <v>680</v>
      </c>
      <c r="G123" s="2">
        <f>SUM('By Lot'!G1103,'By Lot'!G1120,'By Lot'!G1137,'By Lot'!G1154,'By Lot'!G1171,'By Lot'!G1188,'By Lot'!G1205,'By Lot'!G1223,'By Lot'!G1240,'By Lot'!G1257,'By Lot'!G1274)</f>
        <v>676</v>
      </c>
      <c r="H123" s="2">
        <f>SUM('By Lot'!H1103,'By Lot'!H1120,'By Lot'!H1137,'By Lot'!H1154,'By Lot'!H1171,'By Lot'!H1188,'By Lot'!H1205,'By Lot'!H1223,'By Lot'!H1240,'By Lot'!H1257,'By Lot'!H1274)</f>
        <v>673</v>
      </c>
      <c r="I123" s="2">
        <f>SUM('By Lot'!I1103,'By Lot'!I1120,'By Lot'!I1137,'By Lot'!I1154,'By Lot'!I1171,'By Lot'!I1188,'By Lot'!I1205,'By Lot'!I1223,'By Lot'!I1240,'By Lot'!I1257,'By Lot'!I1274)</f>
        <v>669</v>
      </c>
      <c r="J123" s="2">
        <f>SUM('By Lot'!J1103,'By Lot'!J1120,'By Lot'!J1137,'By Lot'!J1154,'By Lot'!J1171,'By Lot'!J1188,'By Lot'!J1205,'By Lot'!J1223,'By Lot'!J1240,'By Lot'!J1257,'By Lot'!J1274)</f>
        <v>670</v>
      </c>
      <c r="K123" s="2">
        <f>SUM('By Lot'!K1103,'By Lot'!K1120,'By Lot'!K1137,'By Lot'!K1154,'By Lot'!K1171,'By Lot'!K1188,'By Lot'!K1205,'By Lot'!K1223,'By Lot'!K1240,'By Lot'!K1257,'By Lot'!K1274)</f>
        <v>672</v>
      </c>
      <c r="L123" s="2">
        <f>SUM('By Lot'!L1103,'By Lot'!L1120,'By Lot'!L1137,'By Lot'!L1154,'By Lot'!L1171,'By Lot'!L1188,'By Lot'!L1205,'By Lot'!L1223,'By Lot'!L1240,'By Lot'!L1257,'By Lot'!L1274)</f>
        <v>675</v>
      </c>
      <c r="M123" s="27">
        <f>SUM('By Lot'!M1103,'By Lot'!M1120,'By Lot'!M1137,'By Lot'!M1154,'By Lot'!M1171,'By Lot'!M1188,'By Lot'!M1205,'By Lot'!M1223,'By Lot'!M1240,'By Lot'!M1257,'By Lot'!M1274)</f>
        <v>682</v>
      </c>
      <c r="N123" s="26">
        <f t="shared" ref="N123:N139" si="49">MIN(D123:M123)</f>
        <v>669</v>
      </c>
      <c r="O123" s="2">
        <f t="shared" ref="O123:O139" si="50">C123-N123</f>
        <v>45</v>
      </c>
      <c r="P123" s="24">
        <f t="shared" ref="P123:P139" si="51">O123/C123</f>
        <v>6.3025210084033612E-2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18" t="s">
        <v>78</v>
      </c>
      <c r="B124" s="18" t="s">
        <v>27</v>
      </c>
      <c r="C124" s="26">
        <f>SUM('By Lot'!C1104,'By Lot'!C1121,'By Lot'!C1138,'By Lot'!C1155,
'By Lot'!C1172,'By Lot'!C1206,'By Lot'!C1224,
'By Lot'!C1241,'By Lot'!C1258,'By Lot'!C1275)</f>
        <v>9</v>
      </c>
      <c r="D124" s="26">
        <f>SUM('By Lot'!D1104,'By Lot'!D1121,'By Lot'!D1138,'By Lot'!D1155,
'By Lot'!D1172,'By Lot'!D1206,'By Lot'!D1224,
'By Lot'!D1241,'By Lot'!D1258,'By Lot'!D1275)</f>
        <v>9</v>
      </c>
      <c r="E124" s="2">
        <f>SUM('By Lot'!E1104,'By Lot'!E1121,'By Lot'!E1138,'By Lot'!E1155,
'By Lot'!E1172,'By Lot'!E1206,'By Lot'!E1224,
'By Lot'!E1241,'By Lot'!E1258,'By Lot'!E1275)</f>
        <v>9</v>
      </c>
      <c r="F124" s="2">
        <f>SUM('By Lot'!F1104,'By Lot'!F1121,'By Lot'!F1138,'By Lot'!F1155,
'By Lot'!F1172,'By Lot'!F1206,'By Lot'!F1224,
'By Lot'!F1241,'By Lot'!F1258,'By Lot'!F1275)</f>
        <v>9</v>
      </c>
      <c r="G124" s="2">
        <f>SUM('By Lot'!G1104,'By Lot'!G1121,'By Lot'!G1138,'By Lot'!G1155,
'By Lot'!G1172,'By Lot'!G1206,'By Lot'!G1224,
'By Lot'!G1241,'By Lot'!G1258,'By Lot'!G1275)</f>
        <v>9</v>
      </c>
      <c r="H124" s="2">
        <f>SUM('By Lot'!H1104,'By Lot'!H1121,'By Lot'!H1138,'By Lot'!H1155,
'By Lot'!H1172,'By Lot'!H1206,'By Lot'!H1224,
'By Lot'!H1241,'By Lot'!H1258,'By Lot'!H1275)</f>
        <v>9</v>
      </c>
      <c r="I124" s="2">
        <f>SUM('By Lot'!I1104,'By Lot'!I1121,'By Lot'!I1138,'By Lot'!I1155,
'By Lot'!I1172,'By Lot'!I1206,'By Lot'!I1224,
'By Lot'!I1241,'By Lot'!I1258,'By Lot'!I1275)</f>
        <v>9</v>
      </c>
      <c r="J124" s="2">
        <f>SUM('By Lot'!J1104,'By Lot'!J1121,'By Lot'!J1138,'By Lot'!J1155,
'By Lot'!J1172,'By Lot'!J1206,'By Lot'!J1224,
'By Lot'!J1241,'By Lot'!J1258,'By Lot'!J1275)</f>
        <v>9</v>
      </c>
      <c r="K124" s="2">
        <f>SUM('By Lot'!K1104,'By Lot'!K1121,'By Lot'!K1138,'By Lot'!K1155,
'By Lot'!K1172,'By Lot'!K1206,'By Lot'!K1224,
'By Lot'!K1241,'By Lot'!K1258,'By Lot'!K1275)</f>
        <v>9</v>
      </c>
      <c r="L124" s="2">
        <f>SUM('By Lot'!L1104,'By Lot'!L1121,'By Lot'!L1138,'By Lot'!L1155,
'By Lot'!L1172,'By Lot'!L1206,'By Lot'!L1224,
'By Lot'!L1241,'By Lot'!L1258,'By Lot'!L1275)</f>
        <v>9</v>
      </c>
      <c r="M124" s="27">
        <f>SUM('By Lot'!M1104,'By Lot'!M1121,'By Lot'!M1138,'By Lot'!M1155,
'By Lot'!M1172,'By Lot'!M1206,'By Lot'!M1224,
'By Lot'!M1241,'By Lot'!M1258,'By Lot'!M1275)</f>
        <v>9</v>
      </c>
      <c r="N124" s="2">
        <f t="shared" si="49"/>
        <v>9</v>
      </c>
      <c r="O124" s="2">
        <f t="shared" si="50"/>
        <v>0</v>
      </c>
      <c r="P124" s="24">
        <f t="shared" si="51"/>
        <v>0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8" t="s">
        <v>79</v>
      </c>
      <c r="B125" s="18" t="s">
        <v>80</v>
      </c>
      <c r="C125" s="26">
        <f>SUM('By Lot'!C1189)</f>
        <v>398</v>
      </c>
      <c r="D125" s="26">
        <f>SUM('By Lot'!D1189)</f>
        <v>397</v>
      </c>
      <c r="E125" s="2">
        <f>SUM('By Lot'!E1189)</f>
        <v>397</v>
      </c>
      <c r="F125" s="2">
        <f>SUM('By Lot'!F1189)</f>
        <v>396</v>
      </c>
      <c r="G125" s="2">
        <f>SUM('By Lot'!G1189)</f>
        <v>396</v>
      </c>
      <c r="H125" s="2">
        <f>SUM('By Lot'!H1189)</f>
        <v>396</v>
      </c>
      <c r="I125" s="2">
        <f>SUM('By Lot'!I1189)</f>
        <v>395</v>
      </c>
      <c r="J125" s="2">
        <f>SUM('By Lot'!J1189)</f>
        <v>395</v>
      </c>
      <c r="K125" s="2">
        <f>SUM('By Lot'!K1189)</f>
        <v>396</v>
      </c>
      <c r="L125" s="2">
        <f>SUM('By Lot'!L1189)</f>
        <v>396</v>
      </c>
      <c r="M125" s="27">
        <f>SUM('By Lot'!M1189)</f>
        <v>396</v>
      </c>
      <c r="N125" s="2">
        <f t="shared" si="49"/>
        <v>395</v>
      </c>
      <c r="O125" s="2">
        <f t="shared" si="50"/>
        <v>3</v>
      </c>
      <c r="P125" s="24">
        <f t="shared" si="51"/>
        <v>7.537688442211055E-3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8" t="s">
        <v>81</v>
      </c>
      <c r="B126" s="18" t="s">
        <v>31</v>
      </c>
      <c r="C126" s="18">
        <f>SUM('By Lot'!C1105:C1106,'By Lot'!C1122:C1123,'By Lot'!C1139:C1140,'By Lot'!C1156:C1157,
'By Lot'!C1173:C1174,'By Lot'!C1190:C1191,'By Lot'!C1207:C1208,'By Lot'!C1225:C1226,
'By Lot'!C1242:C1243,'By Lot'!C1259:C1260,'By Lot'!C1276:C1277)</f>
        <v>249</v>
      </c>
      <c r="D126" s="26">
        <f>SUM('By Lot'!D1105:D1106,'By Lot'!D1122:D1123,'By Lot'!D1139:D1140,'By Lot'!D1156:D1157,'By Lot'!D1173:D1174,'By Lot'!D1190:D1191,'By Lot'!D1207:D1208,'By Lot'!D1225:D1226,'By Lot'!D1242:D1243,'By Lot'!D1259:D1260,'By Lot'!D1276:D1277)</f>
        <v>226</v>
      </c>
      <c r="E126" s="2">
        <f>SUM('By Lot'!E1105:E1106,'By Lot'!E1122:E1123,'By Lot'!E1139:E1140,'By Lot'!E1156:E1157,'By Lot'!E1173:E1174,'By Lot'!E1190:E1191,'By Lot'!E1207:E1208,'By Lot'!E1225:E1226,'By Lot'!E1242:E1243,'By Lot'!E1259:E1260,'By Lot'!E1276:E1277)</f>
        <v>222</v>
      </c>
      <c r="F126" s="2">
        <f>SUM('By Lot'!F1105:F1106,'By Lot'!F1122:F1123,'By Lot'!F1139:F1140,'By Lot'!F1156:F1157,'By Lot'!F1173:F1174,'By Lot'!F1190:F1191,'By Lot'!F1207:F1208,'By Lot'!F1225:F1226,'By Lot'!F1242:F1243,'By Lot'!F1259:F1260,'By Lot'!F1276:F1277)</f>
        <v>204</v>
      </c>
      <c r="G126" s="2">
        <f>SUM('By Lot'!G1105:G1106,'By Lot'!G1122:G1123,'By Lot'!G1139:G1140,'By Lot'!G1156:G1157,'By Lot'!G1173:G1174,'By Lot'!G1190:G1191,'By Lot'!G1207:G1208,'By Lot'!G1225:G1226,'By Lot'!G1242:G1243,'By Lot'!G1259:G1260,'By Lot'!G1276:G1277)</f>
        <v>202</v>
      </c>
      <c r="H126" s="2">
        <f>SUM('By Lot'!H1105:H1106,'By Lot'!H1122:H1123,'By Lot'!H1139:H1140,'By Lot'!H1156:H1157,'By Lot'!H1173:H1174,'By Lot'!H1190:H1191,'By Lot'!H1207:H1208,'By Lot'!H1225:H1226,'By Lot'!H1242:H1243,'By Lot'!H1259:H1260,'By Lot'!H1276:H1277)</f>
        <v>200</v>
      </c>
      <c r="I126" s="2">
        <f>SUM('By Lot'!I1105:I1106,'By Lot'!I1122:I1123,'By Lot'!I1139:I1140,'By Lot'!I1156:I1157,'By Lot'!I1173:I1174,'By Lot'!I1190:I1191,'By Lot'!I1207:I1208,'By Lot'!I1225:I1226,'By Lot'!I1242:I1243,'By Lot'!I1259:I1260,'By Lot'!I1276:I1277)</f>
        <v>193</v>
      </c>
      <c r="J126" s="2">
        <f>SUM('By Lot'!J1105:J1106,'By Lot'!J1122:J1123,'By Lot'!J1139:J1140,'By Lot'!J1156:J1157,'By Lot'!J1173:J1174,'By Lot'!J1190:J1191,'By Lot'!J1207:J1208,'By Lot'!J1225:J1226,'By Lot'!J1242:J1243,'By Lot'!J1259:J1260,'By Lot'!J1276:J1277)</f>
        <v>198</v>
      </c>
      <c r="K126" s="2">
        <f>SUM('By Lot'!K1105:K1106,'By Lot'!K1122:K1123,'By Lot'!K1139:K1140,'By Lot'!K1156:K1157,'By Lot'!K1173:K1174,'By Lot'!K1190:K1191,'By Lot'!K1207:K1208,'By Lot'!K1225:K1226,'By Lot'!K1242:K1243,'By Lot'!K1259:K1260,'By Lot'!K1276:K1277)</f>
        <v>204</v>
      </c>
      <c r="L126" s="2">
        <f>SUM('By Lot'!L1105:L1106,'By Lot'!L1122:L1123,'By Lot'!L1139:L1140,'By Lot'!L1156:L1157,'By Lot'!L1173:L1174,'By Lot'!L1190:L1191,'By Lot'!L1207:L1208,'By Lot'!L1225:L1226,'By Lot'!L1242:L1243,'By Lot'!L1259:L1260,'By Lot'!L1276:L1277)</f>
        <v>213</v>
      </c>
      <c r="M126" s="27">
        <f>SUM('By Lot'!M1105:M1106,'By Lot'!M1122:M1123,'By Lot'!M1139:M1140,'By Lot'!M1156:M1157,'By Lot'!M1173:M1174,'By Lot'!M1190:M1191,'By Lot'!M1207:M1208,'By Lot'!M1225:M1226,'By Lot'!M1242:M1243,'By Lot'!M1259:M1260,'By Lot'!M1276:M1277)</f>
        <v>220</v>
      </c>
      <c r="N126" s="26">
        <f t="shared" si="49"/>
        <v>193</v>
      </c>
      <c r="O126" s="2">
        <f t="shared" si="50"/>
        <v>56</v>
      </c>
      <c r="P126" s="24">
        <f t="shared" si="51"/>
        <v>0.22489959839357429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8" t="s">
        <v>82</v>
      </c>
      <c r="B127" s="18" t="s">
        <v>32</v>
      </c>
      <c r="C127" s="18">
        <f>SUM('By Lot'!C1107,'By Lot'!C1124,'By Lot'!C1141,'By Lot'!C1158,
'By Lot'!C1175,'By Lot'!C1192,'By Lot'!C1209,'By Lot'!C1227,
'By Lot'!C1244,'By Lot'!C1261,'By Lot'!C1278, )</f>
        <v>20</v>
      </c>
      <c r="D127" s="26">
        <f>SUM('By Lot'!D1107,'By Lot'!D1124,'By Lot'!D1141,'By Lot'!D1158,'By Lot'!D1175,'By Lot'!D1192,'By Lot'!D1209,'By Lot'!D1227,'By Lot'!D1244,'By Lot'!D1261,'By Lot'!D1278, )</f>
        <v>18</v>
      </c>
      <c r="E127" s="2">
        <f>SUM('By Lot'!E1107,'By Lot'!E1124,'By Lot'!E1141,'By Lot'!E1158,'By Lot'!E1175,'By Lot'!E1192,'By Lot'!E1209,'By Lot'!E1227,'By Lot'!E1244,'By Lot'!E1261,'By Lot'!E1278, )</f>
        <v>18</v>
      </c>
      <c r="F127" s="2">
        <f>SUM('By Lot'!F1107,'By Lot'!F1124,'By Lot'!F1141,'By Lot'!F1158,'By Lot'!F1175,'By Lot'!F1192,'By Lot'!F1209,'By Lot'!F1227,'By Lot'!F1244,'By Lot'!F1261,'By Lot'!F1278, )</f>
        <v>17</v>
      </c>
      <c r="G127" s="2">
        <f>SUM('By Lot'!G1107,'By Lot'!G1124,'By Lot'!G1141,'By Lot'!G1158,'By Lot'!G1175,'By Lot'!G1192,'By Lot'!G1209,'By Lot'!G1227,'By Lot'!G1244,'By Lot'!G1261,'By Lot'!G1278, )</f>
        <v>17</v>
      </c>
      <c r="H127" s="2">
        <f>SUM('By Lot'!H1107,'By Lot'!H1124,'By Lot'!H1141,'By Lot'!H1158,'By Lot'!H1175,'By Lot'!H1192,'By Lot'!H1209,'By Lot'!H1227,'By Lot'!H1244,'By Lot'!H1261,'By Lot'!H1278, )</f>
        <v>17</v>
      </c>
      <c r="I127" s="2">
        <f>SUM('By Lot'!I1107,'By Lot'!I1124,'By Lot'!I1141,'By Lot'!I1158,'By Lot'!I1175,'By Lot'!I1192,'By Lot'!I1209,'By Lot'!I1227,'By Lot'!I1244,'By Lot'!I1261,'By Lot'!I1278, )</f>
        <v>19</v>
      </c>
      <c r="J127" s="2">
        <f>SUM('By Lot'!J1107,'By Lot'!J1124,'By Lot'!J1141,'By Lot'!J1158,'By Lot'!J1175,'By Lot'!J1192,'By Lot'!J1209,'By Lot'!J1227,'By Lot'!J1244,'By Lot'!J1261,'By Lot'!J1278, )</f>
        <v>20</v>
      </c>
      <c r="K127" s="2">
        <f>SUM('By Lot'!K1107,'By Lot'!K1124,'By Lot'!K1141,'By Lot'!K1158,'By Lot'!K1175,'By Lot'!K1192,'By Lot'!K1209,'By Lot'!K1227,'By Lot'!K1244,'By Lot'!K1261,'By Lot'!K1278, )</f>
        <v>20</v>
      </c>
      <c r="L127" s="2">
        <f>SUM('By Lot'!L1107,'By Lot'!L1124,'By Lot'!L1141,'By Lot'!L1158,'By Lot'!L1175,'By Lot'!L1192,'By Lot'!L1209,'By Lot'!L1227,'By Lot'!L1244,'By Lot'!L1261,'By Lot'!L1278, )</f>
        <v>20</v>
      </c>
      <c r="M127" s="27">
        <f>SUM('By Lot'!M1107,'By Lot'!M1124,'By Lot'!M1141,'By Lot'!M1158,'By Lot'!M1175,'By Lot'!M1192,'By Lot'!M1209,'By Lot'!M1227,'By Lot'!M1244,'By Lot'!M1261,'By Lot'!M1278, )</f>
        <v>20</v>
      </c>
      <c r="N127" s="26">
        <f t="shared" si="49"/>
        <v>17</v>
      </c>
      <c r="O127" s="2">
        <f t="shared" si="50"/>
        <v>3</v>
      </c>
      <c r="P127" s="24">
        <f t="shared" si="51"/>
        <v>0.15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18"/>
      <c r="B128" s="18" t="s">
        <v>33</v>
      </c>
      <c r="C128" s="18">
        <f>SUM('By Lot'!C1108:C1113,'By Lot'!C1125:C1130,'By Lot'!C1142:C1147,'By Lot'!C1159:C1164,
'By Lot'!C1176:C1181,'By Lot'!C1193:C1198,'By Lot'!C1210:C1215,'By Lot'!C1228:C1233,
'By Lot'!C1245:C1250,'By Lot'!C1262:C1267,'By Lot'!C1279:C1284)</f>
        <v>87</v>
      </c>
      <c r="D128" s="26">
        <f>SUM('By Lot'!D1108:D1113,'By Lot'!D1125:D1130,'By Lot'!D1142:D1147,'By Lot'!D1159:D1164,'By Lot'!D1176:D1181,'By Lot'!D1193:D1198,'By Lot'!D1210:D1215,'By Lot'!D1228:D1233,'By Lot'!D1245:D1250,'By Lot'!D1262:D1267,'By Lot'!D1279:D1284)</f>
        <v>61</v>
      </c>
      <c r="E128" s="2">
        <f>SUM('By Lot'!E1108:E1113,'By Lot'!E1125:E1130,'By Lot'!E1142:E1147,'By Lot'!E1159:E1164,'By Lot'!E1176:E1181,'By Lot'!E1193:E1198,'By Lot'!E1210:E1215,'By Lot'!E1228:E1233,'By Lot'!E1245:E1250,'By Lot'!E1262:E1267,'By Lot'!E1279:E1284)</f>
        <v>56</v>
      </c>
      <c r="F128" s="2">
        <f>SUM('By Lot'!F1108:F1113,'By Lot'!F1125:F1130,'By Lot'!F1142:F1147,'By Lot'!F1159:F1164,'By Lot'!F1176:F1181,'By Lot'!F1193:F1198,'By Lot'!F1210:F1215,'By Lot'!F1228:F1233,'By Lot'!F1245:F1250,'By Lot'!F1262:F1267,'By Lot'!F1279:F1284)</f>
        <v>43</v>
      </c>
      <c r="G128" s="2">
        <f>SUM('By Lot'!G1108:G1113,'By Lot'!G1125:G1130,'By Lot'!G1142:G1147,'By Lot'!G1159:G1164,'By Lot'!G1176:G1181,'By Lot'!G1193:G1198,'By Lot'!G1210:G1215,'By Lot'!G1228:G1233,'By Lot'!G1245:G1250,'By Lot'!G1262:G1267,'By Lot'!G1279:G1284)</f>
        <v>36</v>
      </c>
      <c r="H128" s="2">
        <f>SUM('By Lot'!H1108:H1113,'By Lot'!H1125:H1130,'By Lot'!H1142:H1147,'By Lot'!H1159:H1164,'By Lot'!H1176:H1181,'By Lot'!H1193:H1198,'By Lot'!H1210:H1215,'By Lot'!H1228:H1233,'By Lot'!H1245:H1250,'By Lot'!H1262:H1267,'By Lot'!H1279:H1284)</f>
        <v>35</v>
      </c>
      <c r="I128" s="2">
        <f>SUM('By Lot'!I1108:I1113,'By Lot'!I1125:I1130,'By Lot'!I1142:I1147,'By Lot'!I1159:I1164,'By Lot'!I1176:I1181,'By Lot'!I1193:I1198,'By Lot'!I1210:I1215,'By Lot'!I1228:I1233,'By Lot'!I1245:I1250,'By Lot'!I1262:I1267,'By Lot'!I1279:I1284)</f>
        <v>26</v>
      </c>
      <c r="J128" s="2">
        <f>SUM('By Lot'!J1108:J1113,'By Lot'!J1125:J1130,'By Lot'!J1142:J1147,'By Lot'!J1159:J1164,'By Lot'!J1176:J1181,'By Lot'!J1193:J1198,'By Lot'!J1210:J1215,'By Lot'!J1228:J1233,'By Lot'!J1245:J1250,'By Lot'!J1262:J1267,'By Lot'!J1279:J1284)</f>
        <v>26</v>
      </c>
      <c r="K128" s="2">
        <f>SUM('By Lot'!K1108:K1113,'By Lot'!K1125:K1130,'By Lot'!K1142:K1147,'By Lot'!K1159:K1164,'By Lot'!K1176:K1181,'By Lot'!K1193:K1198,'By Lot'!K1210:K1215,'By Lot'!K1228:K1233,'By Lot'!K1245:K1250,'By Lot'!K1262:K1267,'By Lot'!K1279:K1284)</f>
        <v>31</v>
      </c>
      <c r="L128" s="2">
        <f>SUM('By Lot'!L1108:L1113,'By Lot'!L1125:L1130,'By Lot'!L1142:L1147,'By Lot'!L1159:L1164,'By Lot'!L1176:L1181,'By Lot'!L1193:L1198,'By Lot'!L1210:L1215,'By Lot'!L1228:L1233,'By Lot'!L1245:L1250,'By Lot'!L1262:L1267,'By Lot'!L1279:L1284)</f>
        <v>35</v>
      </c>
      <c r="M128" s="27">
        <f>SUM('By Lot'!M1108:M1113,'By Lot'!M1125:M1130,'By Lot'!M1142:M1147,'By Lot'!M1159:M1164,'By Lot'!M1176:M1181,'By Lot'!M1193:M1198,'By Lot'!M1210:M1215,'By Lot'!M1228:M1233,'By Lot'!M1245:M1250,'By Lot'!M1262:M1267,'By Lot'!M1279:M1284)</f>
        <v>46</v>
      </c>
      <c r="N128" s="26">
        <f t="shared" si="49"/>
        <v>26</v>
      </c>
      <c r="O128" s="2">
        <f t="shared" si="50"/>
        <v>61</v>
      </c>
      <c r="P128" s="24">
        <f t="shared" si="51"/>
        <v>0.70114942528735635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18"/>
      <c r="B129" s="18" t="s">
        <v>34</v>
      </c>
      <c r="C129" s="18">
        <f>SUM('By Lot'!C1114,'By Lot'!C1131,'By Lot'!C1148,'By Lot'!C1165,
'By Lot'!C1182,'By Lot'!C1199,'By Lot'!C1216,'By Lot'!C1234,
'By Lot'!C1251,'By Lot'!C1268,'By Lot'!C1285)</f>
        <v>24</v>
      </c>
      <c r="D129" s="26">
        <f>SUM('By Lot'!D1114,'By Lot'!D1131,'By Lot'!D1148,'By Lot'!D1165,'By Lot'!D1182,'By Lot'!D1199,'By Lot'!D1216,'By Lot'!D1234,'By Lot'!D1251,'By Lot'!D1268,'By Lot'!D1285)</f>
        <v>24</v>
      </c>
      <c r="E129" s="2">
        <f>SUM('By Lot'!E1114,'By Lot'!E1131,'By Lot'!E1148,'By Lot'!E1165,'By Lot'!E1182,'By Lot'!E1199,'By Lot'!E1216,'By Lot'!E1234,'By Lot'!E1251,'By Lot'!E1268,'By Lot'!E1285)</f>
        <v>24</v>
      </c>
      <c r="F129" s="2">
        <f>SUM('By Lot'!F1114,'By Lot'!F1131,'By Lot'!F1148,'By Lot'!F1165,'By Lot'!F1182,'By Lot'!F1199,'By Lot'!F1216,'By Lot'!F1234,'By Lot'!F1251,'By Lot'!F1268,'By Lot'!F1285)</f>
        <v>23</v>
      </c>
      <c r="G129" s="2">
        <f>SUM('By Lot'!G1114,'By Lot'!G1131,'By Lot'!G1148,'By Lot'!G1165,'By Lot'!G1182,'By Lot'!G1199,'By Lot'!G1216,'By Lot'!G1234,'By Lot'!G1251,'By Lot'!G1268,'By Lot'!G1285)</f>
        <v>23</v>
      </c>
      <c r="H129" s="2">
        <f>SUM('By Lot'!H1114,'By Lot'!H1131,'By Lot'!H1148,'By Lot'!H1165,'By Lot'!H1182,'By Lot'!H1199,'By Lot'!H1216,'By Lot'!H1234,'By Lot'!H1251,'By Lot'!H1268,'By Lot'!H1285)</f>
        <v>23</v>
      </c>
      <c r="I129" s="2">
        <f>SUM('By Lot'!I1114,'By Lot'!I1131,'By Lot'!I1148,'By Lot'!I1165,'By Lot'!I1182,'By Lot'!I1199,'By Lot'!I1216,'By Lot'!I1234,'By Lot'!I1251,'By Lot'!I1268,'By Lot'!I1285)</f>
        <v>24</v>
      </c>
      <c r="J129" s="2">
        <f>SUM('By Lot'!J1114,'By Lot'!J1131,'By Lot'!J1148,'By Lot'!J1165,'By Lot'!J1182,'By Lot'!J1199,'By Lot'!J1216,'By Lot'!J1234,'By Lot'!J1251,'By Lot'!J1268,'By Lot'!J1285)</f>
        <v>24</v>
      </c>
      <c r="K129" s="2">
        <f>SUM('By Lot'!K1114,'By Lot'!K1131,'By Lot'!K1148,'By Lot'!K1165,'By Lot'!K1182,'By Lot'!K1199,'By Lot'!K1216,'By Lot'!K1234,'By Lot'!K1251,'By Lot'!K1268,'By Lot'!K1285)</f>
        <v>24</v>
      </c>
      <c r="L129" s="2">
        <f>SUM('By Lot'!L1114,'By Lot'!L1131,'By Lot'!L1148,'By Lot'!L1165,'By Lot'!L1182,'By Lot'!L1199,'By Lot'!L1216,'By Lot'!L1234,'By Lot'!L1251,'By Lot'!L1268,'By Lot'!L1285)</f>
        <v>24</v>
      </c>
      <c r="M129" s="27">
        <f>SUM('By Lot'!M1114,'By Lot'!M1131,'By Lot'!M1148,'By Lot'!M1165,'By Lot'!M1182,'By Lot'!M1199,'By Lot'!M1216,'By Lot'!M1234,'By Lot'!M1251,'By Lot'!M1268,'By Lot'!M1285)</f>
        <v>24</v>
      </c>
      <c r="N129" s="26">
        <f t="shared" si="49"/>
        <v>23</v>
      </c>
      <c r="O129" s="2">
        <f t="shared" si="50"/>
        <v>1</v>
      </c>
      <c r="P129" s="24">
        <f t="shared" si="51"/>
        <v>4.1666666666666664E-2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18"/>
      <c r="B130" s="18" t="s">
        <v>35</v>
      </c>
      <c r="C130" s="18">
        <f>SUM('By Lot'!C1115,'By Lot'!C1132,'By Lot'!C1149,'By Lot'!C1166,
'By Lot'!C1183,'By Lot'!C1200,'By Lot'!C1217,'By Lot'!C1235,
'By Lot'!C1252,'By Lot'!C1269,'By Lot'!C1286)</f>
        <v>22</v>
      </c>
      <c r="D130" s="26">
        <f>SUM('By Lot'!D1115,'By Lot'!D1132,'By Lot'!D1149,'By Lot'!D1166,'By Lot'!D1183,'By Lot'!D1200,'By Lot'!D1217,'By Lot'!D1235,'By Lot'!D1252,'By Lot'!D1269,'By Lot'!D1286)</f>
        <v>11</v>
      </c>
      <c r="E130" s="2">
        <f>SUM('By Lot'!E1115,'By Lot'!E1132,'By Lot'!E1149,'By Lot'!E1166,'By Lot'!E1183,'By Lot'!E1200,'By Lot'!E1217,'By Lot'!E1235,'By Lot'!E1252,'By Lot'!E1269,'By Lot'!E1286)</f>
        <v>13</v>
      </c>
      <c r="F130" s="2">
        <f>SUM('By Lot'!F1115,'By Lot'!F1132,'By Lot'!F1149,'By Lot'!F1166,'By Lot'!F1183,'By Lot'!F1200,'By Lot'!F1217,'By Lot'!F1235,'By Lot'!F1252,'By Lot'!F1269,'By Lot'!F1286)</f>
        <v>12</v>
      </c>
      <c r="G130" s="2">
        <f>SUM('By Lot'!G1115,'By Lot'!G1132,'By Lot'!G1149,'By Lot'!G1166,'By Lot'!G1183,'By Lot'!G1200,'By Lot'!G1217,'By Lot'!G1235,'By Lot'!G1252,'By Lot'!G1269,'By Lot'!G1286)</f>
        <v>12</v>
      </c>
      <c r="H130" s="2">
        <f>SUM('By Lot'!H1115,'By Lot'!H1132,'By Lot'!H1149,'By Lot'!H1166,'By Lot'!H1183,'By Lot'!H1200,'By Lot'!H1217,'By Lot'!H1235,'By Lot'!H1252,'By Lot'!H1269,'By Lot'!H1286)</f>
        <v>12</v>
      </c>
      <c r="I130" s="2">
        <f>SUM('By Lot'!I1115,'By Lot'!I1132,'By Lot'!I1149,'By Lot'!I1166,'By Lot'!I1183,'By Lot'!I1200,'By Lot'!I1217,'By Lot'!I1235,'By Lot'!I1252,'By Lot'!I1269,'By Lot'!I1286)</f>
        <v>15</v>
      </c>
      <c r="J130" s="2">
        <f>SUM('By Lot'!J1115,'By Lot'!J1132,'By Lot'!J1149,'By Lot'!J1166,'By Lot'!J1183,'By Lot'!J1200,'By Lot'!J1217,'By Lot'!J1235,'By Lot'!J1252,'By Lot'!J1269,'By Lot'!J1286)</f>
        <v>14</v>
      </c>
      <c r="K130" s="2">
        <f>SUM('By Lot'!K1115,'By Lot'!K1132,'By Lot'!K1149,'By Lot'!K1166,'By Lot'!K1183,'By Lot'!K1200,'By Lot'!K1217,'By Lot'!K1235,'By Lot'!K1252,'By Lot'!K1269,'By Lot'!K1286)</f>
        <v>16</v>
      </c>
      <c r="L130" s="2">
        <f>SUM('By Lot'!L1115,'By Lot'!L1132,'By Lot'!L1149,'By Lot'!L1166,'By Lot'!L1183,'By Lot'!L1200,'By Lot'!L1217,'By Lot'!L1235,'By Lot'!L1252,'By Lot'!L1269,'By Lot'!L1286)</f>
        <v>15</v>
      </c>
      <c r="M130" s="27">
        <f>SUM('By Lot'!M1115,'By Lot'!M1132,'By Lot'!M1149,'By Lot'!M1166,'By Lot'!M1183,'By Lot'!M1200,'By Lot'!M1217,'By Lot'!M1235,'By Lot'!M1252,'By Lot'!M1269,'By Lot'!M1286)</f>
        <v>15</v>
      </c>
      <c r="N130" s="26">
        <f t="shared" si="49"/>
        <v>11</v>
      </c>
      <c r="O130" s="2">
        <f t="shared" si="50"/>
        <v>11</v>
      </c>
      <c r="P130" s="24">
        <f t="shared" si="51"/>
        <v>0.5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18"/>
      <c r="B131" s="18" t="s">
        <v>36</v>
      </c>
      <c r="C131" s="18">
        <f>SUM('By Lot'!C1116,'By Lot'!C1133,'By Lot'!C1150,'By Lot'!C1167,
'By Lot'!C1184,'By Lot'!C1201,'By Lot'!C1218,'By Lot'!C1236,
'By Lot'!C1253,'By Lot'!C1270,'By Lot'!C1287)</f>
        <v>1</v>
      </c>
      <c r="D131" s="26">
        <f>SUM('By Lot'!D1116,'By Lot'!D1133,'By Lot'!D1150,'By Lot'!D1167,'By Lot'!D1184,'By Lot'!D1201,'By Lot'!D1218,'By Lot'!D1236,'By Lot'!D1253,'By Lot'!D1270,'By Lot'!D1287)</f>
        <v>1</v>
      </c>
      <c r="E131" s="2">
        <f>SUM('By Lot'!E1116,'By Lot'!E1133,'By Lot'!E1150,'By Lot'!E1167,'By Lot'!E1184,'By Lot'!E1201,'By Lot'!E1218,'By Lot'!E1236,'By Lot'!E1253,'By Lot'!E1270,'By Lot'!E1287)</f>
        <v>1</v>
      </c>
      <c r="F131" s="2">
        <f>SUM('By Lot'!F1116,'By Lot'!F1133,'By Lot'!F1150,'By Lot'!F1167,'By Lot'!F1184,'By Lot'!F1201,'By Lot'!F1218,'By Lot'!F1236,'By Lot'!F1253,'By Lot'!F1270,'By Lot'!F1287)</f>
        <v>1</v>
      </c>
      <c r="G131" s="2">
        <f>SUM('By Lot'!G1116,'By Lot'!G1133,'By Lot'!G1150,'By Lot'!G1167,'By Lot'!G1184,'By Lot'!G1201,'By Lot'!G1218,'By Lot'!G1236,'By Lot'!G1253,'By Lot'!G1270,'By Lot'!G1287)</f>
        <v>1</v>
      </c>
      <c r="H131" s="2">
        <f>SUM('By Lot'!H1116,'By Lot'!H1133,'By Lot'!H1150,'By Lot'!H1167,'By Lot'!H1184,'By Lot'!H1201,'By Lot'!H1218,'By Lot'!H1236,'By Lot'!H1253,'By Lot'!H1270,'By Lot'!H1287)</f>
        <v>1</v>
      </c>
      <c r="I131" s="2">
        <f>SUM('By Lot'!I1116,'By Lot'!I1133,'By Lot'!I1150,'By Lot'!I1167,'By Lot'!I1184,'By Lot'!I1201,'By Lot'!I1218,'By Lot'!I1236,'By Lot'!I1253,'By Lot'!I1270,'By Lot'!I1287)</f>
        <v>1</v>
      </c>
      <c r="J131" s="2">
        <f>SUM('By Lot'!J1116,'By Lot'!J1133,'By Lot'!J1150,'By Lot'!J1167,'By Lot'!J1184,'By Lot'!J1201,'By Lot'!J1218,'By Lot'!J1236,'By Lot'!J1253,'By Lot'!J1270,'By Lot'!J1287)</f>
        <v>1</v>
      </c>
      <c r="K131" s="2">
        <f>SUM('By Lot'!K1116,'By Lot'!K1133,'By Lot'!K1150,'By Lot'!K1167,'By Lot'!K1184,'By Lot'!K1201,'By Lot'!K1218,'By Lot'!K1236,'By Lot'!K1253,'By Lot'!K1270,'By Lot'!K1287)</f>
        <v>1</v>
      </c>
      <c r="L131" s="2">
        <f>SUM('By Lot'!L1116,'By Lot'!L1133,'By Lot'!L1150,'By Lot'!L1167,'By Lot'!L1184,'By Lot'!L1201,'By Lot'!L1218,'By Lot'!L1236,'By Lot'!L1253,'By Lot'!L1270,'By Lot'!L1287)</f>
        <v>1</v>
      </c>
      <c r="M131" s="27">
        <f>SUM('By Lot'!M1116,'By Lot'!M1133,'By Lot'!M1150,'By Lot'!M1167,'By Lot'!M1184,'By Lot'!M1201,'By Lot'!M1218,'By Lot'!M1236,'By Lot'!M1253,'By Lot'!M1270,'By Lot'!M1287)</f>
        <v>1</v>
      </c>
      <c r="N131" s="26">
        <f t="shared" si="49"/>
        <v>1</v>
      </c>
      <c r="O131" s="2">
        <f t="shared" si="50"/>
        <v>0</v>
      </c>
      <c r="P131" s="24">
        <f t="shared" si="51"/>
        <v>0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18"/>
      <c r="B132" s="26" t="s">
        <v>37</v>
      </c>
      <c r="C132" s="32">
        <f>SUM('By Lot'!C1117,'By Lot'!C1134,'By Lot'!C1151,'By Lot'!C1168,
'By Lot'!C1185,'By Lot'!C1202,'By Lot'!C1219:C1220,'By Lot'!C1237,
'By Lot'!C1254,'By Lot'!C1271,'By Lot'!C1288)</f>
        <v>7</v>
      </c>
      <c r="D132" s="80">
        <f>SUM('By Lot'!D1117,'By Lot'!D1134,'By Lot'!D1151,'By Lot'!D1168,
'By Lot'!D1185,'By Lot'!D1202,'By Lot'!D1219:D1220,'By Lot'!D1237,
'By Lot'!D1254,'By Lot'!D1271,'By Lot'!D1288)</f>
        <v>5</v>
      </c>
      <c r="E132" s="80">
        <f>SUM('By Lot'!E1117,'By Lot'!E1134,'By Lot'!E1151,'By Lot'!E1168,
'By Lot'!E1185,'By Lot'!E1202,'By Lot'!E1219:E1220,'By Lot'!E1237,
'By Lot'!E1254,'By Lot'!E1271,'By Lot'!E1288)</f>
        <v>5</v>
      </c>
      <c r="F132" s="80">
        <f>SUM('By Lot'!F1117,'By Lot'!F1134,'By Lot'!F1151,'By Lot'!F1168,
'By Lot'!F1185,'By Lot'!F1202,'By Lot'!F1219:F1220,'By Lot'!F1237,
'By Lot'!F1254,'By Lot'!F1271,'By Lot'!F1288)</f>
        <v>6</v>
      </c>
      <c r="G132" s="80">
        <f>SUM('By Lot'!G1117,'By Lot'!G1134,'By Lot'!G1151,'By Lot'!G1168,
'By Lot'!G1185,'By Lot'!G1202,'By Lot'!G1219:G1220,'By Lot'!G1237,
'By Lot'!G1254,'By Lot'!G1271,'By Lot'!G1288)</f>
        <v>6</v>
      </c>
      <c r="H132" s="80">
        <f>SUM('By Lot'!H1117,'By Lot'!H1134,'By Lot'!H1151,'By Lot'!H1168,
'By Lot'!H1185,'By Lot'!H1202,'By Lot'!H1219:H1220,'By Lot'!H1237,
'By Lot'!H1254,'By Lot'!H1271,'By Lot'!H1288)</f>
        <v>6</v>
      </c>
      <c r="I132" s="80">
        <f>SUM('By Lot'!I1117,'By Lot'!I1134,'By Lot'!I1151,'By Lot'!I1168,
'By Lot'!I1185,'By Lot'!I1202,'By Lot'!I1219:I1220,'By Lot'!I1237,
'By Lot'!I1254,'By Lot'!I1271,'By Lot'!I1288)</f>
        <v>6</v>
      </c>
      <c r="J132" s="80">
        <f>SUM('By Lot'!J1117,'By Lot'!J1134,'By Lot'!J1151,'By Lot'!J1168,
'By Lot'!J1185,'By Lot'!J1202,'By Lot'!J1219:J1220,'By Lot'!J1237,
'By Lot'!J1254,'By Lot'!J1271,'By Lot'!J1288)</f>
        <v>6</v>
      </c>
      <c r="K132" s="80">
        <f>SUM('By Lot'!K1117,'By Lot'!K1134,'By Lot'!K1151,'By Lot'!K1168,
'By Lot'!K1185,'By Lot'!K1202,'By Lot'!K1219:K1220,'By Lot'!K1237,
'By Lot'!K1254,'By Lot'!K1271,'By Lot'!K1288)</f>
        <v>6</v>
      </c>
      <c r="L132" s="80">
        <f>SUM('By Lot'!L1117,'By Lot'!L1134,'By Lot'!L1151,'By Lot'!L1168,
'By Lot'!L1185,'By Lot'!L1202,'By Lot'!L1219:L1220,'By Lot'!L1237,
'By Lot'!L1254,'By Lot'!L1271,'By Lot'!L1288)</f>
        <v>5</v>
      </c>
      <c r="M132" s="81">
        <f>SUM('By Lot'!M1117,'By Lot'!M1134,'By Lot'!M1151,'By Lot'!M1168,
'By Lot'!M1185,'By Lot'!M1202,'By Lot'!M1219:M1220,'By Lot'!M1237,
'By Lot'!M1254,'By Lot'!M1271,'By Lot'!M1288)</f>
        <v>5</v>
      </c>
      <c r="N132" s="2">
        <f t="shared" si="49"/>
        <v>5</v>
      </c>
      <c r="O132" s="2">
        <f t="shared" si="50"/>
        <v>2</v>
      </c>
      <c r="P132" s="24">
        <f t="shared" si="51"/>
        <v>0.2857142857142857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32"/>
      <c r="B133" s="33" t="s">
        <v>38</v>
      </c>
      <c r="C133" s="92">
        <f t="shared" ref="C133:M133" si="52">SUM(C122:C132)</f>
        <v>1531</v>
      </c>
      <c r="D133" s="82">
        <f t="shared" si="52"/>
        <v>1446</v>
      </c>
      <c r="E133" s="83">
        <f t="shared" si="52"/>
        <v>1421</v>
      </c>
      <c r="F133" s="83">
        <f t="shared" si="52"/>
        <v>1391</v>
      </c>
      <c r="G133" s="83">
        <f t="shared" si="52"/>
        <v>1378</v>
      </c>
      <c r="H133" s="83">
        <f t="shared" si="52"/>
        <v>1372</v>
      </c>
      <c r="I133" s="83">
        <f t="shared" si="52"/>
        <v>1357</v>
      </c>
      <c r="J133" s="83">
        <f t="shared" si="52"/>
        <v>1363</v>
      </c>
      <c r="K133" s="83">
        <f t="shared" si="52"/>
        <v>1379</v>
      </c>
      <c r="L133" s="83">
        <f t="shared" si="52"/>
        <v>1393</v>
      </c>
      <c r="M133" s="84">
        <f t="shared" si="52"/>
        <v>1418</v>
      </c>
      <c r="N133" s="70">
        <f t="shared" si="49"/>
        <v>1357</v>
      </c>
      <c r="O133" s="71">
        <f t="shared" si="50"/>
        <v>174</v>
      </c>
      <c r="P133" s="40">
        <f t="shared" si="51"/>
        <v>0.11365120836054866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66" t="s">
        <v>83</v>
      </c>
      <c r="B134" s="18" t="s">
        <v>23</v>
      </c>
      <c r="C134" s="18">
        <f>SUM('By Lot'!C1562,'By Lot'!C1700,'By Lot'!C1717,'By Lot'!C1734,'By Lot'!C1751,'By Lot'!C1802,'By Lot'!C1819,'By Lot'!C1853)</f>
        <v>8</v>
      </c>
      <c r="D134" s="26">
        <f>SUM('By Lot'!D1562,'By Lot'!D1700,'By Lot'!D1717,'By Lot'!D1734,'By Lot'!D1751,'By Lot'!D1802,'By Lot'!D1819,'By Lot'!D1853)</f>
        <v>7</v>
      </c>
      <c r="E134" s="2">
        <f>SUM('By Lot'!E1562,'By Lot'!E1700,'By Lot'!E1717,'By Lot'!E1734,'By Lot'!E1751,'By Lot'!E1802,'By Lot'!E1819,'By Lot'!E1853)</f>
        <v>7</v>
      </c>
      <c r="F134" s="2">
        <f>SUM('By Lot'!F1562,'By Lot'!F1700,'By Lot'!F1717,'By Lot'!F1734,'By Lot'!F1751,'By Lot'!F1802,'By Lot'!F1819,'By Lot'!F1853)</f>
        <v>6</v>
      </c>
      <c r="G134" s="2">
        <f>SUM('By Lot'!G1562,'By Lot'!G1700,'By Lot'!G1717,'By Lot'!G1734,'By Lot'!G1751,'By Lot'!G1802,'By Lot'!G1819,'By Lot'!G1853)</f>
        <v>3</v>
      </c>
      <c r="H134" s="2">
        <f>SUM('By Lot'!H1562,'By Lot'!H1700,'By Lot'!H1717,'By Lot'!H1734,'By Lot'!H1751,'By Lot'!H1802,'By Lot'!H1819,'By Lot'!H1853)</f>
        <v>3</v>
      </c>
      <c r="I134" s="2">
        <f>SUM('By Lot'!I1562,'By Lot'!I1700,'By Lot'!I1717,'By Lot'!I1734,'By Lot'!I1751,'By Lot'!I1802,'By Lot'!I1819,'By Lot'!I1853)</f>
        <v>3</v>
      </c>
      <c r="J134" s="2">
        <f>SUM('By Lot'!J1562,'By Lot'!J1700,'By Lot'!J1717,'By Lot'!J1734,'By Lot'!J1751,'By Lot'!J1802,'By Lot'!J1819,'By Lot'!J1853)</f>
        <v>3</v>
      </c>
      <c r="K134" s="2">
        <f>SUM('By Lot'!K1562,'By Lot'!K1700,'By Lot'!K1717,'By Lot'!K1734,'By Lot'!K1751,'By Lot'!K1802,'By Lot'!K1819,'By Lot'!K1853)</f>
        <v>3</v>
      </c>
      <c r="L134" s="2">
        <f>SUM('By Lot'!L1562,'By Lot'!L1700,'By Lot'!L1717,'By Lot'!L1734,'By Lot'!L1751,'By Lot'!L1802,'By Lot'!L1819,'By Lot'!L1853)</f>
        <v>5</v>
      </c>
      <c r="M134" s="27">
        <f>SUM('By Lot'!M1562,'By Lot'!M1700,'By Lot'!M1717,'By Lot'!M1734,'By Lot'!M1751,'By Lot'!M1802,'By Lot'!M1819,'By Lot'!M1853)</f>
        <v>4</v>
      </c>
      <c r="N134" s="26">
        <f t="shared" si="49"/>
        <v>3</v>
      </c>
      <c r="O134" s="2">
        <f t="shared" si="50"/>
        <v>5</v>
      </c>
      <c r="P134" s="24">
        <f t="shared" si="51"/>
        <v>0.625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18" t="s">
        <v>69</v>
      </c>
      <c r="B135" s="18" t="s">
        <v>56</v>
      </c>
      <c r="C135" s="18">
        <f>'By Lot'!C1717</f>
        <v>8</v>
      </c>
      <c r="D135" s="26">
        <f>'By Lot'!D1717</f>
        <v>7</v>
      </c>
      <c r="E135" s="2">
        <f>'By Lot'!E1717</f>
        <v>7</v>
      </c>
      <c r="F135" s="2">
        <f>'By Lot'!F1717</f>
        <v>6</v>
      </c>
      <c r="G135" s="2">
        <f>'By Lot'!G1717</f>
        <v>3</v>
      </c>
      <c r="H135" s="2">
        <f>'By Lot'!H1717</f>
        <v>3</v>
      </c>
      <c r="I135" s="2">
        <f>'By Lot'!I1717</f>
        <v>3</v>
      </c>
      <c r="J135" s="2">
        <f>'By Lot'!J1717</f>
        <v>3</v>
      </c>
      <c r="K135" s="2">
        <f>'By Lot'!K1717</f>
        <v>3</v>
      </c>
      <c r="L135" s="2">
        <f>'By Lot'!L1717</f>
        <v>5</v>
      </c>
      <c r="M135" s="27">
        <f>'By Lot'!M1717</f>
        <v>4</v>
      </c>
      <c r="N135" s="26">
        <f t="shared" si="49"/>
        <v>3</v>
      </c>
      <c r="O135" s="2">
        <f t="shared" si="50"/>
        <v>5</v>
      </c>
      <c r="P135" s="24">
        <f t="shared" si="51"/>
        <v>0.625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18"/>
      <c r="B136" s="18" t="s">
        <v>25</v>
      </c>
      <c r="C136" s="18">
        <f>SUM('By Lot'!C1563,'By Lot'!C1701,'By Lot'!C1718,'By Lot'!C1735,
'By Lot'!C1752,'By Lot'!C1803,'By Lot'!C1820,'By Lot'!C1854)</f>
        <v>2</v>
      </c>
      <c r="D136" s="26">
        <f>SUM('By Lot'!D1563,'By Lot'!D1701,'By Lot'!D1718,'By Lot'!D1735,'By Lot'!D1752,'By Lot'!D1803,'By Lot'!D1820,'By Lot'!D1854)</f>
        <v>2</v>
      </c>
      <c r="E136" s="2">
        <f>SUM('By Lot'!E1563,'By Lot'!E1701,'By Lot'!E1718,'By Lot'!E1735,'By Lot'!E1752,'By Lot'!E1805,'By Lot'!E1820,'By Lot'!E1854)</f>
        <v>1</v>
      </c>
      <c r="F136" s="2">
        <f>SUM('By Lot'!F1563,'By Lot'!F1701,'By Lot'!F1718,'By Lot'!F1735,'By Lot'!F1752,'By Lot'!F1805,'By Lot'!F1820,'By Lot'!F1854)</f>
        <v>1</v>
      </c>
      <c r="G136" s="2">
        <f>SUM('By Lot'!G1563,'By Lot'!G1701,'By Lot'!G1718,'By Lot'!G1735,'By Lot'!G1752,'By Lot'!G1805,'By Lot'!G1820,'By Lot'!G1854)</f>
        <v>1</v>
      </c>
      <c r="H136" s="2">
        <f>SUM('By Lot'!H1563,'By Lot'!H1701,'By Lot'!H1718,'By Lot'!H1735,'By Lot'!H1752,'By Lot'!H1805,'By Lot'!H1820,'By Lot'!H1854)</f>
        <v>2</v>
      </c>
      <c r="I136" s="2">
        <f>SUM('By Lot'!I1563,'By Lot'!I1701,'By Lot'!I1718,'By Lot'!I1735,'By Lot'!I1752,'By Lot'!I1805,'By Lot'!I1820,'By Lot'!I1854)</f>
        <v>1</v>
      </c>
      <c r="J136" s="2">
        <f>SUM('By Lot'!J1563,'By Lot'!J1701,'By Lot'!J1718,'By Lot'!J1735,'By Lot'!J1752,'By Lot'!J1805,'By Lot'!J1820,'By Lot'!J1854)</f>
        <v>1</v>
      </c>
      <c r="K136" s="2">
        <f>SUM('By Lot'!K1563,'By Lot'!K1701,'By Lot'!K1718,'By Lot'!K1735,'By Lot'!K1752,'By Lot'!K1805,'By Lot'!K1820,'By Lot'!K1854)</f>
        <v>1</v>
      </c>
      <c r="L136" s="2">
        <f>SUM('By Lot'!L1563,'By Lot'!L1701,'By Lot'!L1718,'By Lot'!L1735,'By Lot'!L1752,'By Lot'!L1805,'By Lot'!L1820,'By Lot'!L1854)</f>
        <v>1</v>
      </c>
      <c r="M136" s="27">
        <f>SUM('By Lot'!M1563,'By Lot'!M1701,'By Lot'!M1718,'By Lot'!M1735,'By Lot'!M1752,'By Lot'!M1805,'By Lot'!M1820,'By Lot'!M1854)</f>
        <v>1</v>
      </c>
      <c r="N136" s="26">
        <f t="shared" si="49"/>
        <v>1</v>
      </c>
      <c r="O136" s="2">
        <f t="shared" si="50"/>
        <v>1</v>
      </c>
      <c r="P136" s="24">
        <f t="shared" si="51"/>
        <v>0.5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18"/>
      <c r="B137" s="18" t="s">
        <v>27</v>
      </c>
      <c r="C137" s="18">
        <f>SUM('By Lot'!C1564,'By Lot'!C1702,'By Lot'!C1719,'By Lot'!C1736,
'By Lot'!C1753,'By Lot'!C1804,'By Lot'!C1821,'By Lot'!C1855)</f>
        <v>28</v>
      </c>
      <c r="D137" s="26">
        <f>SUM('By Lot'!D1564,'By Lot'!D1702,'By Lot'!D1719,'By Lot'!D1736,'By Lot'!D1753,'By Lot'!D1804,'By Lot'!D1821,'By Lot'!D1855)</f>
        <v>9</v>
      </c>
      <c r="E137" s="2">
        <f>SUM('By Lot'!E1564,'By Lot'!E1702,'By Lot'!E1719,'By Lot'!E1736,'By Lot'!E1753,'By Lot'!E1804,'By Lot'!E1821,'By Lot'!E1855)</f>
        <v>6</v>
      </c>
      <c r="F137" s="2">
        <f>SUM('By Lot'!F1564,'By Lot'!F1702,'By Lot'!F1719,'By Lot'!F1736,'By Lot'!F1753,'By Lot'!F1804,'By Lot'!F1821,'By Lot'!F1855)</f>
        <v>7</v>
      </c>
      <c r="G137" s="2">
        <f>SUM('By Lot'!G1564,'By Lot'!G1702,'By Lot'!G1719,'By Lot'!G1736,'By Lot'!G1753,'By Lot'!G1804,'By Lot'!G1821,'By Lot'!G1855)</f>
        <v>5</v>
      </c>
      <c r="H137" s="2">
        <f>SUM('By Lot'!H1564,'By Lot'!H1702,'By Lot'!H1719,'By Lot'!H1736,'By Lot'!H1753,'By Lot'!H1804,'By Lot'!H1821,'By Lot'!H1855)</f>
        <v>4</v>
      </c>
      <c r="I137" s="2">
        <f>SUM('By Lot'!I1564,'By Lot'!I1702,'By Lot'!I1719,'By Lot'!I1736,'By Lot'!I1753,'By Lot'!I1804,'By Lot'!I1821,'By Lot'!I1855)</f>
        <v>5</v>
      </c>
      <c r="J137" s="2">
        <f>SUM('By Lot'!J1564,'By Lot'!J1702,'By Lot'!J1719,'By Lot'!J1736,'By Lot'!J1753,'By Lot'!J1804,'By Lot'!J1821,'By Lot'!J1855)</f>
        <v>6</v>
      </c>
      <c r="K137" s="2">
        <f>SUM('By Lot'!K1564,'By Lot'!K1702,'By Lot'!K1719,'By Lot'!K1736,'By Lot'!K1753,'By Lot'!K1804,'By Lot'!K1821,'By Lot'!K1855)</f>
        <v>7</v>
      </c>
      <c r="L137" s="2">
        <f>SUM('By Lot'!L1564,'By Lot'!L1702,'By Lot'!L1719,'By Lot'!L1736,'By Lot'!L1753,'By Lot'!L1804,'By Lot'!L1821,'By Lot'!L1855)</f>
        <v>7</v>
      </c>
      <c r="M137" s="27">
        <f>SUM('By Lot'!M1564,'By Lot'!M1702,'By Lot'!M1719,'By Lot'!M1736,'By Lot'!M1753,'By Lot'!M1804,'By Lot'!M1821,'By Lot'!M1855)</f>
        <v>10</v>
      </c>
      <c r="N137" s="26">
        <f t="shared" si="49"/>
        <v>4</v>
      </c>
      <c r="O137" s="2">
        <f t="shared" si="50"/>
        <v>24</v>
      </c>
      <c r="P137" s="24">
        <f t="shared" si="51"/>
        <v>0.8571428571428571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18"/>
      <c r="B138" s="18" t="s">
        <v>31</v>
      </c>
      <c r="C138" s="18">
        <f>SUM('By Lot'!C1565:C1566,'By Lot'!C1703:C1704,'By Lot'!C1720:C1721,'By Lot'!C1737:C1738,
'By Lot'!C1754:C1755,'By Lot'!C1805:C1806,'By Lot'!C1822:C1823,'By Lot'!C1856:C1857)</f>
        <v>16</v>
      </c>
      <c r="D138" s="26">
        <f>SUM('By Lot'!D1565:D1566,'By Lot'!D1703:D1704,'By Lot'!D1720:D1721,'By Lot'!D1737:D1738,'By Lot'!D1754:D1755,'By Lot'!D1805:D1806,'By Lot'!D1822:D1823,'By Lot'!D1856:D1857)</f>
        <v>3</v>
      </c>
      <c r="E138" s="2">
        <f>SUM('By Lot'!E1565:E1566,'By Lot'!E1703:E1704,'By Lot'!E1720:E1721,'By Lot'!E1737:E1738,'By Lot'!E1754:E1755,'By Lot'!E1806,'By Lot'!E1822:E1823,'By Lot'!E1856:E1857)</f>
        <v>2</v>
      </c>
      <c r="F138" s="2">
        <f>SUM('By Lot'!F1565:F1566,'By Lot'!F1703:F1704,'By Lot'!F1720:F1721,'By Lot'!F1737:F1738,'By Lot'!F1754:F1755,'By Lot'!F1806,'By Lot'!F1822:F1823,'By Lot'!F1856:F1857)</f>
        <v>7</v>
      </c>
      <c r="G138" s="2">
        <f>SUM('By Lot'!G1565:G1566,'By Lot'!G1703:G1704,'By Lot'!G1720:G1721,'By Lot'!G1737:G1738,'By Lot'!G1754:G1755,'By Lot'!G1806,'By Lot'!G1822:G1823,'By Lot'!G1856:G1857)</f>
        <v>1</v>
      </c>
      <c r="H138" s="2">
        <f>SUM('By Lot'!H1565:H1566,'By Lot'!H1703:H1704,'By Lot'!H1720:H1721,'By Lot'!H1737:H1738,'By Lot'!H1754:H1755,'By Lot'!H1806,'By Lot'!H1822:H1823,'By Lot'!H1856:H1857)</f>
        <v>5</v>
      </c>
      <c r="I138" s="2">
        <f>SUM('By Lot'!I1565:I1566,'By Lot'!I1703:I1704,'By Lot'!I1720:I1721,'By Lot'!I1737:I1738,'By Lot'!I1754:I1755,'By Lot'!I1806,'By Lot'!I1822:I1823,'By Lot'!I1856:I1857)</f>
        <v>7</v>
      </c>
      <c r="J138" s="2">
        <f>SUM('By Lot'!J1565:J1566,'By Lot'!J1703:J1704,'By Lot'!J1720:J1721,'By Lot'!J1737:J1738,'By Lot'!J1754:J1755,'By Lot'!J1806,'By Lot'!J1822:J1823,'By Lot'!J1856:J1857)</f>
        <v>5</v>
      </c>
      <c r="K138" s="2">
        <f>SUM('By Lot'!K1565:K1566,'By Lot'!K1703:K1704,'By Lot'!K1720:K1721,'By Lot'!K1737:K1738,'By Lot'!K1754:K1755,'By Lot'!K1806,'By Lot'!K1822:K1823,'By Lot'!K1856:K1857)</f>
        <v>6</v>
      </c>
      <c r="L138" s="2">
        <f>SUM('By Lot'!L1565:L1566,'By Lot'!L1703:L1704,'By Lot'!L1720:L1721,'By Lot'!L1737:L1738,'By Lot'!L1754:L1755,'By Lot'!L1806,'By Lot'!L1822:L1823,'By Lot'!L1856:L1857)</f>
        <v>8</v>
      </c>
      <c r="M138" s="27">
        <f>SUM('By Lot'!M1565:M1566,'By Lot'!M1703:M1704,'By Lot'!M1720:M1721,'By Lot'!M1737:M1738,'By Lot'!M1754:M1755,'By Lot'!M1806,'By Lot'!M1822:M1823,'By Lot'!M1856:M1857)</f>
        <v>8</v>
      </c>
      <c r="N138" s="26">
        <f t="shared" si="49"/>
        <v>1</v>
      </c>
      <c r="O138" s="2">
        <f t="shared" si="50"/>
        <v>15</v>
      </c>
      <c r="P138" s="24">
        <f t="shared" si="51"/>
        <v>0.9375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18"/>
      <c r="B139" s="18" t="s">
        <v>32</v>
      </c>
      <c r="C139" s="18">
        <f>SUM('By Lot'!C1567,'By Lot'!C1705,'By Lot'!C1722,'By Lot'!C1739,
'By Lot'!C1756,'By Lot'!C1807,'By Lot'!C1824,'By Lot'!C1858)</f>
        <v>40</v>
      </c>
      <c r="D139" s="26">
        <f>SUM('By Lot'!D1567,'By Lot'!D1705,'By Lot'!D1722,'By Lot'!D1739,'By Lot'!D1756,'By Lot'!D1807,'By Lot'!D1824,'By Lot'!D1858)</f>
        <v>31</v>
      </c>
      <c r="E139" s="2">
        <f>SUM('By Lot'!E1567,'By Lot'!E1705,'By Lot'!E1722,'By Lot'!E1739,'By Lot'!E1756,,'By Lot'!E1824,'By Lot'!E1858)</f>
        <v>30</v>
      </c>
      <c r="F139" s="2">
        <f>SUM('By Lot'!F1567,'By Lot'!F1705,'By Lot'!F1722,'By Lot'!F1739,'By Lot'!F1756,,'By Lot'!F1824,'By Lot'!F1858)</f>
        <v>29</v>
      </c>
      <c r="G139" s="2">
        <f>SUM('By Lot'!G1567,'By Lot'!G1705,'By Lot'!G1722,'By Lot'!G1739,'By Lot'!G1756,,'By Lot'!G1824,'By Lot'!G1858)</f>
        <v>27</v>
      </c>
      <c r="H139" s="2">
        <f>SUM('By Lot'!H1567,'By Lot'!H1705,'By Lot'!H1722,'By Lot'!H1739,'By Lot'!H1756,,'By Lot'!H1824,'By Lot'!H1858)</f>
        <v>28</v>
      </c>
      <c r="I139" s="2">
        <f>SUM('By Lot'!I1567,'By Lot'!I1705,'By Lot'!I1722,'By Lot'!I1739,'By Lot'!I1756,,'By Lot'!I1824,'By Lot'!I1858)</f>
        <v>24</v>
      </c>
      <c r="J139" s="2">
        <f>SUM('By Lot'!J1567,'By Lot'!J1705,'By Lot'!J1722,'By Lot'!J1739,'By Lot'!J1756,,'By Lot'!J1824,'By Lot'!J1858)</f>
        <v>24</v>
      </c>
      <c r="K139" s="2">
        <f>SUM('By Lot'!K1567,'By Lot'!K1705,'By Lot'!K1722,'By Lot'!K1739,'By Lot'!K1756,,'By Lot'!K1824,'By Lot'!K1858)</f>
        <v>24</v>
      </c>
      <c r="L139" s="2">
        <f>SUM('By Lot'!L1567,'By Lot'!L1705,'By Lot'!L1722,'By Lot'!L1739,'By Lot'!L1756,,'By Lot'!L1824,'By Lot'!L1858)</f>
        <v>22</v>
      </c>
      <c r="M139" s="27">
        <f>SUM('By Lot'!M1567,'By Lot'!M1705,'By Lot'!M1722,'By Lot'!M1739,'By Lot'!M1756,,'By Lot'!M1824,'By Lot'!M1858)</f>
        <v>25</v>
      </c>
      <c r="N139" s="26">
        <f t="shared" si="49"/>
        <v>22</v>
      </c>
      <c r="O139" s="2">
        <f t="shared" si="50"/>
        <v>18</v>
      </c>
      <c r="P139" s="24">
        <f t="shared" si="51"/>
        <v>0.45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18"/>
      <c r="B140" s="18" t="s">
        <v>33</v>
      </c>
      <c r="C140" s="18"/>
      <c r="D140" s="26"/>
      <c r="E140" s="2"/>
      <c r="F140" s="2"/>
      <c r="G140" s="2"/>
      <c r="H140" s="2"/>
      <c r="I140" s="2"/>
      <c r="J140" s="2"/>
      <c r="K140" s="2"/>
      <c r="L140" s="2"/>
      <c r="M140" s="27"/>
      <c r="N140" s="26"/>
      <c r="O140" s="2"/>
      <c r="P140" s="24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18"/>
      <c r="B141" s="18" t="s">
        <v>34</v>
      </c>
      <c r="C141" s="18">
        <f>SUM('By Lot'!C1574,'By Lot'!C1712,'By Lot'!C1729,'By Lot'!C1746,
'By Lot'!C1763,'By Lot'!C1814,'By Lot'!C1831,'By Lot'!C1865)</f>
        <v>23</v>
      </c>
      <c r="D141" s="26">
        <f>SUM('By Lot'!D1574,'By Lot'!D1712,'By Lot'!D1729,'By Lot'!D1746,'By Lot'!D1763,'By Lot'!D1814,'By Lot'!D1831,'By Lot'!D1865)</f>
        <v>17</v>
      </c>
      <c r="E141" s="2">
        <f>SUM('By Lot'!E1574,'By Lot'!E1712,'By Lot'!E1729,'By Lot'!E1746,'By Lot'!E1763,'By Lot'!E1814,'By Lot'!E1831,'By Lot'!E1865)</f>
        <v>17</v>
      </c>
      <c r="F141" s="2">
        <f>SUM('By Lot'!F1574,'By Lot'!F1712,'By Lot'!F1729,'By Lot'!F1746,'By Lot'!F1763,'By Lot'!F1814,'By Lot'!F1831,'By Lot'!F1865)</f>
        <v>17</v>
      </c>
      <c r="G141" s="2">
        <f>SUM('By Lot'!G1574,'By Lot'!G1712,'By Lot'!G1729,'By Lot'!G1746,'By Lot'!G1763,'By Lot'!G1814,'By Lot'!G1831,'By Lot'!G1865)</f>
        <v>17</v>
      </c>
      <c r="H141" s="2">
        <f>SUM('By Lot'!H1574,'By Lot'!H1712,'By Lot'!H1729,'By Lot'!H1746,'By Lot'!H1763,'By Lot'!H1814,'By Lot'!H1831,'By Lot'!H1865)</f>
        <v>18</v>
      </c>
      <c r="I141" s="2">
        <f>SUM('By Lot'!I1574,'By Lot'!I1712,'By Lot'!I1729,'By Lot'!I1746,'By Lot'!I1763,'By Lot'!I1814,'By Lot'!I1831,'By Lot'!I1865)</f>
        <v>16</v>
      </c>
      <c r="J141" s="2">
        <f>SUM('By Lot'!J1574,'By Lot'!J1712,'By Lot'!J1729,'By Lot'!J1746,'By Lot'!J1763,'By Lot'!J1814,'By Lot'!J1831,'By Lot'!J1865)</f>
        <v>16</v>
      </c>
      <c r="K141" s="2">
        <f>SUM('By Lot'!K1574,'By Lot'!K1712,'By Lot'!K1729,'By Lot'!K1746,'By Lot'!K1763,'By Lot'!K1814,'By Lot'!K1831,'By Lot'!K1865)</f>
        <v>16</v>
      </c>
      <c r="L141" s="2">
        <f>SUM('By Lot'!L1574,'By Lot'!L1712,'By Lot'!L1729,'By Lot'!L1746,'By Lot'!L1763,'By Lot'!L1814,'By Lot'!L1831,'By Lot'!L1865)</f>
        <v>14</v>
      </c>
      <c r="M141" s="27">
        <f>SUM('By Lot'!M1574,'By Lot'!M1712,'By Lot'!M1729,'By Lot'!M1746,'By Lot'!M1763,'By Lot'!M1814,'By Lot'!M1831,'By Lot'!M1865)</f>
        <v>14</v>
      </c>
      <c r="N141" s="26">
        <f>MIN(D141:M141)</f>
        <v>14</v>
      </c>
      <c r="O141" s="2">
        <f>C141-N141</f>
        <v>9</v>
      </c>
      <c r="P141" s="24">
        <f>O141/C141</f>
        <v>0.39130434782608697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18"/>
      <c r="B142" s="18" t="s">
        <v>35</v>
      </c>
      <c r="C142" s="18"/>
      <c r="D142" s="26"/>
      <c r="E142" s="2"/>
      <c r="F142" s="2"/>
      <c r="G142" s="2"/>
      <c r="H142" s="2"/>
      <c r="I142" s="2"/>
      <c r="J142" s="2"/>
      <c r="K142" s="2"/>
      <c r="L142" s="2"/>
      <c r="M142" s="27"/>
      <c r="N142" s="26"/>
      <c r="O142" s="2"/>
      <c r="P142" s="24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18"/>
      <c r="B143" s="18" t="s">
        <v>36</v>
      </c>
      <c r="C143" s="18">
        <f>SUM('By Lot'!C1576,'By Lot'!C1714,'By Lot'!C1731,'By Lot'!C1748,
'By Lot'!C1765,'By Lot'!C1816,'By Lot'!C1833,'By Lot'!C1867)</f>
        <v>6</v>
      </c>
      <c r="D143" s="26">
        <f>SUM('By Lot'!D1576,'By Lot'!D1714,'By Lot'!D1731,'By Lot'!D1748,'By Lot'!D1765,'By Lot'!D1816,'By Lot'!D1833,'By Lot'!D1867)</f>
        <v>6</v>
      </c>
      <c r="E143" s="2">
        <f>SUM(,'By Lot'!E1714,'By Lot'!E1731,'By Lot'!E1748,'By Lot'!E1765,'By Lot'!E1816,'By Lot'!E1833,'By Lot'!E1867)</f>
        <v>4</v>
      </c>
      <c r="F143" s="2">
        <f>SUM(,'By Lot'!F1714,'By Lot'!F1731,'By Lot'!F1748,'By Lot'!F1765,'By Lot'!F1816,'By Lot'!F1833,'By Lot'!F1867)</f>
        <v>3</v>
      </c>
      <c r="G143" s="2">
        <f>SUM(,'By Lot'!G1714,'By Lot'!G1731,'By Lot'!G1748,'By Lot'!G1765,'By Lot'!G1816,'By Lot'!G1833,'By Lot'!G1867)</f>
        <v>3</v>
      </c>
      <c r="H143" s="2">
        <f>SUM(,'By Lot'!H1714,'By Lot'!H1731,'By Lot'!H1748,'By Lot'!H1765,'By Lot'!H1816,'By Lot'!H1833,'By Lot'!H1867)</f>
        <v>3</v>
      </c>
      <c r="I143" s="2">
        <f>SUM(,'By Lot'!I1714,'By Lot'!I1731,'By Lot'!I1748,'By Lot'!I1765,'By Lot'!I1816,'By Lot'!I1833,'By Lot'!I1867)</f>
        <v>2</v>
      </c>
      <c r="J143" s="2">
        <f>SUM(,'By Lot'!J1714,'By Lot'!J1731,'By Lot'!J1748,'By Lot'!J1765,'By Lot'!J1816,'By Lot'!J1833,'By Lot'!J1867)</f>
        <v>3</v>
      </c>
      <c r="K143" s="2">
        <f>SUM(,'By Lot'!K1714,'By Lot'!K1731,'By Lot'!K1748,'By Lot'!K1765,'By Lot'!K1816,'By Lot'!K1833,'By Lot'!K1867)</f>
        <v>3</v>
      </c>
      <c r="L143" s="2">
        <f>SUM(,'By Lot'!L1714,'By Lot'!L1731,'By Lot'!L1748,'By Lot'!L1765,'By Lot'!L1816,'By Lot'!L1833,'By Lot'!L1867)</f>
        <v>3</v>
      </c>
      <c r="M143" s="27">
        <f>SUM(,'By Lot'!M1714,'By Lot'!M1731,'By Lot'!M1748,'By Lot'!M1765,'By Lot'!M1816,'By Lot'!M1833,'By Lot'!M1867)</f>
        <v>3</v>
      </c>
      <c r="N143" s="26">
        <f t="shared" ref="N143:N147" si="53">MIN(D143:M143)</f>
        <v>2</v>
      </c>
      <c r="O143" s="2">
        <f t="shared" ref="O143:O147" si="54">C143-N143</f>
        <v>4</v>
      </c>
      <c r="P143" s="24">
        <f t="shared" ref="P143:P147" si="55">O143/C143</f>
        <v>0.66666666666666663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18"/>
      <c r="B144" s="18" t="s">
        <v>37</v>
      </c>
      <c r="C144" s="18">
        <f>SUM('By Lot'!C1577,'By Lot'!C1715,'By Lot'!C1732,'By Lot'!C1749,
'By Lot'!C1766,'By Lot'!C1817,'By Lot'!C1834,'By Lot'!C1868)</f>
        <v>3</v>
      </c>
      <c r="D144" s="26">
        <f>SUM('By Lot'!D1577,'By Lot'!D1715,'By Lot'!D1732,'By Lot'!D1749,'By Lot'!D1766,'By Lot'!D1817,'By Lot'!D1834,'By Lot'!D1868)</f>
        <v>3</v>
      </c>
      <c r="E144" s="2">
        <f>SUM('By Lot'!E1576,'By Lot'!E1715,'By Lot'!E1732,'By Lot'!E1749,'By Lot'!E1766,'By Lot'!E1817,'By Lot'!E1834,'By Lot'!E1868)</f>
        <v>4</v>
      </c>
      <c r="F144" s="2">
        <f>SUM('By Lot'!F1576,'By Lot'!F1715,'By Lot'!F1732,'By Lot'!F1749,'By Lot'!F1766,'By Lot'!F1817,'By Lot'!F1834,'By Lot'!F1868)</f>
        <v>4</v>
      </c>
      <c r="G144" s="2">
        <f>SUM('By Lot'!G1576,'By Lot'!G1715,'By Lot'!G1732,'By Lot'!G1749,'By Lot'!G1766,'By Lot'!G1817,'By Lot'!G1834,'By Lot'!G1868)</f>
        <v>4</v>
      </c>
      <c r="H144" s="2">
        <f>SUM('By Lot'!H1576,'By Lot'!H1715,'By Lot'!H1732,'By Lot'!H1749,'By Lot'!H1766,'By Lot'!H1817,'By Lot'!H1834,'By Lot'!H1868)</f>
        <v>4</v>
      </c>
      <c r="I144" s="2">
        <f>SUM('By Lot'!I1576,'By Lot'!I1715,'By Lot'!I1732,'By Lot'!I1749,'By Lot'!I1766,'By Lot'!I1817,'By Lot'!I1834,'By Lot'!I1868)</f>
        <v>3</v>
      </c>
      <c r="J144" s="2">
        <f>SUM('By Lot'!J1576,'By Lot'!J1715,'By Lot'!J1732,'By Lot'!J1749,'By Lot'!J1766,'By Lot'!J1817,'By Lot'!J1834,'By Lot'!J1868)</f>
        <v>4</v>
      </c>
      <c r="K144" s="2">
        <f>SUM('By Lot'!K1576,'By Lot'!K1715,'By Lot'!K1732,'By Lot'!K1749,'By Lot'!K1766,'By Lot'!K1817,'By Lot'!K1834,'By Lot'!K1868)</f>
        <v>4</v>
      </c>
      <c r="L144" s="2">
        <f>SUM('By Lot'!L1576,'By Lot'!L1715,'By Lot'!L1732,'By Lot'!L1749,'By Lot'!L1766,'By Lot'!L1817,'By Lot'!L1834,'By Lot'!L1868)</f>
        <v>4</v>
      </c>
      <c r="M144" s="27">
        <f>SUM('By Lot'!M1576,'By Lot'!M1715,'By Lot'!M1732,'By Lot'!M1749,'By Lot'!M1766,'By Lot'!M1817,'By Lot'!M1834,'By Lot'!M1868)</f>
        <v>4</v>
      </c>
      <c r="N144" s="26">
        <f t="shared" si="53"/>
        <v>3</v>
      </c>
      <c r="O144" s="2">
        <f t="shared" si="54"/>
        <v>0</v>
      </c>
      <c r="P144" s="24">
        <f t="shared" si="55"/>
        <v>0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32"/>
      <c r="B145" s="33" t="s">
        <v>38</v>
      </c>
      <c r="C145" s="33">
        <f t="shared" ref="C145:M145" si="56">SUM(C134:C144)</f>
        <v>134</v>
      </c>
      <c r="D145" s="70">
        <f t="shared" si="56"/>
        <v>85</v>
      </c>
      <c r="E145" s="71">
        <f t="shared" si="56"/>
        <v>78</v>
      </c>
      <c r="F145" s="71">
        <f t="shared" si="56"/>
        <v>80</v>
      </c>
      <c r="G145" s="71">
        <f t="shared" si="56"/>
        <v>64</v>
      </c>
      <c r="H145" s="71">
        <f t="shared" si="56"/>
        <v>70</v>
      </c>
      <c r="I145" s="71">
        <f t="shared" si="56"/>
        <v>64</v>
      </c>
      <c r="J145" s="71">
        <f t="shared" si="56"/>
        <v>65</v>
      </c>
      <c r="K145" s="71">
        <f t="shared" si="56"/>
        <v>67</v>
      </c>
      <c r="L145" s="71">
        <f t="shared" si="56"/>
        <v>69</v>
      </c>
      <c r="M145" s="93">
        <f t="shared" si="56"/>
        <v>73</v>
      </c>
      <c r="N145" s="70">
        <f t="shared" si="53"/>
        <v>64</v>
      </c>
      <c r="O145" s="71">
        <f t="shared" si="54"/>
        <v>70</v>
      </c>
      <c r="P145" s="40">
        <f t="shared" si="55"/>
        <v>0.52238805970149249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66" t="s">
        <v>43</v>
      </c>
      <c r="B146" s="18" t="s">
        <v>23</v>
      </c>
      <c r="C146" s="18">
        <f>SUM('By Lot'!C1785,'By Lot'!C1836)</f>
        <v>14</v>
      </c>
      <c r="D146" s="2">
        <f>SUM('By Lot'!D1785,'By Lot'!D1836)</f>
        <v>10</v>
      </c>
      <c r="E146" s="2">
        <f>SUM('By Lot'!E1785,'By Lot'!E1836)</f>
        <v>6</v>
      </c>
      <c r="F146" s="2">
        <f>SUM('By Lot'!F1785,'By Lot'!F1836)</f>
        <v>7</v>
      </c>
      <c r="G146" s="2">
        <f>SUM('By Lot'!G1785,'By Lot'!G1836)</f>
        <v>6</v>
      </c>
      <c r="H146" s="2">
        <f>SUM('By Lot'!H1785,'By Lot'!H1836)</f>
        <v>4</v>
      </c>
      <c r="I146" s="2">
        <f>SUM('By Lot'!I1785,'By Lot'!I1836)</f>
        <v>2</v>
      </c>
      <c r="J146" s="2">
        <f>SUM('By Lot'!J1785,'By Lot'!J1836)</f>
        <v>2</v>
      </c>
      <c r="K146" s="2">
        <f>SUM('By Lot'!K1785,'By Lot'!K1836)</f>
        <v>4</v>
      </c>
      <c r="L146" s="2">
        <f>SUM('By Lot'!L1785,'By Lot'!L1836)</f>
        <v>5</v>
      </c>
      <c r="M146" s="27">
        <f>SUM('By Lot'!M1785,'By Lot'!M1836)</f>
        <v>7</v>
      </c>
      <c r="N146" s="26">
        <f t="shared" si="53"/>
        <v>2</v>
      </c>
      <c r="O146" s="2">
        <f t="shared" si="54"/>
        <v>12</v>
      </c>
      <c r="P146" s="24">
        <f t="shared" si="55"/>
        <v>0.8571428571428571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18" t="s">
        <v>84</v>
      </c>
      <c r="B147" s="18" t="s">
        <v>25</v>
      </c>
      <c r="C147" s="18">
        <f>SUM('By Lot'!C1786,'By Lot'!C1837)</f>
        <v>144</v>
      </c>
      <c r="D147" s="2">
        <f>SUM('By Lot'!D1786,'By Lot'!D1837)</f>
        <v>35</v>
      </c>
      <c r="E147" s="2">
        <f>SUM('By Lot'!E1786,'By Lot'!E1837)</f>
        <v>32</v>
      </c>
      <c r="F147" s="2">
        <f>SUM('By Lot'!F1786,'By Lot'!F1837)</f>
        <v>29</v>
      </c>
      <c r="G147" s="2">
        <f>SUM('By Lot'!G1786,'By Lot'!G1837)</f>
        <v>24</v>
      </c>
      <c r="H147" s="2">
        <f>SUM('By Lot'!H1786,'By Lot'!H1837)</f>
        <v>29</v>
      </c>
      <c r="I147" s="2">
        <f>SUM('By Lot'!I1786,'By Lot'!I1837)</f>
        <v>32</v>
      </c>
      <c r="J147" s="2">
        <f>SUM('By Lot'!J1786,'By Lot'!J1837)</f>
        <v>37</v>
      </c>
      <c r="K147" s="2">
        <f>SUM('By Lot'!K1786,'By Lot'!K1837)</f>
        <v>43</v>
      </c>
      <c r="L147" s="2">
        <f>SUM('By Lot'!L1786,'By Lot'!L1837)</f>
        <v>60</v>
      </c>
      <c r="M147" s="27">
        <f>SUM('By Lot'!M1786,'By Lot'!M1837)</f>
        <v>83</v>
      </c>
      <c r="N147" s="26">
        <f t="shared" si="53"/>
        <v>24</v>
      </c>
      <c r="O147" s="2">
        <f t="shared" si="54"/>
        <v>120</v>
      </c>
      <c r="P147" s="24">
        <f t="shared" si="55"/>
        <v>0.83333333333333337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18" t="s">
        <v>85</v>
      </c>
      <c r="B148" s="18" t="s">
        <v>27</v>
      </c>
      <c r="C148" s="18"/>
      <c r="D148" s="2"/>
      <c r="E148" s="2"/>
      <c r="F148" s="2"/>
      <c r="G148" s="2"/>
      <c r="H148" s="2"/>
      <c r="I148" s="2"/>
      <c r="J148" s="2"/>
      <c r="K148" s="2"/>
      <c r="L148" s="2"/>
      <c r="M148" s="27"/>
      <c r="N148" s="26"/>
      <c r="O148" s="2"/>
      <c r="P148" s="24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18"/>
      <c r="B149" s="18" t="s">
        <v>31</v>
      </c>
      <c r="C149" s="18">
        <f>SUM('By Lot'!C1788:C1789,'By Lot'!C1839:C1840)</f>
        <v>25</v>
      </c>
      <c r="D149" s="2">
        <f>SUM('By Lot'!D1788:D1789,'By Lot'!D1839:D1840)</f>
        <v>13</v>
      </c>
      <c r="E149" s="2">
        <f>SUM('By Lot'!E1788:E1789,'By Lot'!E1839:E1840)</f>
        <v>12</v>
      </c>
      <c r="F149" s="2">
        <f>SUM('By Lot'!F1788:F1789,'By Lot'!F1839:F1840)</f>
        <v>13</v>
      </c>
      <c r="G149" s="2">
        <f>SUM('By Lot'!G1788:G1789,'By Lot'!G1839:G1840)</f>
        <v>12</v>
      </c>
      <c r="H149" s="2">
        <f>SUM('By Lot'!H1788:H1789,'By Lot'!H1839:H1840)</f>
        <v>12</v>
      </c>
      <c r="I149" s="2">
        <f>SUM('By Lot'!I1788:I1789,'By Lot'!I1839:I1840)</f>
        <v>13</v>
      </c>
      <c r="J149" s="2">
        <f>SUM('By Lot'!J1788:J1789,'By Lot'!J1839:J1840)</f>
        <v>13</v>
      </c>
      <c r="K149" s="2">
        <f>SUM('By Lot'!K1788:K1789,'By Lot'!K1839:K1840)</f>
        <v>14</v>
      </c>
      <c r="L149" s="2">
        <f>SUM('By Lot'!L1788:L1789,'By Lot'!L1839:L1840)</f>
        <v>14</v>
      </c>
      <c r="M149" s="27">
        <f>SUM('By Lot'!M1788:M1789,'By Lot'!M1839:M1840)</f>
        <v>13</v>
      </c>
      <c r="N149" s="26">
        <f>MIN(D149:M149)</f>
        <v>12</v>
      </c>
      <c r="O149" s="2">
        <f>C149-N149</f>
        <v>13</v>
      </c>
      <c r="P149" s="24">
        <f>O149/C149</f>
        <v>0.52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18"/>
      <c r="B150" s="18" t="s">
        <v>32</v>
      </c>
      <c r="C150" s="18"/>
      <c r="D150" s="2"/>
      <c r="E150" s="2"/>
      <c r="F150" s="2"/>
      <c r="G150" s="2"/>
      <c r="H150" s="2"/>
      <c r="I150" s="2"/>
      <c r="J150" s="2"/>
      <c r="K150" s="2"/>
      <c r="L150" s="2"/>
      <c r="M150" s="27"/>
      <c r="N150" s="26"/>
      <c r="O150" s="2"/>
      <c r="P150" s="24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18"/>
      <c r="B151" s="18" t="s">
        <v>33</v>
      </c>
      <c r="C151" s="18">
        <f>SUM('By Lot'!C1791:C1796,'By Lot'!C1842:C1847)</f>
        <v>23</v>
      </c>
      <c r="D151" s="2">
        <f>SUM('By Lot'!D1791:D1796,'By Lot'!D1842:D1847)</f>
        <v>8</v>
      </c>
      <c r="E151" s="2">
        <f>SUM('By Lot'!E1791:E1796,'By Lot'!E1842:E1847)</f>
        <v>8</v>
      </c>
      <c r="F151" s="2">
        <f>SUM('By Lot'!F1791:F1796,'By Lot'!F1842:F1847)</f>
        <v>8</v>
      </c>
      <c r="G151" s="2">
        <f>SUM('By Lot'!G1791:G1796,'By Lot'!G1842:G1847)</f>
        <v>7</v>
      </c>
      <c r="H151" s="2">
        <f>SUM('By Lot'!H1791:H1796,'By Lot'!H1842:H1847)</f>
        <v>8</v>
      </c>
      <c r="I151" s="2">
        <f>SUM('By Lot'!I1791:I1796,'By Lot'!I1842:I1847)</f>
        <v>8</v>
      </c>
      <c r="J151" s="2">
        <f>SUM('By Lot'!J1791:J1796,'By Lot'!J1842:J1847)</f>
        <v>10</v>
      </c>
      <c r="K151" s="2">
        <f>SUM('By Lot'!K1791:K1796,'By Lot'!K1842:K1847)</f>
        <v>11</v>
      </c>
      <c r="L151" s="2">
        <f>SUM('By Lot'!L1791:L1796,'By Lot'!L1842:L1847)</f>
        <v>8</v>
      </c>
      <c r="M151" s="27">
        <f>SUM('By Lot'!M1791:M1796,'By Lot'!M1842:M1847)</f>
        <v>10</v>
      </c>
      <c r="N151" s="26">
        <f t="shared" ref="N151:N182" si="57">MIN(D151:M151)</f>
        <v>7</v>
      </c>
      <c r="O151" s="2">
        <f t="shared" ref="O151:O182" si="58">C151-N151</f>
        <v>16</v>
      </c>
      <c r="P151" s="24">
        <f t="shared" ref="P151:P182" si="59">O151/C151</f>
        <v>0.69565217391304346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18"/>
      <c r="B152" s="18" t="s">
        <v>34</v>
      </c>
      <c r="C152" s="18">
        <f>SUM('By Lot'!C1797,'By Lot'!C1848)</f>
        <v>9</v>
      </c>
      <c r="D152" s="2">
        <f>SUM('By Lot'!D1797,'By Lot'!D1848)</f>
        <v>0</v>
      </c>
      <c r="E152" s="2">
        <f>SUM('By Lot'!E1797,'By Lot'!E1848)</f>
        <v>0</v>
      </c>
      <c r="F152" s="2">
        <f>SUM('By Lot'!F1797,'By Lot'!F1848)</f>
        <v>0</v>
      </c>
      <c r="G152" s="2">
        <f>SUM('By Lot'!G1797,'By Lot'!G1848)</f>
        <v>0</v>
      </c>
      <c r="H152" s="2">
        <f>SUM('By Lot'!H1797,'By Lot'!H1848)</f>
        <v>0</v>
      </c>
      <c r="I152" s="2">
        <f>SUM('By Lot'!I1797,'By Lot'!I1848)</f>
        <v>2</v>
      </c>
      <c r="J152" s="2">
        <f>SUM('By Lot'!J1797,'By Lot'!J1848)</f>
        <v>3</v>
      </c>
      <c r="K152" s="2">
        <f>SUM('By Lot'!K1797,'By Lot'!K1848)</f>
        <v>3</v>
      </c>
      <c r="L152" s="2">
        <f>SUM('By Lot'!L1797,'By Lot'!L1848)</f>
        <v>3</v>
      </c>
      <c r="M152" s="27">
        <f>SUM('By Lot'!M1797,'By Lot'!M1848)</f>
        <v>3</v>
      </c>
      <c r="N152" s="26">
        <f t="shared" si="57"/>
        <v>0</v>
      </c>
      <c r="O152" s="2">
        <f t="shared" si="58"/>
        <v>9</v>
      </c>
      <c r="P152" s="24">
        <f t="shared" si="59"/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18"/>
      <c r="B153" s="18" t="s">
        <v>35</v>
      </c>
      <c r="C153" s="18">
        <f>SUM('By Lot'!C1798,'By Lot'!C1849)</f>
        <v>133</v>
      </c>
      <c r="D153" s="2">
        <f>SUM('By Lot'!D1798,'By Lot'!D1849)</f>
        <v>66</v>
      </c>
      <c r="E153" s="2">
        <f>SUM('By Lot'!E1798,'By Lot'!E1849)</f>
        <v>64</v>
      </c>
      <c r="F153" s="2">
        <f>SUM('By Lot'!F1798,'By Lot'!F1849)</f>
        <v>70</v>
      </c>
      <c r="G153" s="2">
        <f>SUM('By Lot'!G1798,'By Lot'!G1849)</f>
        <v>52</v>
      </c>
      <c r="H153" s="2">
        <f>SUM('By Lot'!H1798,'By Lot'!H1849)</f>
        <v>51</v>
      </c>
      <c r="I153" s="2">
        <f>SUM('By Lot'!I1798,'By Lot'!I1849)</f>
        <v>60</v>
      </c>
      <c r="J153" s="2">
        <f>SUM('By Lot'!J1798,'By Lot'!J1849)</f>
        <v>66</v>
      </c>
      <c r="K153" s="2">
        <f>SUM('By Lot'!K1798,'By Lot'!K1849)</f>
        <v>71</v>
      </c>
      <c r="L153" s="2">
        <f>SUM('By Lot'!L1798,'By Lot'!L1849)</f>
        <v>50</v>
      </c>
      <c r="M153" s="27">
        <f>SUM('By Lot'!M1798,'By Lot'!M1849)</f>
        <v>50</v>
      </c>
      <c r="N153" s="26">
        <f t="shared" si="57"/>
        <v>50</v>
      </c>
      <c r="O153" s="2">
        <f t="shared" si="58"/>
        <v>83</v>
      </c>
      <c r="P153" s="24">
        <f t="shared" si="59"/>
        <v>0.62406015037593987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18"/>
      <c r="B154" s="18" t="s">
        <v>36</v>
      </c>
      <c r="C154" s="18">
        <f>SUM('By Lot'!C1799,'By Lot'!C1850)</f>
        <v>8</v>
      </c>
      <c r="D154" s="2">
        <f>SUM(,'By Lot'!D1850)</f>
        <v>0</v>
      </c>
      <c r="E154" s="2">
        <f>SUM(,'By Lot'!E1850)</f>
        <v>0</v>
      </c>
      <c r="F154" s="2">
        <f>SUM('By Lot'!E1799,'By Lot'!F1850)</f>
        <v>1</v>
      </c>
      <c r="G154" s="2">
        <f>SUM('By Lot'!F1799,'By Lot'!G1850)</f>
        <v>1</v>
      </c>
      <c r="H154" s="2">
        <f>SUM('By Lot'!G1799,'By Lot'!H1850)</f>
        <v>1</v>
      </c>
      <c r="I154" s="2">
        <f>SUM('By Lot'!H1799,'By Lot'!I1850)</f>
        <v>1</v>
      </c>
      <c r="J154" s="2">
        <f>SUM('By Lot'!I1799,'By Lot'!J1850)</f>
        <v>0</v>
      </c>
      <c r="K154" s="2">
        <f>SUM('By Lot'!J1799,'By Lot'!K1850)</f>
        <v>1</v>
      </c>
      <c r="L154" s="2">
        <f>SUM('By Lot'!K1799,'By Lot'!L1850)</f>
        <v>1</v>
      </c>
      <c r="M154" s="27">
        <f>SUM('By Lot'!L1799,'By Lot'!M1850)</f>
        <v>1</v>
      </c>
      <c r="N154" s="26">
        <f t="shared" si="57"/>
        <v>0</v>
      </c>
      <c r="O154" s="2">
        <f t="shared" si="58"/>
        <v>8</v>
      </c>
      <c r="P154" s="24">
        <f t="shared" si="59"/>
        <v>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18"/>
      <c r="B155" s="18" t="s">
        <v>37</v>
      </c>
      <c r="C155" s="18">
        <f>SUM('By Lot'!C1800,'By Lot'!C1851)</f>
        <v>8</v>
      </c>
      <c r="D155" s="2">
        <f>SUM('By Lot'!D1800,'By Lot'!D1851)</f>
        <v>1</v>
      </c>
      <c r="E155" s="2">
        <f>SUM('By Lot'!E1800,'By Lot'!E1851)</f>
        <v>2</v>
      </c>
      <c r="F155" s="2">
        <f>SUM('By Lot'!F1800,'By Lot'!F1851)</f>
        <v>1</v>
      </c>
      <c r="G155" s="2">
        <f>SUM('By Lot'!G1800,'By Lot'!G1851)</f>
        <v>3</v>
      </c>
      <c r="H155" s="2">
        <f>SUM('By Lot'!H1800,'By Lot'!H1851)</f>
        <v>2</v>
      </c>
      <c r="I155" s="2">
        <f>SUM('By Lot'!I1800,'By Lot'!I1851)</f>
        <v>2</v>
      </c>
      <c r="J155" s="2">
        <f>SUM('By Lot'!J1800,'By Lot'!J1851)</f>
        <v>2</v>
      </c>
      <c r="K155" s="2">
        <f>SUM('By Lot'!K1800,'By Lot'!K1851)</f>
        <v>3</v>
      </c>
      <c r="L155" s="2">
        <f>SUM('By Lot'!L1800,'By Lot'!L1851)</f>
        <v>3</v>
      </c>
      <c r="M155" s="27">
        <f>SUM('By Lot'!M1800,'By Lot'!M1851)</f>
        <v>2</v>
      </c>
      <c r="N155" s="26">
        <f t="shared" si="57"/>
        <v>1</v>
      </c>
      <c r="O155" s="2">
        <f t="shared" si="58"/>
        <v>7</v>
      </c>
      <c r="P155" s="24">
        <f t="shared" si="59"/>
        <v>0.875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32"/>
      <c r="B156" s="33" t="s">
        <v>38</v>
      </c>
      <c r="C156" s="33">
        <f t="shared" ref="C156:M156" si="60">SUM(C146:C155)</f>
        <v>364</v>
      </c>
      <c r="D156" s="70">
        <f t="shared" si="60"/>
        <v>133</v>
      </c>
      <c r="E156" s="71">
        <f t="shared" si="60"/>
        <v>124</v>
      </c>
      <c r="F156" s="71">
        <f t="shared" si="60"/>
        <v>129</v>
      </c>
      <c r="G156" s="71">
        <f t="shared" si="60"/>
        <v>105</v>
      </c>
      <c r="H156" s="71">
        <f t="shared" si="60"/>
        <v>107</v>
      </c>
      <c r="I156" s="71">
        <f t="shared" si="60"/>
        <v>120</v>
      </c>
      <c r="J156" s="71">
        <f t="shared" si="60"/>
        <v>133</v>
      </c>
      <c r="K156" s="71">
        <f t="shared" si="60"/>
        <v>150</v>
      </c>
      <c r="L156" s="71">
        <f t="shared" si="60"/>
        <v>144</v>
      </c>
      <c r="M156" s="93">
        <f t="shared" si="60"/>
        <v>169</v>
      </c>
      <c r="N156" s="70">
        <f t="shared" si="57"/>
        <v>105</v>
      </c>
      <c r="O156" s="71">
        <f t="shared" si="58"/>
        <v>259</v>
      </c>
      <c r="P156" s="40">
        <f t="shared" si="59"/>
        <v>0.71153846153846156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41" t="s">
        <v>86</v>
      </c>
      <c r="B157" s="18" t="s">
        <v>23</v>
      </c>
      <c r="C157" s="18">
        <f>SUM('By Lot'!C1290,'By Lot'!C1307,'By Lot'!C1324,'By Lot'!C1341,'By Lot'!C1375,'By Lot'!C1392,'By Lot'!C1579,'By Lot'!C1596,'By Lot'!C1615,'By Lot'!C1632,'By Lot'!C1649,'By Lot'!C1666,'By Lot'!C1768)</f>
        <v>405</v>
      </c>
      <c r="D157" s="26">
        <f>SUM('By Lot'!D1290,'By Lot'!D1307,'By Lot'!D1324,'By Lot'!D1341,'By Lot'!D1375,'By Lot'!D1392,'By Lot'!D1579,'By Lot'!D1596,'By Lot'!D1615,'By Lot'!D1632,'By Lot'!D1649,'By Lot'!D1666,'By Lot'!D1768)</f>
        <v>332</v>
      </c>
      <c r="E157" s="2">
        <f>SUM('By Lot'!E1290,'By Lot'!E1307,'By Lot'!E1324,'By Lot'!E1341,'By Lot'!E1375,'By Lot'!E1392,'By Lot'!E1579,'By Lot'!E1596,'By Lot'!E1615,'By Lot'!E1632,'By Lot'!E1649,'By Lot'!E1666,'By Lot'!E1768)</f>
        <v>311</v>
      </c>
      <c r="F157" s="2">
        <f>SUM('By Lot'!F1290,'By Lot'!F1307,'By Lot'!F1324,'By Lot'!F1341,'By Lot'!F1375,'By Lot'!F1392,'By Lot'!F1579,'By Lot'!F1596,'By Lot'!F1615,'By Lot'!F1632,'By Lot'!F1649,'By Lot'!F1666,'By Lot'!F1768)</f>
        <v>291</v>
      </c>
      <c r="G157" s="2">
        <f>SUM('By Lot'!G1290,'By Lot'!G1307,'By Lot'!G1324,'By Lot'!G1341,'By Lot'!G1375,'By Lot'!G1392,'By Lot'!G1579,'By Lot'!G1596,'By Lot'!G1615,'By Lot'!G1632,'By Lot'!G1649,'By Lot'!G1666,'By Lot'!G1768)</f>
        <v>283</v>
      </c>
      <c r="H157" s="2">
        <f>SUM('By Lot'!H1290,'By Lot'!H1307,'By Lot'!H1324,'By Lot'!H1341,'By Lot'!H1375,'By Lot'!H1392,'By Lot'!H1579,'By Lot'!H1596,'By Lot'!H1615,'By Lot'!H1632,'By Lot'!H1649,'By Lot'!H1666,'By Lot'!H1768)</f>
        <v>280</v>
      </c>
      <c r="I157" s="2">
        <f>SUM('By Lot'!I1290,'By Lot'!I1307,'By Lot'!I1324,'By Lot'!I1341,'By Lot'!I1375,'By Lot'!I1392,'By Lot'!I1579,'By Lot'!I1596,'By Lot'!I1615,'By Lot'!I1632,'By Lot'!I1649,'By Lot'!I1666,'By Lot'!I1768)</f>
        <v>281</v>
      </c>
      <c r="J157" s="2">
        <f>SUM('By Lot'!J1290,'By Lot'!J1307,'By Lot'!J1324,'By Lot'!J1341,'By Lot'!J1375,'By Lot'!J1392,'By Lot'!J1579,'By Lot'!J1596,'By Lot'!J1615,'By Lot'!J1632,'By Lot'!J1649,'By Lot'!J1666,'By Lot'!J1768)</f>
        <v>289</v>
      </c>
      <c r="K157" s="2">
        <f>SUM('By Lot'!K1290,'By Lot'!K1307,'By Lot'!K1324,'By Lot'!K1341,'By Lot'!K1375,'By Lot'!K1392,'By Lot'!K1579,'By Lot'!K1596,'By Lot'!K1615,'By Lot'!K1632,'By Lot'!K1649,'By Lot'!K1666,'By Lot'!K1768)</f>
        <v>287</v>
      </c>
      <c r="L157" s="2">
        <f>SUM('By Lot'!L1290,'By Lot'!L1307,'By Lot'!L1324,'By Lot'!L1341,'By Lot'!L1375,'By Lot'!L1392,'By Lot'!L1579,'By Lot'!L1596,'By Lot'!L1615,'By Lot'!L1632,'By Lot'!L1649,'By Lot'!L1666,'By Lot'!L1768)</f>
        <v>308</v>
      </c>
      <c r="M157" s="27">
        <f>SUM('By Lot'!M1290,'By Lot'!M1307,'By Lot'!M1324,'By Lot'!M1341,'By Lot'!M1375,'By Lot'!M1392,'By Lot'!M1579,'By Lot'!M1596,'By Lot'!M1615,'By Lot'!M1632,'By Lot'!M1649,'By Lot'!M1666,'By Lot'!M1768)</f>
        <v>334</v>
      </c>
      <c r="N157" s="26">
        <f t="shared" si="57"/>
        <v>280</v>
      </c>
      <c r="O157" s="2">
        <f t="shared" si="58"/>
        <v>125</v>
      </c>
      <c r="P157" s="24">
        <f t="shared" si="59"/>
        <v>0.30864197530864196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6" t="s">
        <v>69</v>
      </c>
      <c r="B158" s="18" t="s">
        <v>57</v>
      </c>
      <c r="C158" s="18">
        <f>'By Lot'!C1307</f>
        <v>4</v>
      </c>
      <c r="D158" s="26">
        <f>'By Lot'!D1307</f>
        <v>3</v>
      </c>
      <c r="E158" s="2">
        <f>'By Lot'!E1307</f>
        <v>2</v>
      </c>
      <c r="F158" s="2">
        <f>'By Lot'!F1307</f>
        <v>2</v>
      </c>
      <c r="G158" s="2">
        <f>'By Lot'!G1307</f>
        <v>2</v>
      </c>
      <c r="H158" s="2">
        <f>'By Lot'!H1307</f>
        <v>4</v>
      </c>
      <c r="I158" s="2">
        <f>'By Lot'!I1307</f>
        <v>4</v>
      </c>
      <c r="J158" s="2">
        <f>'By Lot'!J1307</f>
        <v>4</v>
      </c>
      <c r="K158" s="2">
        <f>'By Lot'!K1307</f>
        <v>4</v>
      </c>
      <c r="L158" s="2">
        <f>'By Lot'!L1307</f>
        <v>4</v>
      </c>
      <c r="M158" s="27">
        <f>'By Lot'!M1307</f>
        <v>4</v>
      </c>
      <c r="N158" s="26">
        <f t="shared" si="57"/>
        <v>2</v>
      </c>
      <c r="O158" s="2">
        <f t="shared" si="58"/>
        <v>2</v>
      </c>
      <c r="P158" s="24">
        <f t="shared" si="59"/>
        <v>0.5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6"/>
      <c r="B159" s="18" t="s">
        <v>25</v>
      </c>
      <c r="C159" s="18">
        <f>SUM('By Lot'!C1291,'By Lot'!C1308,'By Lot'!C1325,'By Lot'!C1342,'By Lot'!C1376,'By Lot'!C1393,'By Lot'!C1580,'By Lot'!C1597,'By Lot'!C1616,'By Lot'!C1633,'By Lot'!C1650,'By Lot'!C1667,'By Lot'!C1769)</f>
        <v>234</v>
      </c>
      <c r="D159" s="26">
        <f>SUM('By Lot'!D1291,'By Lot'!D1308,'By Lot'!D1325,'By Lot'!D1342,'By Lot'!D1376,'By Lot'!D1393,'By Lot'!D1580,'By Lot'!D1597,'By Lot'!D1616,'By Lot'!D1633,'By Lot'!D1650,'By Lot'!D1667,'By Lot'!D1769)</f>
        <v>176</v>
      </c>
      <c r="E159" s="2">
        <f>SUM('By Lot'!E1291,'By Lot'!E1308,'By Lot'!E1325,'By Lot'!E1342,'By Lot'!E1376,'By Lot'!E1393,'By Lot'!E1580,'By Lot'!E1597,'By Lot'!E1616,'By Lot'!E1633,'By Lot'!E1650,'By Lot'!E1667,'By Lot'!E1769)</f>
        <v>169</v>
      </c>
      <c r="F159" s="2">
        <f>SUM('By Lot'!F1291,'By Lot'!F1308,'By Lot'!F1325,'By Lot'!F1342,'By Lot'!F1376,'By Lot'!F1393,'By Lot'!F1580,'By Lot'!F1597,'By Lot'!F1616,'By Lot'!F1633,'By Lot'!F1650,'By Lot'!F1667,'By Lot'!F1769)</f>
        <v>158</v>
      </c>
      <c r="G159" s="2">
        <f>SUM('By Lot'!G1291,'By Lot'!G1308,'By Lot'!G1325,'By Lot'!G1342,'By Lot'!G1376,'By Lot'!G1393,'By Lot'!G1580,'By Lot'!G1597,'By Lot'!G1616,'By Lot'!G1633,'By Lot'!G1650,'By Lot'!G1667,'By Lot'!G1769)</f>
        <v>157</v>
      </c>
      <c r="H159" s="2">
        <f>SUM('By Lot'!H1291,'By Lot'!H1308,'By Lot'!H1325,'By Lot'!H1342,'By Lot'!H1376,'By Lot'!H1393,'By Lot'!H1580,'By Lot'!H1597,'By Lot'!H1616,'By Lot'!H1633,'By Lot'!H1650,'By Lot'!H1667,'By Lot'!H1769)</f>
        <v>157</v>
      </c>
      <c r="I159" s="2">
        <f>SUM('By Lot'!I1291,'By Lot'!I1308,'By Lot'!I1325,'By Lot'!I1342,'By Lot'!I1376,'By Lot'!I1393,'By Lot'!I1580,'By Lot'!I1597,'By Lot'!I1616,'By Lot'!I1633,'By Lot'!I1650,'By Lot'!I1667,'By Lot'!I1769)</f>
        <v>153</v>
      </c>
      <c r="J159" s="2">
        <f>SUM('By Lot'!J1291,'By Lot'!J1308,'By Lot'!J1325,'By Lot'!J1342,'By Lot'!J1376,'By Lot'!J1393,'By Lot'!J1580,'By Lot'!J1597,'By Lot'!J1616,'By Lot'!J1633,'By Lot'!J1650,'By Lot'!J1667,'By Lot'!J1769)</f>
        <v>154</v>
      </c>
      <c r="K159" s="2">
        <f>SUM('By Lot'!K1291,'By Lot'!K1308,'By Lot'!K1325,'By Lot'!K1342,'By Lot'!K1376,'By Lot'!K1393,'By Lot'!K1580,'By Lot'!K1597,'By Lot'!K1616,'By Lot'!K1633,'By Lot'!K1650,'By Lot'!K1667,'By Lot'!K1769)</f>
        <v>157</v>
      </c>
      <c r="L159" s="2">
        <f>SUM('By Lot'!L1291,'By Lot'!L1308,'By Lot'!L1325,'By Lot'!L1342,'By Lot'!L1376,'By Lot'!L1393,'By Lot'!L1580,'By Lot'!L1597,'By Lot'!L1616,'By Lot'!L1633,'By Lot'!L1650,'By Lot'!L1667,'By Lot'!L1769)</f>
        <v>163</v>
      </c>
      <c r="M159" s="27">
        <f>SUM('By Lot'!M1291,'By Lot'!M1308,'By Lot'!M1325,'By Lot'!M1342,'By Lot'!M1376,'By Lot'!M1393,'By Lot'!M1580,'By Lot'!M1597,'By Lot'!M1616,'By Lot'!M1633,'By Lot'!M1650,'By Lot'!M1667,'By Lot'!M1769)</f>
        <v>167</v>
      </c>
      <c r="N159" s="26">
        <f t="shared" si="57"/>
        <v>153</v>
      </c>
      <c r="O159" s="2">
        <f t="shared" si="58"/>
        <v>81</v>
      </c>
      <c r="P159" s="24">
        <f t="shared" si="59"/>
        <v>0.34615384615384615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6"/>
      <c r="B160" s="18" t="s">
        <v>27</v>
      </c>
      <c r="C160" s="18">
        <f>SUM('By Lot'!C1292,'By Lot'!C1309,'By Lot'!C1326,'By Lot'!C1343,'By Lot'!C1377,'By Lot'!C1394,'By Lot'!C1581,'By Lot'!C1598,'By Lot'!C1617,'By Lot'!C1634,'By Lot'!C1651,'By Lot'!C1668,'By Lot'!C1770)</f>
        <v>85</v>
      </c>
      <c r="D160" s="26">
        <f>SUM('By Lot'!D1292,'By Lot'!D1309,'By Lot'!D1326,'By Lot'!D1343,'By Lot'!D1377,'By Lot'!D1394,'By Lot'!D1581,'By Lot'!D1598,'By Lot'!D1617,'By Lot'!D1634,'By Lot'!D1651,'By Lot'!D1668,'By Lot'!D1770)</f>
        <v>83</v>
      </c>
      <c r="E160" s="2">
        <f>SUM('By Lot'!E1292,'By Lot'!E1309,'By Lot'!E1326,'By Lot'!E1343,'By Lot'!E1377,'By Lot'!E1394,'By Lot'!E1581,'By Lot'!E1598,'By Lot'!E1617,'By Lot'!E1634,'By Lot'!E1651,'By Lot'!E1668,'By Lot'!E1770)</f>
        <v>83</v>
      </c>
      <c r="F160" s="2">
        <f>SUM('By Lot'!F1292,'By Lot'!F1309,'By Lot'!F1326,'By Lot'!F1343,'By Lot'!F1377,'By Lot'!F1394,'By Lot'!F1581,'By Lot'!F1598,'By Lot'!F1617,'By Lot'!F1634,'By Lot'!F1651,'By Lot'!F1668,'By Lot'!F1770)</f>
        <v>83</v>
      </c>
      <c r="G160" s="2">
        <f>SUM('By Lot'!G1292,'By Lot'!G1309,'By Lot'!G1326,'By Lot'!G1343,'By Lot'!G1377,'By Lot'!G1394,'By Lot'!G1581,'By Lot'!G1598,'By Lot'!G1617,'By Lot'!G1634,'By Lot'!G1651,'By Lot'!G1668,'By Lot'!G1770)</f>
        <v>85</v>
      </c>
      <c r="H160" s="2">
        <f>SUM('By Lot'!H1292,'By Lot'!H1309,'By Lot'!H1326,'By Lot'!H1343,'By Lot'!H1377,'By Lot'!H1394,'By Lot'!H1581,'By Lot'!H1598,'By Lot'!H1617,'By Lot'!H1634,'By Lot'!H1651,'By Lot'!H1668,'By Lot'!H1770)</f>
        <v>85</v>
      </c>
      <c r="I160" s="2">
        <f>SUM('By Lot'!I1292,'By Lot'!I1309,'By Lot'!I1326,'By Lot'!I1343,'By Lot'!I1377,'By Lot'!I1394,'By Lot'!I1581,'By Lot'!I1598,'By Lot'!I1617,'By Lot'!I1634,'By Lot'!I1651,'By Lot'!I1668,'By Lot'!I1770)</f>
        <v>80</v>
      </c>
      <c r="J160" s="2">
        <f>SUM('By Lot'!J1292,'By Lot'!J1309,'By Lot'!J1326,'By Lot'!J1343,'By Lot'!J1377,'By Lot'!J1394,'By Lot'!J1581,'By Lot'!J1598,'By Lot'!J1617,'By Lot'!J1634,'By Lot'!J1651,'By Lot'!J1668,'By Lot'!J1770)</f>
        <v>80</v>
      </c>
      <c r="K160" s="2">
        <f>SUM('By Lot'!K1292,'By Lot'!K1309,'By Lot'!K1326,'By Lot'!K1343,'By Lot'!K1377,'By Lot'!K1394,'By Lot'!K1581,'By Lot'!K1598,'By Lot'!K1617,'By Lot'!K1634,'By Lot'!K1651,'By Lot'!K1668,'By Lot'!K1770)</f>
        <v>81</v>
      </c>
      <c r="L160" s="2">
        <f>SUM('By Lot'!L1292,'By Lot'!L1309,'By Lot'!L1326,'By Lot'!L1343,'By Lot'!L1377,'By Lot'!L1394,'By Lot'!L1581,'By Lot'!L1598,'By Lot'!L1617,'By Lot'!L1634,'By Lot'!L1651,'By Lot'!L1668,'By Lot'!L1770)</f>
        <v>81</v>
      </c>
      <c r="M160" s="27">
        <f>SUM('By Lot'!M1292,'By Lot'!M1309,'By Lot'!M1326,'By Lot'!M1343,'By Lot'!M1377,'By Lot'!M1394,'By Lot'!M1581,'By Lot'!M1598,'By Lot'!M1617,'By Lot'!M1634,'By Lot'!M1651,'By Lot'!M1668,'By Lot'!M1770)</f>
        <v>81</v>
      </c>
      <c r="N160" s="26">
        <f t="shared" si="57"/>
        <v>80</v>
      </c>
      <c r="O160" s="2">
        <f t="shared" si="58"/>
        <v>5</v>
      </c>
      <c r="P160" s="24">
        <f t="shared" si="59"/>
        <v>5.8823529411764705E-2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6"/>
      <c r="B161" s="26" t="s">
        <v>31</v>
      </c>
      <c r="C161" s="18">
        <f>SUM('By Lot'!C1293:C1294,'By Lot'!C1310:C1311,'By Lot'!C1327:C1328,'By Lot'!C1344:C1345,'By Lot'!C1378:C1379,'By Lot'!C1395:C1396,'By Lot'!C1582:C1583,'By Lot'!C1599:C1600,'By Lot'!C1618:C1619,'By Lot'!C1635:C1636,'By Lot'!C1652:C1653,'By Lot'!C1669:C1670,'By Lot'!C1771:C1772)</f>
        <v>239</v>
      </c>
      <c r="D161" s="2">
        <f>SUM('By Lot'!D1293:D1294,'By Lot'!D1310:D1311,'By Lot'!D1327:D1328,'By Lot'!D1344:D1345,'By Lot'!D1378:D1379,'By Lot'!D1395:D1396,'By Lot'!D1582:D1583,'By Lot'!D1599:D1600,'By Lot'!D1618:D1619,'By Lot'!D1635:D1636,'By Lot'!D1652:D1653,'By Lot'!D1669:D1670,'By Lot'!D1771:D1772)</f>
        <v>167</v>
      </c>
      <c r="E161" s="2">
        <f>SUM('By Lot'!E1293:E1294,'By Lot'!E1310:E1311,'By Lot'!E1327:E1328,'By Lot'!E1344:E1345,'By Lot'!E1378:E1379,'By Lot'!E1395:E1396,'By Lot'!E1582:E1583,'By Lot'!E1599:E1600,'By Lot'!E1618:E1619,'By Lot'!E1635:E1636,'By Lot'!E1652:E1653,'By Lot'!E1669:E1670,'By Lot'!E1771:E1772)</f>
        <v>132</v>
      </c>
      <c r="F161" s="2">
        <f>SUM('By Lot'!F1293:F1294,'By Lot'!F1310:F1311,'By Lot'!F1327:F1328,'By Lot'!F1344:F1345,'By Lot'!F1378:F1379,'By Lot'!F1395:F1396,'By Lot'!F1582:F1583,'By Lot'!F1599:F1600,'By Lot'!F1618:F1619,'By Lot'!F1635:F1636,'By Lot'!F1652:F1653,'By Lot'!F1669:F1670,'By Lot'!F1771:F1772)</f>
        <v>115</v>
      </c>
      <c r="G161" s="2">
        <f>SUM('By Lot'!G1293:G1294,'By Lot'!G1310:G1311,'By Lot'!G1327:G1328,'By Lot'!G1344:G1345,'By Lot'!G1378:G1379,'By Lot'!G1395:G1396,'By Lot'!G1582:G1583,'By Lot'!G1599:G1600,'By Lot'!G1618:G1619,'By Lot'!G1635:G1636,'By Lot'!G1652:G1653,'By Lot'!G1669:G1670,'By Lot'!G1771:G1772)</f>
        <v>103</v>
      </c>
      <c r="H161" s="2">
        <f>SUM('By Lot'!H1293:H1294,'By Lot'!H1310:H1311,'By Lot'!H1327:H1328,'By Lot'!H1344:H1345,'By Lot'!H1378:H1379,'By Lot'!H1395:H1396,'By Lot'!H1582:H1583,'By Lot'!H1599:H1600,'By Lot'!H1618:H1619,'By Lot'!H1635:H1636,'By Lot'!H1652:H1653,'By Lot'!H1669:H1670,'By Lot'!H1771:H1772)</f>
        <v>111</v>
      </c>
      <c r="I161" s="2">
        <f>SUM('By Lot'!I1293:I1294,'By Lot'!I1310:I1311,'By Lot'!I1327:I1328,'By Lot'!I1344:I1345,'By Lot'!I1378:I1379,'By Lot'!I1395:I1396,'By Lot'!I1582:I1583,'By Lot'!I1599:I1600,'By Lot'!I1618:I1619,'By Lot'!I1635:I1636,'By Lot'!I1652:I1653,'By Lot'!I1669:I1670,'By Lot'!I1771:I1772)</f>
        <v>102</v>
      </c>
      <c r="J161" s="2">
        <f>SUM('By Lot'!J1293:J1294,'By Lot'!J1310:J1311,'By Lot'!J1327:J1328,'By Lot'!J1344:J1345,'By Lot'!J1378:J1379,'By Lot'!J1395:J1396,'By Lot'!J1582:J1583,'By Lot'!J1599:J1600,'By Lot'!J1618:J1619,'By Lot'!J1635:J1636,'By Lot'!J1652:J1653,'By Lot'!J1669:J1670,'By Lot'!J1771:J1772)</f>
        <v>109</v>
      </c>
      <c r="K161" s="2">
        <f>SUM('By Lot'!K1293:K1294,'By Lot'!K1310:K1311,'By Lot'!K1327:K1328,'By Lot'!K1344:K1345,'By Lot'!K1378:K1379,'By Lot'!K1395:K1396,'By Lot'!K1582:K1583,'By Lot'!K1599:K1600,'By Lot'!K1618:K1619,'By Lot'!K1635:K1636,'By Lot'!K1652:K1653,'By Lot'!K1669:K1670,'By Lot'!K1771:K1772)</f>
        <v>116</v>
      </c>
      <c r="L161" s="2">
        <f>SUM('By Lot'!L1293:L1294,'By Lot'!L1310:L1311,'By Lot'!L1327:L1328,'By Lot'!L1344:L1345,'By Lot'!L1378:L1379,'By Lot'!L1395:L1396,'By Lot'!L1582:L1583,'By Lot'!L1599:L1600,'By Lot'!L1618:L1619,'By Lot'!L1635:L1636,'By Lot'!L1652:L1653,'By Lot'!L1669:L1670,'By Lot'!L1771:L1772)</f>
        <v>125</v>
      </c>
      <c r="M161" s="27">
        <f>SUM('By Lot'!M1293:M1294,'By Lot'!M1310:M1311,'By Lot'!M1327:M1328,'By Lot'!M1344:M1345,'By Lot'!M1378:M1379,'By Lot'!M1395:M1396,'By Lot'!M1582:M1583,'By Lot'!M1599:M1600,'By Lot'!M1618:M1619,'By Lot'!M1635:M1636,'By Lot'!M1652:M1653,'By Lot'!M1669:M1670,'By Lot'!M1771:M1772)</f>
        <v>142</v>
      </c>
      <c r="N161" s="2">
        <f t="shared" si="57"/>
        <v>102</v>
      </c>
      <c r="O161" s="2">
        <f t="shared" si="58"/>
        <v>137</v>
      </c>
      <c r="P161" s="24">
        <f t="shared" si="59"/>
        <v>0.57322175732217573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6"/>
      <c r="B162" s="26" t="s">
        <v>32</v>
      </c>
      <c r="C162" s="18">
        <f>SUM('By Lot'!C1295,'By Lot'!C1312,'By Lot'!C1329,'By Lot'!C1346,'By Lot'!C1380,'By Lot'!C1397,'By Lot'!C1584,'By Lot'!C1602,'By Lot'!C1620,'By Lot'!C1637,'By Lot'!C1654,'By Lot'!C1671,'By Lot'!C1773)</f>
        <v>16</v>
      </c>
      <c r="D162" s="2">
        <f>SUM('By Lot'!D1295,'By Lot'!D1312,'By Lot'!D1329,'By Lot'!D1346,'By Lot'!D1380,'By Lot'!D1397,'By Lot'!D1584,'By Lot'!D1602,'By Lot'!D1620,'By Lot'!D1637,'By Lot'!D1654,'By Lot'!D1671,'By Lot'!D1773)</f>
        <v>11</v>
      </c>
      <c r="E162" s="2">
        <f>SUM('By Lot'!E1295,'By Lot'!E1312,'By Lot'!E1329,'By Lot'!E1346,'By Lot'!E1380,'By Lot'!E1397,'By Lot'!E1584,'By Lot'!E1602,'By Lot'!E1620,'By Lot'!E1637,'By Lot'!E1654,'By Lot'!E1671,'By Lot'!E1773)</f>
        <v>11</v>
      </c>
      <c r="F162" s="2">
        <f>SUM('By Lot'!F1295,'By Lot'!F1312,'By Lot'!F1329,'By Lot'!F1346,'By Lot'!F1380,'By Lot'!F1397,'By Lot'!F1584,'By Lot'!F1602,'By Lot'!F1620,'By Lot'!F1637,'By Lot'!F1654,'By Lot'!F1671,'By Lot'!F1773)</f>
        <v>11</v>
      </c>
      <c r="G162" s="2">
        <f>SUM('By Lot'!G1295,'By Lot'!G1312,'By Lot'!G1329,'By Lot'!G1346,'By Lot'!G1380,'By Lot'!G1397,'By Lot'!G1584,'By Lot'!G1602,'By Lot'!G1620,'By Lot'!G1637,'By Lot'!G1654,'By Lot'!G1671,'By Lot'!G1773)</f>
        <v>11</v>
      </c>
      <c r="H162" s="2">
        <f>SUM('By Lot'!H1295,'By Lot'!H1312,'By Lot'!H1329,'By Lot'!H1346,'By Lot'!H1380,'By Lot'!H1397,'By Lot'!H1584,'By Lot'!H1602,'By Lot'!H1620,'By Lot'!H1637,'By Lot'!H1654,'By Lot'!H1671,'By Lot'!H1773)</f>
        <v>11</v>
      </c>
      <c r="I162" s="2">
        <f>SUM('By Lot'!I1295,'By Lot'!I1312,'By Lot'!I1329,'By Lot'!I1346,'By Lot'!I1380,'By Lot'!I1397,'By Lot'!I1584,'By Lot'!I1602,'By Lot'!I1620,'By Lot'!I1637,'By Lot'!I1654,'By Lot'!I1671,'By Lot'!I1773)</f>
        <v>10</v>
      </c>
      <c r="J162" s="2">
        <f>SUM('By Lot'!J1295,'By Lot'!J1312,'By Lot'!J1329,'By Lot'!J1346,'By Lot'!J1380,'By Lot'!J1397,'By Lot'!J1584,'By Lot'!J1602,'By Lot'!J1620,'By Lot'!J1637,'By Lot'!J1654,'By Lot'!J1671,'By Lot'!J1773)</f>
        <v>11</v>
      </c>
      <c r="K162" s="2">
        <f>SUM('By Lot'!K1295,'By Lot'!K1312,'By Lot'!K1329,'By Lot'!K1346,'By Lot'!K1380,'By Lot'!K1397,'By Lot'!K1584,'By Lot'!K1602,'By Lot'!K1620,'By Lot'!K1637,'By Lot'!K1654,'By Lot'!K1671,'By Lot'!K1773)</f>
        <v>11</v>
      </c>
      <c r="L162" s="2">
        <f>SUM('By Lot'!L1295,'By Lot'!L1312,'By Lot'!L1329,'By Lot'!L1346,'By Lot'!L1380,'By Lot'!L1397,'By Lot'!L1584,'By Lot'!L1602,'By Lot'!L1620,'By Lot'!L1637,'By Lot'!L1654,'By Lot'!L1671,'By Lot'!L1773)</f>
        <v>11</v>
      </c>
      <c r="M162" s="27">
        <f>SUM('By Lot'!M1295,'By Lot'!M1312,'By Lot'!M1329,'By Lot'!M1346,'By Lot'!M1380,'By Lot'!M1397,'By Lot'!M1584,'By Lot'!M1602,'By Lot'!M1620,'By Lot'!M1637,'By Lot'!M1654,'By Lot'!M1671,'By Lot'!M1773)</f>
        <v>11</v>
      </c>
      <c r="N162" s="2">
        <f t="shared" si="57"/>
        <v>10</v>
      </c>
      <c r="O162" s="2">
        <f t="shared" si="58"/>
        <v>6</v>
      </c>
      <c r="P162" s="24">
        <f t="shared" si="59"/>
        <v>0.375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6"/>
      <c r="B163" s="26" t="s">
        <v>33</v>
      </c>
      <c r="C163" s="18">
        <f>SUM('By Lot'!C1296:C1301,'By Lot'!C1313:C1318,'By Lot'!C1330:C1335,'By Lot'!C1347:C1352,'By Lot'!C1381:C1386,'By Lot'!C1398:C1403,'By Lot'!C1585:C1590,'By Lot'!C1603:C1609,'By Lot'!C1621:C1626,'By Lot'!C1638:C1643,'By Lot'!C1655:C1660,'By Lot'!C1672:C1677,'By Lot'!C1774:C1779)</f>
        <v>70</v>
      </c>
      <c r="D163" s="2">
        <f>SUM('By Lot'!D1296:D1301,'By Lot'!D1313:D1318,'By Lot'!D1330:D1335,'By Lot'!D1347:D1352,'By Lot'!D1381:D1386,'By Lot'!D1398:D1403,'By Lot'!D1585:D1590,'By Lot'!D1603:D1609,'By Lot'!D1621:D1626,'By Lot'!D1638:D1643,'By Lot'!D1655:D1660,'By Lot'!D1672:D1677,'By Lot'!D1774:D1779)</f>
        <v>61</v>
      </c>
      <c r="E163" s="2">
        <f>SUM('By Lot'!E1296:E1301,'By Lot'!E1313:E1318,'By Lot'!E1330:E1335,'By Lot'!E1347:E1352,'By Lot'!E1381:E1386,'By Lot'!E1398:E1403,'By Lot'!E1585:E1590,'By Lot'!E1603:E1609,'By Lot'!E1621:E1626,'By Lot'!E1638:E1643,'By Lot'!E1655:E1660,'By Lot'!E1672:E1677,'By Lot'!E1774:E1779)</f>
        <v>55</v>
      </c>
      <c r="F163" s="2">
        <f>SUM('By Lot'!F1296:F1301,'By Lot'!F1313:F1318,'By Lot'!F1330:F1335,'By Lot'!F1347:F1352,'By Lot'!F1381:F1386,'By Lot'!F1398:F1403,'By Lot'!F1585:F1590,'By Lot'!F1603:F1609,'By Lot'!F1621:F1626,'By Lot'!F1638:F1643,'By Lot'!F1655:F1660,'By Lot'!F1672:F1677,'By Lot'!F1774:F1779)</f>
        <v>55</v>
      </c>
      <c r="G163" s="2">
        <f>SUM('By Lot'!G1296:G1301,'By Lot'!G1313:G1318,'By Lot'!G1330:G1335,'By Lot'!G1347:G1352,'By Lot'!G1381:G1386,'By Lot'!G1398:G1403,'By Lot'!G1585:G1590,'By Lot'!G1603:G1609,'By Lot'!G1621:G1626,'By Lot'!G1638:G1643,'By Lot'!G1655:G1660,'By Lot'!G1672:G1677,'By Lot'!G1774:G1779)</f>
        <v>55</v>
      </c>
      <c r="H163" s="2">
        <f>SUM('By Lot'!H1296:H1301,'By Lot'!H1313:H1318,'By Lot'!H1330:H1335,'By Lot'!H1347:H1352,'By Lot'!H1381:H1386,'By Lot'!H1398:H1403,'By Lot'!H1585:H1590,'By Lot'!H1603:H1609,'By Lot'!H1621:H1626,'By Lot'!H1638:H1643,'By Lot'!H1655:H1660,'By Lot'!H1672:H1677,'By Lot'!H1774:H1779)</f>
        <v>53</v>
      </c>
      <c r="I163" s="2">
        <f>SUM('By Lot'!I1296:I1301,'By Lot'!I1313:I1318,'By Lot'!I1330:I1335,'By Lot'!I1347:I1352,'By Lot'!I1381:I1386,'By Lot'!I1398:I1403,'By Lot'!I1585:I1590,'By Lot'!I1603:I1609,'By Lot'!I1621:I1626,'By Lot'!I1638:I1643,'By Lot'!I1655:I1660,'By Lot'!I1672:I1677,'By Lot'!I1774:I1779)</f>
        <v>53</v>
      </c>
      <c r="J163" s="2">
        <f>SUM('By Lot'!J1296:J1301,'By Lot'!J1313:J1318,'By Lot'!J1330:J1335,'By Lot'!J1347:J1352,'By Lot'!J1381:J1386,'By Lot'!J1398:J1403,'By Lot'!J1585:J1590,'By Lot'!J1603:J1609,'By Lot'!J1621:J1626,'By Lot'!J1638:J1643,'By Lot'!J1655:J1660,'By Lot'!J1672:J1677,'By Lot'!J1774:J1779)</f>
        <v>53</v>
      </c>
      <c r="K163" s="2">
        <f>SUM('By Lot'!K1296:K1301,'By Lot'!K1313:K1318,'By Lot'!K1330:K1335,'By Lot'!K1347:K1352,'By Lot'!K1381:K1386,'By Lot'!K1398:K1403,'By Lot'!K1585:K1590,'By Lot'!K1603:K1609,'By Lot'!K1621:K1626,'By Lot'!K1638:K1643,'By Lot'!K1655:K1660,'By Lot'!K1672:K1677,'By Lot'!K1774:K1779)</f>
        <v>54</v>
      </c>
      <c r="L163" s="2">
        <f>SUM('By Lot'!L1296:L1301,'By Lot'!L1313:L1318,'By Lot'!L1330:L1335,'By Lot'!L1347:L1352,'By Lot'!L1381:L1386,'By Lot'!L1398:L1403,'By Lot'!L1585:L1590,'By Lot'!L1603:L1609,'By Lot'!L1621:L1626,'By Lot'!L1638:L1643,'By Lot'!L1655:L1660,'By Lot'!L1672:L1677,'By Lot'!L1774:L1779)</f>
        <v>55</v>
      </c>
      <c r="M163" s="27">
        <f>SUM('By Lot'!M1296:M1301,'By Lot'!M1313:M1318,'By Lot'!M1330:M1335,'By Lot'!M1347:M1352,'By Lot'!M1381:M1386,'By Lot'!M1398:M1403,'By Lot'!M1585:M1590,'By Lot'!M1603:M1609,'By Lot'!M1621:M1626,'By Lot'!M1638:M1643,'By Lot'!M1655:M1660,'By Lot'!M1672:M1677,'By Lot'!M1774:M1779)</f>
        <v>55</v>
      </c>
      <c r="N163" s="2">
        <f t="shared" si="57"/>
        <v>53</v>
      </c>
      <c r="O163" s="2">
        <f t="shared" si="58"/>
        <v>17</v>
      </c>
      <c r="P163" s="24">
        <f t="shared" si="59"/>
        <v>0.24285714285714285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6"/>
      <c r="B164" s="18" t="s">
        <v>34</v>
      </c>
      <c r="C164" s="18">
        <f>SUM('By Lot'!C1302,'By Lot'!C1319,'By Lot'!C1336,'By Lot'!C1353,'By Lot'!C1387,'By Lot'!C1404,'By Lot'!C1591,'By Lot'!C1610,'By Lot'!C1627,'By Lot'!C1644,'By Lot'!C1661,'By Lot'!C1678,'By Lot'!C1780)</f>
        <v>30</v>
      </c>
      <c r="D164" s="26">
        <f>SUM('By Lot'!D1302,'By Lot'!D1319,'By Lot'!D1336,'By Lot'!D1353,'By Lot'!D1387,'By Lot'!D1404,'By Lot'!D1591,'By Lot'!D1610,'By Lot'!D1627,'By Lot'!D1644,'By Lot'!D1661,'By Lot'!D1678,'By Lot'!D1780)</f>
        <v>15</v>
      </c>
      <c r="E164" s="2">
        <f>SUM('By Lot'!E1302,'By Lot'!E1319,'By Lot'!E1336,'By Lot'!E1353,'By Lot'!E1387,'By Lot'!E1404,'By Lot'!E1591,'By Lot'!E1610,'By Lot'!E1627,'By Lot'!E1644,'By Lot'!E1661,'By Lot'!E1678,'By Lot'!E1780)</f>
        <v>12</v>
      </c>
      <c r="F164" s="2">
        <f>SUM('By Lot'!F1302,'By Lot'!F1319,'By Lot'!F1336,'By Lot'!F1353,'By Lot'!F1387,'By Lot'!F1404,'By Lot'!F1591,'By Lot'!F1610,'By Lot'!F1627,'By Lot'!F1644,'By Lot'!F1661,'By Lot'!F1678,'By Lot'!F1780)</f>
        <v>12</v>
      </c>
      <c r="G164" s="2">
        <f>SUM('By Lot'!G1302,'By Lot'!G1319,'By Lot'!G1336,'By Lot'!G1353,'By Lot'!G1387,'By Lot'!G1404,'By Lot'!G1591,'By Lot'!G1610,'By Lot'!G1627,'By Lot'!G1644,'By Lot'!G1661,'By Lot'!G1678,'By Lot'!G1780)</f>
        <v>13</v>
      </c>
      <c r="H164" s="2">
        <f>SUM('By Lot'!H1302,'By Lot'!H1319,'By Lot'!H1336,'By Lot'!H1353,'By Lot'!H1387,'By Lot'!H1404,'By Lot'!H1591,'By Lot'!H1610,'By Lot'!H1627,'By Lot'!H1644,'By Lot'!H1661,'By Lot'!H1678,'By Lot'!H1780)</f>
        <v>15</v>
      </c>
      <c r="I164" s="2">
        <f>SUM('By Lot'!I1302,'By Lot'!I1319,'By Lot'!I1336,'By Lot'!I1353,'By Lot'!I1387,'By Lot'!I1404,'By Lot'!I1591,'By Lot'!I1610,'By Lot'!I1627,'By Lot'!I1644,'By Lot'!I1661,'By Lot'!I1678,'By Lot'!I1780)</f>
        <v>17</v>
      </c>
      <c r="J164" s="2">
        <f>SUM('By Lot'!J1302,'By Lot'!J1319,'By Lot'!J1336,'By Lot'!J1353,'By Lot'!J1387,'By Lot'!J1404,'By Lot'!J1591,'By Lot'!J1610,'By Lot'!J1627,'By Lot'!J1644,'By Lot'!J1661,'By Lot'!J1678,'By Lot'!J1780)</f>
        <v>16</v>
      </c>
      <c r="K164" s="2">
        <f>SUM('By Lot'!K1302,'By Lot'!K1319,'By Lot'!K1336,'By Lot'!K1353,'By Lot'!K1387,'By Lot'!K1404,'By Lot'!K1591,'By Lot'!K1610,'By Lot'!K1627,'By Lot'!K1644,'By Lot'!K1661,'By Lot'!K1678,'By Lot'!K1780)</f>
        <v>14</v>
      </c>
      <c r="L164" s="2">
        <f>SUM('By Lot'!L1302,'By Lot'!L1319,'By Lot'!L1336,'By Lot'!L1353,'By Lot'!L1387,'By Lot'!L1404,'By Lot'!L1591,'By Lot'!L1610,'By Lot'!L1627,'By Lot'!L1644,'By Lot'!L1661,'By Lot'!L1678,'By Lot'!L1780)</f>
        <v>14</v>
      </c>
      <c r="M164" s="27">
        <f>SUM('By Lot'!M1302,'By Lot'!M1319,'By Lot'!M1336,'By Lot'!M1353,'By Lot'!M1387,'By Lot'!M1404,'By Lot'!M1591,'By Lot'!M1610,'By Lot'!M1627,'By Lot'!M1644,'By Lot'!M1661,'By Lot'!M1678,'By Lot'!M1780)</f>
        <v>17</v>
      </c>
      <c r="N164" s="26">
        <f t="shared" si="57"/>
        <v>12</v>
      </c>
      <c r="O164" s="2">
        <f t="shared" si="58"/>
        <v>18</v>
      </c>
      <c r="P164" s="24">
        <f t="shared" si="59"/>
        <v>0.6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6"/>
      <c r="B165" s="18" t="s">
        <v>35</v>
      </c>
      <c r="C165" s="18">
        <f>SUM('By Lot'!C1303,'By Lot'!C1320,'By Lot'!C1337,'By Lot'!C1354,'By Lot'!C1388,'By Lot'!C1405,'By Lot'!C1592,'By Lot'!C1611,'By Lot'!C1628,'By Lot'!C1645,'By Lot'!C1662,'By Lot'!C1679,'By Lot'!C1781)</f>
        <v>18</v>
      </c>
      <c r="D165" s="26">
        <f>SUM('By Lot'!D1303,'By Lot'!D1320,'By Lot'!D1337,'By Lot'!D1354,'By Lot'!D1388,'By Lot'!D1405,'By Lot'!D1592,'By Lot'!D1611,'By Lot'!D1628,'By Lot'!D1645,'By Lot'!D1662,'By Lot'!D1679,'By Lot'!D1781)</f>
        <v>12</v>
      </c>
      <c r="E165" s="2">
        <f>SUM('By Lot'!E1303,'By Lot'!E1320,'By Lot'!E1337,'By Lot'!E1354,'By Lot'!E1388,'By Lot'!E1405,'By Lot'!E1592,'By Lot'!E1611,'By Lot'!E1628,'By Lot'!E1645,'By Lot'!E1662,'By Lot'!E1679,'By Lot'!E1781)</f>
        <v>13</v>
      </c>
      <c r="F165" s="2">
        <f>SUM('By Lot'!F1303,'By Lot'!F1320,'By Lot'!F1337,'By Lot'!F1354,'By Lot'!F1388,'By Lot'!F1405,'By Lot'!F1592,'By Lot'!F1611,'By Lot'!F1628,'By Lot'!F1645,'By Lot'!F1662,'By Lot'!F1679,'By Lot'!F1781)</f>
        <v>12</v>
      </c>
      <c r="G165" s="2">
        <f>SUM('By Lot'!G1303,'By Lot'!G1320,'By Lot'!G1337,'By Lot'!G1354,'By Lot'!G1388,'By Lot'!G1405,'By Lot'!G1592,'By Lot'!G1611,'By Lot'!G1628,'By Lot'!G1645,'By Lot'!G1662,'By Lot'!G1679,'By Lot'!G1781)</f>
        <v>12</v>
      </c>
      <c r="H165" s="2">
        <f>SUM('By Lot'!H1303,'By Lot'!H1320,'By Lot'!H1337,'By Lot'!H1354,'By Lot'!H1388,'By Lot'!H1405,'By Lot'!H1592,'By Lot'!H1611,'By Lot'!H1628,'By Lot'!H1645,'By Lot'!H1662,'By Lot'!H1679,'By Lot'!H1781)</f>
        <v>10</v>
      </c>
      <c r="I165" s="2">
        <f>SUM('By Lot'!I1303,'By Lot'!I1320,'By Lot'!I1337,'By Lot'!I1354,'By Lot'!I1388,'By Lot'!I1405,'By Lot'!I1592,'By Lot'!I1611,'By Lot'!I1628,'By Lot'!I1645,'By Lot'!I1662,'By Lot'!I1679,'By Lot'!I1781)</f>
        <v>7</v>
      </c>
      <c r="J165" s="2">
        <f>SUM('By Lot'!J1303,'By Lot'!J1320,'By Lot'!J1337,'By Lot'!J1354,'By Lot'!J1388,'By Lot'!J1405,'By Lot'!J1592,'By Lot'!J1611,'By Lot'!J1628,'By Lot'!J1645,'By Lot'!J1662,'By Lot'!J1679,'By Lot'!J1781)</f>
        <v>7</v>
      </c>
      <c r="K165" s="2">
        <f>SUM('By Lot'!K1303,'By Lot'!K1320,'By Lot'!K1337,'By Lot'!K1354,'By Lot'!K1388,'By Lot'!K1405,'By Lot'!K1592,'By Lot'!K1611,'By Lot'!K1628,'By Lot'!K1645,'By Lot'!K1662,'By Lot'!K1679,'By Lot'!K1781)</f>
        <v>7</v>
      </c>
      <c r="L165" s="2">
        <f>SUM('By Lot'!L1303,'By Lot'!L1320,'By Lot'!L1337,'By Lot'!L1354,'By Lot'!L1388,'By Lot'!L1405,'By Lot'!L1592,'By Lot'!L1611,'By Lot'!L1628,'By Lot'!L1645,'By Lot'!L1662,'By Lot'!L1679,'By Lot'!L1781)</f>
        <v>8</v>
      </c>
      <c r="M165" s="27">
        <f>SUM('By Lot'!M1303,'By Lot'!M1320,'By Lot'!M1337,'By Lot'!M1354,'By Lot'!M1388,'By Lot'!M1405,'By Lot'!M1592,'By Lot'!M1611,'By Lot'!M1628,'By Lot'!M1645,'By Lot'!M1662,'By Lot'!M1679,'By Lot'!M1781)</f>
        <v>7</v>
      </c>
      <c r="N165" s="26">
        <f t="shared" si="57"/>
        <v>7</v>
      </c>
      <c r="O165" s="2">
        <f t="shared" si="58"/>
        <v>11</v>
      </c>
      <c r="P165" s="24">
        <f t="shared" si="59"/>
        <v>0.61111111111111116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6"/>
      <c r="B166" s="18" t="s">
        <v>36</v>
      </c>
      <c r="C166" s="18">
        <f>SUM('By Lot'!C1304,'By Lot'!C1321,'By Lot'!C1338,'By Lot'!C1355,'By Lot'!C1389,'By Lot'!C1406,'By Lot'!C1593,'By Lot'!C1612,'By Lot'!C1629,'By Lot'!C1646,'By Lot'!C1663,'By Lot'!C1680,'By Lot'!C1782)</f>
        <v>5</v>
      </c>
      <c r="D166" s="26">
        <f>SUM('By Lot'!D1304,'By Lot'!D1321,'By Lot'!D1338,'By Lot'!D1355,'By Lot'!D1389,'By Lot'!D1406,'By Lot'!D1593,'By Lot'!D1612,'By Lot'!D1629,'By Lot'!D1646,'By Lot'!D1663,'By Lot'!D1680,'By Lot'!D1782)</f>
        <v>4</v>
      </c>
      <c r="E166" s="2">
        <f>SUM('By Lot'!E1304,'By Lot'!E1321,'By Lot'!E1338,'By Lot'!E1355,'By Lot'!E1389,'By Lot'!E1406,'By Lot'!E1593,'By Lot'!E1612,'By Lot'!E1629,'By Lot'!E1646,'By Lot'!E1663,'By Lot'!E1680,'By Lot'!E1782)</f>
        <v>3</v>
      </c>
      <c r="F166" s="2">
        <f>SUM('By Lot'!F1304,'By Lot'!F1321,'By Lot'!F1338,'By Lot'!F1355,'By Lot'!F1389,'By Lot'!F1406,'By Lot'!F1593,'By Lot'!F1612,'By Lot'!F1629,'By Lot'!F1646,'By Lot'!F1663,'By Lot'!F1680,'By Lot'!F1782)</f>
        <v>1</v>
      </c>
      <c r="G166" s="2">
        <f>SUM('By Lot'!G1304,'By Lot'!G1321,'By Lot'!G1338,'By Lot'!G1355,'By Lot'!G1389,'By Lot'!G1406,'By Lot'!G1593,'By Lot'!G1612,'By Lot'!G1629,'By Lot'!G1646,'By Lot'!G1663,'By Lot'!G1680,'By Lot'!G1782)</f>
        <v>2</v>
      </c>
      <c r="H166" s="2">
        <f>SUM('By Lot'!H1304,'By Lot'!H1321,'By Lot'!H1338,'By Lot'!H1355,'By Lot'!H1389,'By Lot'!H1406,'By Lot'!H1593,'By Lot'!H1612,'By Lot'!H1629,'By Lot'!H1646,'By Lot'!H1663,'By Lot'!H1680,'By Lot'!H1782)</f>
        <v>3</v>
      </c>
      <c r="I166" s="2">
        <f>SUM('By Lot'!I1304,'By Lot'!I1321,'By Lot'!I1338,'By Lot'!I1355,'By Lot'!I1389,'By Lot'!I1406,'By Lot'!I1593,'By Lot'!I1612,'By Lot'!I1629,'By Lot'!I1646,'By Lot'!I1663,'By Lot'!I1680,'By Lot'!I1782)</f>
        <v>2</v>
      </c>
      <c r="J166" s="2">
        <f>SUM('By Lot'!J1304,'By Lot'!J1321,'By Lot'!J1338,'By Lot'!J1355,'By Lot'!J1389,'By Lot'!J1406,'By Lot'!J1593,'By Lot'!J1612,'By Lot'!J1629,'By Lot'!J1646,'By Lot'!J1663,'By Lot'!J1680,'By Lot'!J1782)</f>
        <v>2</v>
      </c>
      <c r="K166" s="2">
        <f>SUM('By Lot'!K1304,'By Lot'!K1321,'By Lot'!K1338,'By Lot'!K1355,'By Lot'!K1389,'By Lot'!K1406,'By Lot'!K1593,'By Lot'!K1612,'By Lot'!K1629,'By Lot'!K1646,'By Lot'!K1663,'By Lot'!K1680,'By Lot'!K1782)</f>
        <v>1</v>
      </c>
      <c r="L166" s="2">
        <f>SUM('By Lot'!L1304,'By Lot'!L1321,'By Lot'!L1338,'By Lot'!L1355,'By Lot'!L1389,'By Lot'!L1406,'By Lot'!L1593,'By Lot'!L1612,'By Lot'!L1629,'By Lot'!L1646,'By Lot'!L1663,'By Lot'!L1680,'By Lot'!L1782)</f>
        <v>0</v>
      </c>
      <c r="M166" s="27">
        <f>SUM('By Lot'!M1304,'By Lot'!M1321,'By Lot'!M1338,'By Lot'!M1355,'By Lot'!M1389,'By Lot'!M1406,'By Lot'!M1593,'By Lot'!M1612,'By Lot'!M1629,'By Lot'!M1646,'By Lot'!M1663,'By Lot'!M1680,'By Lot'!M1782)</f>
        <v>0</v>
      </c>
      <c r="N166" s="26">
        <f t="shared" si="57"/>
        <v>0</v>
      </c>
      <c r="O166" s="2">
        <f t="shared" si="58"/>
        <v>5</v>
      </c>
      <c r="P166" s="24">
        <f t="shared" si="59"/>
        <v>1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6"/>
      <c r="B167" s="18" t="s">
        <v>37</v>
      </c>
      <c r="C167" s="18">
        <f>SUM('By Lot'!C1305,'By Lot'!C1322,'By Lot'!C1339,'By Lot'!C1356,'By Lot'!C1390,'By Lot'!C1407,'By Lot'!C1594,'By Lot'!C1613,'By Lot'!C1630,'By Lot'!C1647,'By Lot'!C1664,'By Lot'!C1681,'By Lot'!C1783)</f>
        <v>12</v>
      </c>
      <c r="D167" s="26">
        <f>SUM('By Lot'!D1305,'By Lot'!D1322,'By Lot'!D1339,'By Lot'!D1356,'By Lot'!D1390,'By Lot'!D1407,'By Lot'!D1594,'By Lot'!D1613,'By Lot'!D1630,'By Lot'!D1647,'By Lot'!D1664,'By Lot'!D1681,'By Lot'!D1783)</f>
        <v>8</v>
      </c>
      <c r="E167" s="2">
        <f>SUM('By Lot'!E1305,'By Lot'!E1322,'By Lot'!E1339,'By Lot'!E1356,'By Lot'!E1390,'By Lot'!E1407,'By Lot'!E1594,'By Lot'!E1613,'By Lot'!E1630,'By Lot'!E1647,'By Lot'!E1664,'By Lot'!E1681,'By Lot'!E1783)</f>
        <v>8</v>
      </c>
      <c r="F167" s="2">
        <f>SUM('By Lot'!F1305,'By Lot'!F1322,'By Lot'!F1339,'By Lot'!F1356,'By Lot'!F1390,'By Lot'!F1407,'By Lot'!F1594,'By Lot'!F1613,'By Lot'!F1630,'By Lot'!F1647,'By Lot'!F1664,'By Lot'!F1681,'By Lot'!F1783)</f>
        <v>9</v>
      </c>
      <c r="G167" s="2">
        <f>SUM('By Lot'!G1305,'By Lot'!G1322,'By Lot'!G1339,'By Lot'!G1356,'By Lot'!G1390,'By Lot'!G1407,'By Lot'!G1594,'By Lot'!G1613,'By Lot'!G1630,'By Lot'!G1647,'By Lot'!G1664,'By Lot'!G1681,'By Lot'!G1783)</f>
        <v>10</v>
      </c>
      <c r="H167" s="2">
        <f>SUM('By Lot'!H1305,'By Lot'!H1322,'By Lot'!H1339,'By Lot'!H1356,'By Lot'!H1390,'By Lot'!H1407,'By Lot'!H1594,'By Lot'!H1613,'By Lot'!H1630,'By Lot'!H1647,'By Lot'!H1664,'By Lot'!H1681,'By Lot'!H1783)</f>
        <v>9</v>
      </c>
      <c r="I167" s="2">
        <f>SUM('By Lot'!I1305,'By Lot'!I1322,'By Lot'!I1339,'By Lot'!I1356,'By Lot'!I1390,'By Lot'!I1407,'By Lot'!I1594,'By Lot'!I1613,'By Lot'!I1630,'By Lot'!I1647,'By Lot'!I1664,'By Lot'!I1681,'By Lot'!I1783)</f>
        <v>8</v>
      </c>
      <c r="J167" s="2">
        <f>SUM('By Lot'!J1305,'By Lot'!J1322,'By Lot'!J1339,'By Lot'!J1356,'By Lot'!J1390,'By Lot'!J1407,'By Lot'!J1594,'By Lot'!J1613,'By Lot'!J1630,'By Lot'!J1647,'By Lot'!J1664,'By Lot'!J1681,'By Lot'!J1783)</f>
        <v>7</v>
      </c>
      <c r="K167" s="2">
        <f>SUM('By Lot'!K1305,'By Lot'!K1322,'By Lot'!K1339,'By Lot'!K1356,'By Lot'!K1390,'By Lot'!K1407,'By Lot'!K1594,'By Lot'!K1613,'By Lot'!K1630,'By Lot'!K1647,'By Lot'!K1664,'By Lot'!K1681,'By Lot'!K1783)</f>
        <v>7</v>
      </c>
      <c r="L167" s="2">
        <f>SUM('By Lot'!L1305,'By Lot'!L1322,'By Lot'!L1339,'By Lot'!L1356,'By Lot'!L1390,'By Lot'!L1407,'By Lot'!L1594,'By Lot'!L1613,'By Lot'!L1630,'By Lot'!L1647,'By Lot'!L1664,'By Lot'!L1681,'By Lot'!L1783)</f>
        <v>7</v>
      </c>
      <c r="M167" s="27">
        <f>SUM('By Lot'!M1305,'By Lot'!M1322,'By Lot'!M1339,'By Lot'!M1356,'By Lot'!M1390,'By Lot'!M1407,'By Lot'!M1594,'By Lot'!M1613,'By Lot'!M1630,'By Lot'!M1647,'By Lot'!M1664,'By Lot'!M1681,'By Lot'!M1783)</f>
        <v>9</v>
      </c>
      <c r="N167" s="26">
        <f t="shared" si="57"/>
        <v>7</v>
      </c>
      <c r="O167" s="2">
        <f t="shared" si="58"/>
        <v>5</v>
      </c>
      <c r="P167" s="24">
        <f t="shared" si="59"/>
        <v>0.41666666666666669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42"/>
      <c r="B168" s="33" t="s">
        <v>38</v>
      </c>
      <c r="C168" s="94">
        <f t="shared" ref="C168:M168" si="61">SUM(C157:C167)</f>
        <v>1118</v>
      </c>
      <c r="D168" s="67">
        <f t="shared" si="61"/>
        <v>872</v>
      </c>
      <c r="E168" s="68">
        <f t="shared" si="61"/>
        <v>799</v>
      </c>
      <c r="F168" s="68">
        <f t="shared" si="61"/>
        <v>749</v>
      </c>
      <c r="G168" s="68">
        <f t="shared" si="61"/>
        <v>733</v>
      </c>
      <c r="H168" s="68">
        <f t="shared" si="61"/>
        <v>738</v>
      </c>
      <c r="I168" s="68">
        <f t="shared" si="61"/>
        <v>717</v>
      </c>
      <c r="J168" s="68">
        <f t="shared" si="61"/>
        <v>732</v>
      </c>
      <c r="K168" s="68">
        <f t="shared" si="61"/>
        <v>739</v>
      </c>
      <c r="L168" s="68">
        <f t="shared" si="61"/>
        <v>776</v>
      </c>
      <c r="M168" s="69">
        <f t="shared" si="61"/>
        <v>827</v>
      </c>
      <c r="N168" s="70">
        <f t="shared" si="57"/>
        <v>717</v>
      </c>
      <c r="O168" s="71">
        <f t="shared" si="58"/>
        <v>401</v>
      </c>
      <c r="P168" s="40">
        <f t="shared" si="59"/>
        <v>0.35867620751341683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66" t="s">
        <v>87</v>
      </c>
      <c r="B169" s="26" t="s">
        <v>23</v>
      </c>
      <c r="C169" s="66">
        <f>SUM('By Lot'!C1867,'By Lot'!C1887,'By Lot'!C1906,'By Lot'!C1925,'By Lot'!C1942,
'By Lot'!C1959,'By Lot'!C1976,'By Lot'!C1993,'By Lot'!C2010,'By Structure'!C62)</f>
        <v>387</v>
      </c>
      <c r="D169" s="72">
        <f>SUM('By Lot'!D1867,'By Lot'!D1887,'By Lot'!D1906,'By Lot'!D1925,'By Lot'!D1942,
'By Lot'!D1959,'By Lot'!D1976,'By Lot'!D1993,'By Lot'!D2010,'By Structure'!D62)</f>
        <v>295</v>
      </c>
      <c r="E169" s="72">
        <f>SUM('By Lot'!E1867,'By Lot'!E1887,'By Lot'!E1906,'By Lot'!E1925,'By Lot'!E1942,
'By Lot'!E1959,'By Lot'!E1976,'By Lot'!E1993,'By Lot'!E2010,'By Structure'!E62)</f>
        <v>225</v>
      </c>
      <c r="F169" s="72">
        <f>SUM('By Lot'!F1867,'By Lot'!F1887,'By Lot'!F1906,'By Lot'!F1925,'By Lot'!F1942,
'By Lot'!F1959,'By Lot'!F1976,'By Lot'!F1993,'By Lot'!F2010,'By Structure'!F62)</f>
        <v>130</v>
      </c>
      <c r="G169" s="72">
        <f>SUM('By Lot'!G1867,'By Lot'!G1887,'By Lot'!G1906,'By Lot'!G1925,'By Lot'!G1942,
'By Lot'!G1959,'By Lot'!G1976,'By Lot'!G1993,'By Lot'!G2010,'By Structure'!G62)</f>
        <v>114</v>
      </c>
      <c r="H169" s="72">
        <f>SUM('By Lot'!H1867,'By Lot'!H1887,'By Lot'!H1906,'By Lot'!H1925,'By Lot'!H1942,
'By Lot'!H1959,'By Lot'!H1976,'By Lot'!H1993,'By Lot'!H2010,'By Structure'!H62)</f>
        <v>112</v>
      </c>
      <c r="I169" s="72">
        <f>SUM('By Lot'!I1867,'By Lot'!I1887,'By Lot'!I1906,'By Lot'!I1925,'By Lot'!I1942,
'By Lot'!I1959,'By Lot'!I1976,'By Lot'!I1993,'By Lot'!I2010,'By Structure'!I62)</f>
        <v>103</v>
      </c>
      <c r="J169" s="72">
        <f>SUM('By Lot'!J1867,'By Lot'!J1887,'By Lot'!J1906,'By Lot'!J1925,'By Lot'!J1942,
'By Lot'!J1959,'By Lot'!J1976,'By Lot'!J1993,'By Lot'!J2010,'By Structure'!J62)</f>
        <v>124</v>
      </c>
      <c r="K169" s="72">
        <f>SUM('By Lot'!K1867,'By Lot'!K1887,'By Lot'!K1906,'By Lot'!K1925,'By Lot'!K1942,
'By Lot'!K1959,'By Lot'!K1976,'By Lot'!K1993,'By Lot'!K2010,'By Structure'!K62)</f>
        <v>126</v>
      </c>
      <c r="L169" s="72">
        <f>SUM('By Lot'!L1867,'By Lot'!L1887,'By Lot'!L1906,'By Lot'!L1925,'By Lot'!L1942,
'By Lot'!L1959,'By Lot'!L1976,'By Lot'!L1993,'By Lot'!L2010,'By Structure'!L62)</f>
        <v>162</v>
      </c>
      <c r="M169" s="73">
        <f>SUM('By Lot'!M1867,'By Lot'!M1887,'By Lot'!M1906,'By Lot'!M1925,'By Lot'!M1942,
'By Lot'!M1959,'By Lot'!M1976,'By Lot'!M1993,'By Lot'!M2010,'By Structure'!M62)</f>
        <v>195</v>
      </c>
      <c r="N169" s="2">
        <f t="shared" si="57"/>
        <v>103</v>
      </c>
      <c r="O169" s="2">
        <f t="shared" si="58"/>
        <v>284</v>
      </c>
      <c r="P169" s="24">
        <f t="shared" si="59"/>
        <v>0.73385012919896642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18" t="s">
        <v>24</v>
      </c>
      <c r="B170" s="26" t="s">
        <v>54</v>
      </c>
      <c r="C170" s="18">
        <f>'By Lot'!C1888</f>
        <v>31</v>
      </c>
      <c r="D170" s="2">
        <f>'By Lot'!D1888</f>
        <v>29</v>
      </c>
      <c r="E170" s="2">
        <f>'By Lot'!E1888</f>
        <v>29</v>
      </c>
      <c r="F170" s="2">
        <f>'By Lot'!F1888</f>
        <v>28</v>
      </c>
      <c r="G170" s="2">
        <f>'By Lot'!G1888</f>
        <v>28</v>
      </c>
      <c r="H170" s="2">
        <f>'By Lot'!H1888</f>
        <v>28</v>
      </c>
      <c r="I170" s="2">
        <f>'By Lot'!I1888</f>
        <v>26</v>
      </c>
      <c r="J170" s="2">
        <f>'By Lot'!J1888</f>
        <v>24</v>
      </c>
      <c r="K170" s="2">
        <f>'By Lot'!K1888</f>
        <v>27</v>
      </c>
      <c r="L170" s="2">
        <f>'By Lot'!L1888</f>
        <v>30</v>
      </c>
      <c r="M170" s="27">
        <f>'By Lot'!M1888</f>
        <v>29</v>
      </c>
      <c r="N170" s="2">
        <f t="shared" si="57"/>
        <v>24</v>
      </c>
      <c r="O170" s="2">
        <f t="shared" si="58"/>
        <v>7</v>
      </c>
      <c r="P170" s="24">
        <f t="shared" si="59"/>
        <v>0.22580645161290322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18" t="s">
        <v>88</v>
      </c>
      <c r="B171" s="26" t="s">
        <v>25</v>
      </c>
      <c r="C171" s="18">
        <f>SUM('By Lot'!C1868,'By Lot'!C1889,'By Lot'!C1907,'By Lot'!C1926,'By Lot'!C1943,
'By Lot'!C1960,'By Lot'!C1977,'By Lot'!C1994,'By Lot'!C2011,'By Structure'!C63)</f>
        <v>556</v>
      </c>
      <c r="D171" s="2">
        <f>SUM('By Lot'!D1868,'By Lot'!D1889,'By Lot'!D1907,'By Lot'!D1926,'By Lot'!D1943,
'By Lot'!D1960,'By Lot'!D1977,'By Lot'!D1994,'By Lot'!D2011,'By Structure'!D63)</f>
        <v>435</v>
      </c>
      <c r="E171" s="2">
        <f>SUM('By Lot'!E1868,'By Lot'!E1889,'By Lot'!E1907,'By Lot'!E1926,'By Lot'!E1943,
'By Lot'!E1960,'By Lot'!E1977,'By Lot'!E1994,'By Lot'!E2011,'By Structure'!E63)</f>
        <v>373</v>
      </c>
      <c r="F171" s="2">
        <f>SUM('By Lot'!F1868,'By Lot'!F1889,'By Lot'!F1907,'By Lot'!F1926,'By Lot'!F1943,
'By Lot'!F1960,'By Lot'!F1977,'By Lot'!F1994,'By Lot'!F2011,'By Structure'!F63)</f>
        <v>341</v>
      </c>
      <c r="G171" s="2">
        <f>SUM('By Lot'!G1868,'By Lot'!G1889,'By Lot'!G1907,'By Lot'!G1926,'By Lot'!G1943,
'By Lot'!G1960,'By Lot'!G1977,'By Lot'!G1994,'By Lot'!G2011,'By Structure'!G63)</f>
        <v>324</v>
      </c>
      <c r="H171" s="2">
        <f>SUM('By Lot'!H1868,'By Lot'!H1889,'By Lot'!H1907,'By Lot'!H1926,'By Lot'!H1943,
'By Lot'!H1960,'By Lot'!H1977,'By Lot'!H1994,'By Lot'!H2011,'By Structure'!H63)</f>
        <v>322</v>
      </c>
      <c r="I171" s="2">
        <f>SUM('By Lot'!I1868,'By Lot'!I1889,'By Lot'!I1907,'By Lot'!I1926,'By Lot'!I1943,
'By Lot'!I1960,'By Lot'!I1977,'By Lot'!I1994,'By Lot'!I2011,'By Structure'!I63)</f>
        <v>337</v>
      </c>
      <c r="J171" s="2">
        <f>SUM('By Lot'!J1868,'By Lot'!J1889,'By Lot'!J1907,'By Lot'!J1926,'By Lot'!J1943,
'By Lot'!J1960,'By Lot'!J1977,'By Lot'!J1994,'By Lot'!J2011,'By Structure'!J63)</f>
        <v>327</v>
      </c>
      <c r="K171" s="2">
        <f>SUM('By Lot'!K1868,'By Lot'!K1889,'By Lot'!K1907,'By Lot'!K1926,'By Lot'!K1943,
'By Lot'!K1960,'By Lot'!K1977,'By Lot'!K1994,'By Lot'!K2011,'By Structure'!K63)</f>
        <v>347</v>
      </c>
      <c r="L171" s="2">
        <f>SUM('By Lot'!L1868,'By Lot'!L1889,'By Lot'!L1907,'By Lot'!L1926,'By Lot'!L1943,
'By Lot'!L1960,'By Lot'!L1977,'By Lot'!L1994,'By Lot'!L2011,'By Structure'!L63)</f>
        <v>373</v>
      </c>
      <c r="M171" s="27">
        <f>SUM('By Lot'!M1868,'By Lot'!M1889,'By Lot'!M1907,'By Lot'!M1926,'By Lot'!M1943,
'By Lot'!M1960,'By Lot'!M1977,'By Lot'!M1994,'By Lot'!M2011,'By Structure'!M63)</f>
        <v>424</v>
      </c>
      <c r="N171" s="2">
        <f t="shared" si="57"/>
        <v>322</v>
      </c>
      <c r="O171" s="2">
        <f t="shared" si="58"/>
        <v>234</v>
      </c>
      <c r="P171" s="24">
        <f t="shared" si="59"/>
        <v>0.42086330935251798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18"/>
      <c r="B172" s="26" t="s">
        <v>27</v>
      </c>
      <c r="C172" s="18">
        <f>SUM('By Lot'!C1869,'By Lot'!C1890,'By Lot'!C1908,'By Lot'!C1927,'By Lot'!C1944,
'By Lot'!C1961,'By Lot'!C1978,'By Lot'!C1995,'By Lot'!C2012,'By Structure'!C64)</f>
        <v>428</v>
      </c>
      <c r="D172" s="2">
        <f>SUM('By Lot'!D1869,'By Lot'!D1890,'By Lot'!D1908,'By Lot'!D1927,'By Lot'!D1944,
'By Lot'!D1961,'By Lot'!D1978,'By Lot'!D1995,'By Lot'!D2012,'By Structure'!D64)</f>
        <v>418</v>
      </c>
      <c r="E172" s="2">
        <f>SUM('By Lot'!E1869,'By Lot'!E1890,'By Lot'!E1908,'By Lot'!E1927,'By Lot'!E1944,
'By Lot'!E1961,'By Lot'!E1978,'By Lot'!E1995,'By Lot'!E2012,'By Structure'!E64)</f>
        <v>408</v>
      </c>
      <c r="F172" s="2">
        <f>SUM('By Lot'!F1869,'By Lot'!F1890,'By Lot'!F1908,'By Lot'!F1927,'By Lot'!F1944,
'By Lot'!F1961,'By Lot'!F1978,'By Lot'!F1995,'By Lot'!F2012,'By Structure'!F64)</f>
        <v>404</v>
      </c>
      <c r="G172" s="2">
        <f>SUM('By Lot'!G1869,'By Lot'!G1890,'By Lot'!G1908,'By Lot'!G1927,'By Lot'!G1944,
'By Lot'!G1961,'By Lot'!G1978,'By Lot'!G1995,'By Lot'!G2012,'By Structure'!G64)</f>
        <v>401</v>
      </c>
      <c r="H172" s="2">
        <f>SUM('By Lot'!H1869,'By Lot'!H1890,'By Lot'!H1908,'By Lot'!H1927,'By Lot'!H1944,
'By Lot'!H1961,'By Lot'!H1978,'By Lot'!H1995,'By Lot'!H2012,'By Structure'!H64)</f>
        <v>399</v>
      </c>
      <c r="I172" s="2">
        <f>SUM('By Lot'!I1869,'By Lot'!I1890,'By Lot'!I1908,'By Lot'!I1927,'By Lot'!I1944,
'By Lot'!I1961,'By Lot'!I1978,'By Lot'!I1995,'By Lot'!I2012,'By Structure'!I64)</f>
        <v>397</v>
      </c>
      <c r="J172" s="2">
        <f>SUM('By Lot'!J1869,'By Lot'!J1890,'By Lot'!J1908,'By Lot'!J1927,'By Lot'!J1944,
'By Lot'!J1961,'By Lot'!J1978,'By Lot'!J1995,'By Lot'!J2012,'By Structure'!J64)</f>
        <v>401</v>
      </c>
      <c r="K172" s="2">
        <f>SUM('By Lot'!K1869,'By Lot'!K1890,'By Lot'!K1908,'By Lot'!K1927,'By Lot'!K1944,
'By Lot'!K1961,'By Lot'!K1978,'By Lot'!K1995,'By Lot'!K2012,'By Structure'!K64)</f>
        <v>405</v>
      </c>
      <c r="L172" s="2">
        <f>SUM('By Lot'!L1869,'By Lot'!L1890,'By Lot'!L1908,'By Lot'!L1927,'By Lot'!L1944,
'By Lot'!L1961,'By Lot'!L1978,'By Lot'!L1995,'By Lot'!L2012,'By Structure'!L64)</f>
        <v>406</v>
      </c>
      <c r="M172" s="27">
        <f>SUM('By Lot'!M1869,'By Lot'!M1890,'By Lot'!M1908,'By Lot'!M1927,'By Lot'!M1944,
'By Lot'!M1961,'By Lot'!M1978,'By Lot'!M1995,'By Lot'!M2012,'By Structure'!M64)</f>
        <v>412</v>
      </c>
      <c r="N172" s="2">
        <f t="shared" si="57"/>
        <v>397</v>
      </c>
      <c r="O172" s="2">
        <f t="shared" si="58"/>
        <v>31</v>
      </c>
      <c r="P172" s="24">
        <f t="shared" si="59"/>
        <v>7.2429906542056069E-2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18"/>
      <c r="B173" s="26" t="s">
        <v>31</v>
      </c>
      <c r="C173" s="18">
        <f>SUM('By Lot'!C1870,'By Lot'!C1891,'By Lot'!C1909,'By Lot'!C1928,'By Lot'!C1945,
'By Lot'!C1962,'By Lot'!C1979,'By Lot'!C1996,'By Lot'!C2013,'By Structure'!C65)</f>
        <v>91</v>
      </c>
      <c r="D173" s="2">
        <f>SUM('By Lot'!D1870,'By Lot'!D1891,'By Lot'!D1909,'By Lot'!D1928,'By Lot'!D1945,
'By Lot'!D1962,'By Lot'!D1979,'By Lot'!D1996,'By Lot'!D2013,'By Structure'!D65)</f>
        <v>62</v>
      </c>
      <c r="E173" s="2">
        <f>SUM('By Lot'!E1870,'By Lot'!E1891,'By Lot'!E1909,'By Lot'!E1928,'By Lot'!E1945,
'By Lot'!E1962,'By Lot'!E1979,'By Lot'!E1996,'By Lot'!E2013,'By Structure'!E65)</f>
        <v>40</v>
      </c>
      <c r="F173" s="2">
        <f>SUM('By Lot'!F1870,'By Lot'!F1891,'By Lot'!F1909,'By Lot'!F1928,'By Lot'!F1945,
'By Lot'!F1962,'By Lot'!F1979,'By Lot'!F1996,'By Lot'!F2013,'By Structure'!F65)</f>
        <v>28</v>
      </c>
      <c r="G173" s="2">
        <f>SUM('By Lot'!G1870,'By Lot'!G1891,'By Lot'!G1909,'By Lot'!G1928,'By Lot'!G1945,
'By Lot'!G1962,'By Lot'!G1979,'By Lot'!G1996,'By Lot'!G2013,'By Structure'!G65)</f>
        <v>23</v>
      </c>
      <c r="H173" s="2">
        <f>SUM('By Lot'!H1870,'By Lot'!H1891,'By Lot'!H1909,'By Lot'!H1928,'By Lot'!H1945,
'By Lot'!H1962,'By Lot'!H1979,'By Lot'!H1996,'By Lot'!H2013,'By Structure'!H65)</f>
        <v>16</v>
      </c>
      <c r="I173" s="2">
        <f>SUM('By Lot'!I1870,'By Lot'!I1891,'By Lot'!I1909,'By Lot'!I1928,'By Lot'!I1945,
'By Lot'!I1962,'By Lot'!I1979,'By Lot'!I1996,'By Lot'!I2013,'By Structure'!I65)</f>
        <v>21</v>
      </c>
      <c r="J173" s="2">
        <f>SUM('By Lot'!J1870,'By Lot'!J1891,'By Lot'!J1909,'By Lot'!J1928,'By Lot'!J1945,
'By Lot'!J1962,'By Lot'!J1979,'By Lot'!J1996,'By Lot'!J2013,'By Structure'!J65)</f>
        <v>20</v>
      </c>
      <c r="K173" s="2">
        <f>SUM('By Lot'!K1870,'By Lot'!K1891,'By Lot'!K1909,'By Lot'!K1928,'By Lot'!K1945,
'By Lot'!K1962,'By Lot'!K1979,'By Lot'!K1996,'By Lot'!K2013,'By Structure'!K65)</f>
        <v>27</v>
      </c>
      <c r="L173" s="2">
        <f>SUM('By Lot'!L1870,'By Lot'!L1891,'By Lot'!L1909,'By Lot'!L1928,'By Lot'!L1945,
'By Lot'!L1962,'By Lot'!L1979,'By Lot'!L1996,'By Lot'!L2013,'By Structure'!L65)</f>
        <v>39</v>
      </c>
      <c r="M173" s="27">
        <f>SUM('By Lot'!M1870,'By Lot'!M1891,'By Lot'!M1909,'By Lot'!M1928,'By Lot'!M1945,
'By Lot'!M1962,'By Lot'!M1979,'By Lot'!M1996,'By Lot'!M2013,'By Structure'!M65)</f>
        <v>50</v>
      </c>
      <c r="N173" s="2">
        <f t="shared" si="57"/>
        <v>16</v>
      </c>
      <c r="O173" s="2">
        <f t="shared" si="58"/>
        <v>75</v>
      </c>
      <c r="P173" s="24">
        <f t="shared" si="59"/>
        <v>0.82417582417582413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18"/>
      <c r="B174" s="26" t="s">
        <v>32</v>
      </c>
      <c r="C174" s="18">
        <f>SUM('By Lot'!C1875,'By Lot'!C1893:C1895,'By Lot'!C1911:C1913,'By Lot'!C1930,
'By Lot'!C1947,'By Lot'!C1981,'By Lot'!C1998,'By Lot'!C2015,'By Structure'!C66)</f>
        <v>139</v>
      </c>
      <c r="D174" s="2">
        <f>SUM('By Lot'!D1875,'By Lot'!D1893:D1895,'By Lot'!D1911:D1913,'By Lot'!D1930,
'By Lot'!D1947,'By Lot'!D1981,'By Lot'!D1998,'By Lot'!D2015,'By Structure'!D66)</f>
        <v>119</v>
      </c>
      <c r="E174" s="2">
        <f>SUM('By Lot'!E1875,'By Lot'!E1893:E1895,'By Lot'!E1911:E1913,'By Lot'!E1930,
'By Lot'!E1947,'By Lot'!E1981,'By Lot'!E1998,'By Lot'!E2015,'By Structure'!E66)</f>
        <v>116</v>
      </c>
      <c r="F174" s="2">
        <f>SUM('By Lot'!F1875,'By Lot'!F1893:F1895,'By Lot'!F1911:F1913,'By Lot'!F1930,
'By Lot'!F1947,'By Lot'!F1981,'By Lot'!F1998,'By Lot'!F2015,'By Structure'!F66)</f>
        <v>110</v>
      </c>
      <c r="G174" s="2">
        <f>SUM('By Lot'!G1875,'By Lot'!G1893:G1895,'By Lot'!G1911:G1913,'By Lot'!G1930,
'By Lot'!G1947,'By Lot'!G1981,'By Lot'!G1998,'By Lot'!G2015,'By Structure'!G66)</f>
        <v>118</v>
      </c>
      <c r="H174" s="2">
        <f>SUM('By Lot'!H1875,'By Lot'!H1893:H1895,'By Lot'!H1911:H1913,'By Lot'!H1930,
'By Lot'!H1947,'By Lot'!H1981,'By Lot'!H1998,'By Lot'!H2015,'By Structure'!H66)</f>
        <v>110</v>
      </c>
      <c r="I174" s="2">
        <f>SUM('By Lot'!I1875,'By Lot'!I1893:I1895,'By Lot'!I1911:I1913,'By Lot'!I1930,
'By Lot'!I1947,'By Lot'!I1981,'By Lot'!I1998,'By Lot'!I2015,'By Structure'!I66)</f>
        <v>109</v>
      </c>
      <c r="J174" s="2">
        <f>SUM('By Lot'!J1875,'By Lot'!J1893:J1895,'By Lot'!J1911:J1913,'By Lot'!J1930,
'By Lot'!J1947,'By Lot'!J1981,'By Lot'!J1998,'By Lot'!J2015,'By Structure'!J66)</f>
        <v>112</v>
      </c>
      <c r="K174" s="2">
        <f>SUM('By Lot'!K1875,'By Lot'!K1893:K1895,'By Lot'!K1911:K1913,'By Lot'!K1930,
'By Lot'!K1947,'By Lot'!K1981,'By Lot'!K1998,'By Lot'!K2015,'By Structure'!K66)</f>
        <v>116</v>
      </c>
      <c r="L174" s="2">
        <f>SUM('By Lot'!L1875,'By Lot'!L1893:L1895,'By Lot'!L1911:L1913,'By Lot'!L1930,
'By Lot'!L1947,'By Lot'!L1981,'By Lot'!L1998,'By Lot'!L2015,'By Structure'!L66)</f>
        <v>119</v>
      </c>
      <c r="M174" s="27">
        <f>SUM('By Lot'!M1875,'By Lot'!M1893:M1895,'By Lot'!M1911:M1913,'By Lot'!M1930,
'By Lot'!M1947,'By Lot'!M1981,'By Lot'!M1998,'By Lot'!M2015,'By Structure'!M66)</f>
        <v>121</v>
      </c>
      <c r="N174" s="2">
        <f t="shared" si="57"/>
        <v>109</v>
      </c>
      <c r="O174" s="2">
        <f t="shared" si="58"/>
        <v>30</v>
      </c>
      <c r="P174" s="24">
        <f t="shared" si="59"/>
        <v>0.21582733812949639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18"/>
      <c r="B175" s="26" t="s">
        <v>33</v>
      </c>
      <c r="C175" s="18">
        <f>SUM('By Lot'!C1876:C1881,'By Lot'!C1896:C1900,'By Lot'!C1914:C1919,'By Lot'!C1931:C1936,
'By Lot'!C1948:C1953,'By Lot'!C1965:C1970,'By Lot'!C1982:C1987,'By Lot'!C1999:C2004,'By Lot'!C2016:C2021, 'By Structure'!C67)</f>
        <v>128</v>
      </c>
      <c r="D175" s="2">
        <f>SUM('By Lot'!D1876:D1881,'By Lot'!D1896:D1900,'By Lot'!D1914:D1919,'By Lot'!D1931:D1936,
'By Lot'!D1948:D1953,'By Lot'!D1965:D1970,'By Lot'!D1982:D1987,'By Lot'!D1999:D2004,'By Lot'!D2016:D2021, 'By Structure'!D67)</f>
        <v>122</v>
      </c>
      <c r="E175" s="2">
        <f>SUM('By Lot'!E1876:E1881,'By Lot'!E1896:E1900,'By Lot'!E1914:E1919,'By Lot'!E1931:E1936,
'By Lot'!E1948:E1953,'By Lot'!E1965:E1970,'By Lot'!E1982:E1987,'By Lot'!E1999:E2004,'By Lot'!E2016:E2021, 'By Structure'!E67)</f>
        <v>122</v>
      </c>
      <c r="F175" s="2">
        <f>SUM('By Lot'!F1876:F1881,'By Lot'!F1896:F1900,'By Lot'!F1914:F1919,'By Lot'!F1931:F1936,
'By Lot'!F1948:F1953,'By Lot'!F1965:F1970,'By Lot'!F1982:F1987,'By Lot'!F1999:F2004,'By Lot'!F2016:F2021, 'By Structure'!F67)</f>
        <v>121</v>
      </c>
      <c r="G175" s="2">
        <f>SUM('By Lot'!G1876:G1881,'By Lot'!G1896:G1900,'By Lot'!G1914:G1919,'By Lot'!G1931:G1936,
'By Lot'!G1948:G1953,'By Lot'!G1965:G1970,'By Lot'!G1982:G1987,'By Lot'!G1999:G2004,'By Lot'!G2016:G2021, 'By Structure'!G67)</f>
        <v>117</v>
      </c>
      <c r="H175" s="2">
        <f>SUM('By Lot'!H1876:H1881,'By Lot'!H1896:H1900,'By Lot'!H1914:H1919,'By Lot'!H1931:H1936,
'By Lot'!H1948:H1953,'By Lot'!H1965:H1970,'By Lot'!H1982:H1987,'By Lot'!H1999:H2004,'By Lot'!H2016:H2021, 'By Structure'!H67)</f>
        <v>116</v>
      </c>
      <c r="I175" s="2">
        <f>SUM('By Lot'!I1876:I1881,'By Lot'!I1896:I1900,'By Lot'!I1914:I1919,'By Lot'!I1931:I1936,
'By Lot'!I1948:I1953,'By Lot'!I1965:I1970,'By Lot'!I1982:I1987,'By Lot'!I1999:I2004,'By Lot'!I2016:I2021, 'By Structure'!I67)</f>
        <v>114</v>
      </c>
      <c r="J175" s="2">
        <f>SUM('By Lot'!J1876:J1881,'By Lot'!J1896:J1900,'By Lot'!J1914:J1919,'By Lot'!J1931:J1936,
'By Lot'!J1948:J1953,'By Lot'!J1965:J1970,'By Lot'!J1982:J1987,'By Lot'!J1999:J2004,'By Lot'!J2016:J2021, 'By Structure'!J67)</f>
        <v>106</v>
      </c>
      <c r="K175" s="2">
        <f>SUM('By Lot'!K1876:K1881,'By Lot'!K1896:K1900,'By Lot'!K1914:K1919,'By Lot'!K1931:K1936,
'By Lot'!K1948:K1953,'By Lot'!K1965:K1970,'By Lot'!K1982:K1987,'By Lot'!K1999:K2004,'By Lot'!K2016:K2021, 'By Structure'!K67)</f>
        <v>114</v>
      </c>
      <c r="L175" s="2">
        <f>SUM('By Lot'!L1876:L1881,'By Lot'!L1896:L1900,'By Lot'!L1914:L1919,'By Lot'!L1931:L1936,
'By Lot'!L1948:L1953,'By Lot'!L1965:L1970,'By Lot'!L1982:L1987,'By Lot'!L1999:L2004,'By Lot'!L2016:L2021, 'By Structure'!L67)</f>
        <v>116</v>
      </c>
      <c r="M175" s="27">
        <f>SUM('By Lot'!M1876:M1881,'By Lot'!M1896:M1900,'By Lot'!M1914:M1919,'By Lot'!M1931:M1936,
'By Lot'!M1948:M1953,'By Lot'!M1965:M1970,'By Lot'!M1982:M1987,'By Lot'!M1999:M2004,'By Lot'!M2016:M2021, 'By Structure'!M67)</f>
        <v>119</v>
      </c>
      <c r="N175" s="2">
        <f t="shared" si="57"/>
        <v>106</v>
      </c>
      <c r="O175" s="2">
        <f t="shared" si="58"/>
        <v>22</v>
      </c>
      <c r="P175" s="24">
        <f t="shared" si="59"/>
        <v>0.171875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18"/>
      <c r="B176" s="26" t="s">
        <v>34</v>
      </c>
      <c r="C176" s="18">
        <f>SUM('By Lot'!C1882,'By Lot'!C1901,'By Lot'!C1920,'By Lot'!C1937,
'By Lot'!C1954,'By Lot'!C1971,'By Lot'!C1988,'By Lot'!C2005,'By Lot'!C2022,'By Structure'!C68)</f>
        <v>70</v>
      </c>
      <c r="D176" s="2">
        <f>SUM('By Lot'!D1882,'By Lot'!D1901,'By Lot'!D1920,'By Lot'!D1937,
'By Lot'!D1954,'By Lot'!D1971,'By Lot'!D1988,'By Lot'!D2005,'By Lot'!D2022,'By Structure'!D68)</f>
        <v>55</v>
      </c>
      <c r="E176" s="2">
        <f>SUM('By Lot'!E1882,'By Lot'!E1901,'By Lot'!E1920,'By Lot'!E1937,
'By Lot'!E1954,'By Lot'!E1971,'By Lot'!E1988,'By Lot'!E2005,'By Lot'!E2022,'By Structure'!E68)</f>
        <v>54</v>
      </c>
      <c r="F176" s="2">
        <f>SUM('By Lot'!F1882,'By Lot'!F1901,'By Lot'!F1920,'By Lot'!F1937,
'By Lot'!F1954,'By Lot'!F1971,'By Lot'!F1988,'By Lot'!F2005,'By Lot'!F2022,'By Structure'!F68)</f>
        <v>53</v>
      </c>
      <c r="G176" s="2">
        <f>SUM('By Lot'!G1882,'By Lot'!G1901,'By Lot'!G1920,'By Lot'!G1937,
'By Lot'!G1954,'By Lot'!G1971,'By Lot'!G1988,'By Lot'!G2005,'By Lot'!G2022,'By Structure'!G68)</f>
        <v>45</v>
      </c>
      <c r="H176" s="2">
        <f>SUM('By Lot'!H1882,'By Lot'!H1901,'By Lot'!H1920,'By Lot'!H1937,
'By Lot'!H1954,'By Lot'!H1971,'By Lot'!H1988,'By Lot'!H2005,'By Lot'!H2022,'By Structure'!H68)</f>
        <v>51</v>
      </c>
      <c r="I176" s="2">
        <f>SUM('By Lot'!I1882,'By Lot'!I1901,'By Lot'!I1920,'By Lot'!I1937,
'By Lot'!I1954,'By Lot'!I1971,'By Lot'!I1988,'By Lot'!I2005,'By Lot'!I2022,'By Structure'!I68)</f>
        <v>58</v>
      </c>
      <c r="J176" s="2">
        <f>SUM('By Lot'!J1882,'By Lot'!J1901,'By Lot'!J1920,'By Lot'!J1937,
'By Lot'!J1954,'By Lot'!J1971,'By Lot'!J1988,'By Lot'!J2005,'By Lot'!J2022,'By Structure'!J68)</f>
        <v>58</v>
      </c>
      <c r="K176" s="2">
        <f>SUM('By Lot'!K1882,'By Lot'!K1901,'By Lot'!K1920,'By Lot'!K1937,
'By Lot'!K1954,'By Lot'!K1971,'By Lot'!K1988,'By Lot'!K2005,'By Lot'!K2022,'By Structure'!K68)</f>
        <v>57</v>
      </c>
      <c r="L176" s="2">
        <f>SUM('By Lot'!L1882,'By Lot'!L1901,'By Lot'!L1920,'By Lot'!L1937,
'By Lot'!L1954,'By Lot'!L1971,'By Lot'!L1988,'By Lot'!L2005,'By Lot'!L2022,'By Structure'!L68)</f>
        <v>60</v>
      </c>
      <c r="M176" s="27">
        <f>SUM('By Lot'!M1882,'By Lot'!M1901,'By Lot'!M1920,'By Lot'!M1937,
'By Lot'!M1954,'By Lot'!M1971,'By Lot'!M1988,'By Lot'!M2005,'By Lot'!M2022,'By Structure'!M68)</f>
        <v>66</v>
      </c>
      <c r="N176" s="2">
        <f t="shared" si="57"/>
        <v>45</v>
      </c>
      <c r="O176" s="2">
        <f t="shared" si="58"/>
        <v>25</v>
      </c>
      <c r="P176" s="24">
        <f t="shared" si="59"/>
        <v>0.35714285714285715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18"/>
      <c r="B177" s="26" t="s">
        <v>35</v>
      </c>
      <c r="C177" s="18">
        <f>SUM('By Lot'!C1883,'By Lot'!C1902,'By Lot'!C1921,'By Lot'!C1938,
'By Lot'!C1955,'By Lot'!C1972,'By Lot'!C1989,'By Lot'!C2006,'By Lot'!C2023,'By Structure'!C69)</f>
        <v>25</v>
      </c>
      <c r="D177" s="2">
        <f>SUM('By Lot'!D1883,'By Lot'!D1902,'By Lot'!D1921,'By Lot'!D1938,
'By Lot'!D1955,'By Lot'!D1972,'By Lot'!D1989,'By Lot'!D2006,'By Lot'!D2023,'By Structure'!D69)</f>
        <v>17</v>
      </c>
      <c r="E177" s="2">
        <f>SUM('By Lot'!E1883,'By Lot'!E1902,'By Lot'!E1921,'By Lot'!E1938,
'By Lot'!E1955,'By Lot'!E1972,'By Lot'!E1989,'By Lot'!E2006,'By Lot'!E2023,'By Structure'!E69)</f>
        <v>14</v>
      </c>
      <c r="F177" s="2">
        <f>SUM('By Lot'!F1883,'By Lot'!F1902,'By Lot'!F1921,'By Lot'!F1938,
'By Lot'!F1955,'By Lot'!F1972,'By Lot'!F1989,'By Lot'!F2006,'By Lot'!F2023,'By Structure'!F69)</f>
        <v>15</v>
      </c>
      <c r="G177" s="2">
        <f>SUM('By Lot'!G1883,'By Lot'!G1902,'By Lot'!G1921,'By Lot'!G1938,
'By Lot'!G1955,'By Lot'!G1972,'By Lot'!G1989,'By Lot'!G2006,'By Lot'!G2023,'By Structure'!G69)</f>
        <v>16</v>
      </c>
      <c r="H177" s="2">
        <f>SUM('By Lot'!H1883,'By Lot'!H1902,'By Lot'!H1921,'By Lot'!H1938,
'By Lot'!H1955,'By Lot'!H1972,'By Lot'!H1989,'By Lot'!H2006,'By Lot'!H2023,'By Structure'!H69)</f>
        <v>17</v>
      </c>
      <c r="I177" s="2">
        <f>SUM('By Lot'!I1883,'By Lot'!I1902,'By Lot'!I1921,'By Lot'!I1938,
'By Lot'!I1955,'By Lot'!I1972,'By Lot'!I1989,'By Lot'!I2006,'By Lot'!I2023,'By Structure'!I69)</f>
        <v>16</v>
      </c>
      <c r="J177" s="2">
        <f>SUM('By Lot'!J1883,'By Lot'!J1902,'By Lot'!J1921,'By Lot'!J1938,
'By Lot'!J1955,'By Lot'!J1972,'By Lot'!J1989,'By Lot'!J2006,'By Lot'!J2023,'By Structure'!J69)</f>
        <v>13</v>
      </c>
      <c r="K177" s="2">
        <f>SUM('By Lot'!K1883,'By Lot'!K1902,'By Lot'!K1921,'By Lot'!K1938,
'By Lot'!K1955,'By Lot'!K1972,'By Lot'!K1989,'By Lot'!K2006,'By Lot'!K2023,'By Structure'!K69)</f>
        <v>12</v>
      </c>
      <c r="L177" s="2">
        <f>SUM('By Lot'!L1883,'By Lot'!L1902,'By Lot'!L1921,'By Lot'!L1938,
'By Lot'!L1955,'By Lot'!L1972,'By Lot'!L1989,'By Lot'!L2006,'By Lot'!L2023,'By Structure'!L69)</f>
        <v>12</v>
      </c>
      <c r="M177" s="27">
        <f>SUM('By Lot'!M1883,'By Lot'!M1902,'By Lot'!M1921,'By Lot'!M1938,
'By Lot'!M1955,'By Lot'!M1972,'By Lot'!M1989,'By Lot'!M2006,'By Lot'!M2023,'By Structure'!M69)</f>
        <v>13</v>
      </c>
      <c r="N177" s="2">
        <f t="shared" si="57"/>
        <v>12</v>
      </c>
      <c r="O177" s="2">
        <f t="shared" si="58"/>
        <v>13</v>
      </c>
      <c r="P177" s="24">
        <f t="shared" si="59"/>
        <v>0.52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18"/>
      <c r="B178" s="26" t="s">
        <v>36</v>
      </c>
      <c r="C178" s="18">
        <f>SUM('By Lot'!C1884,'By Lot'!C1903,'By Lot'!C1922,'By Lot'!C1939,
'By Lot'!C1956,'By Lot'!C1973,'By Lot'!C1990,'By Lot'!C2007,'By Lot'!C2024,'By Structure'!C70)</f>
        <v>12</v>
      </c>
      <c r="D178" s="2">
        <f>SUM('By Lot'!D1884,'By Lot'!D1903,'By Lot'!D1922,'By Lot'!D1939,
'By Lot'!D1956,'By Lot'!D1973,'By Lot'!D1990,'By Lot'!D2007,'By Lot'!D2024,'By Structure'!D70)</f>
        <v>4</v>
      </c>
      <c r="E178" s="2">
        <f>SUM('By Lot'!E1884,'By Lot'!E1903,'By Lot'!E1922,'By Lot'!E1939,
'By Lot'!E1956,'By Lot'!E1973,'By Lot'!E1990,'By Lot'!E2007,'By Lot'!E2024,'By Structure'!E70)</f>
        <v>4</v>
      </c>
      <c r="F178" s="2">
        <f>SUM('By Lot'!F1884,'By Lot'!F1903,'By Lot'!F1922,'By Lot'!F1939,
'By Lot'!F1956,'By Lot'!F1973,'By Lot'!F1990,'By Lot'!F2007,'By Lot'!F2024,'By Structure'!F70)</f>
        <v>4</v>
      </c>
      <c r="G178" s="2">
        <f>SUM('By Lot'!G1884,'By Lot'!G1903,'By Lot'!G1922,'By Lot'!G1939,
'By Lot'!G1956,'By Lot'!G1973,'By Lot'!G1990,'By Lot'!G2007,'By Lot'!G2024,'By Structure'!G70)</f>
        <v>4</v>
      </c>
      <c r="H178" s="2">
        <f>SUM('By Lot'!H1884,'By Lot'!H1903,'By Lot'!H1922,'By Lot'!H1939,
'By Lot'!H1956,'By Lot'!H1973,'By Lot'!H1990,'By Lot'!H2007,'By Lot'!H2024,'By Structure'!H70)</f>
        <v>4</v>
      </c>
      <c r="I178" s="2">
        <f>SUM('By Lot'!I1884,'By Lot'!I1903,'By Lot'!I1922,'By Lot'!I1939,
'By Lot'!I1956,'By Lot'!I1973,'By Lot'!I1990,'By Lot'!I2007,'By Lot'!I2024,'By Structure'!I70)</f>
        <v>4</v>
      </c>
      <c r="J178" s="2">
        <f>SUM('By Lot'!J1884,'By Lot'!J1903,'By Lot'!J1922,'By Lot'!J1939,
'By Lot'!J1956,'By Lot'!J1973,'By Lot'!J1990,'By Lot'!J2007,'By Lot'!J2024,'By Structure'!J70)</f>
        <v>4</v>
      </c>
      <c r="K178" s="2">
        <f>SUM('By Lot'!K1884,'By Lot'!K1903,'By Lot'!K1922,'By Lot'!K1939,
'By Lot'!K1956,'By Lot'!K1973,'By Lot'!K1990,'By Lot'!K2007,'By Lot'!K2024,'By Structure'!K70)</f>
        <v>2</v>
      </c>
      <c r="L178" s="2">
        <f>SUM('By Lot'!L1884,'By Lot'!L1903,'By Lot'!L1922,'By Lot'!L1939,
'By Lot'!L1956,'By Lot'!L1973,'By Lot'!L1990,'By Lot'!L2007,'By Lot'!L2024,'By Structure'!L70)</f>
        <v>2</v>
      </c>
      <c r="M178" s="27">
        <f>SUM('By Lot'!M1884,'By Lot'!M1903,'By Lot'!M1922,'By Lot'!M1939,
'By Lot'!M1956,'By Lot'!M1973,'By Lot'!M1990,'By Lot'!M2007,'By Lot'!M2024,'By Structure'!M70)</f>
        <v>2</v>
      </c>
      <c r="N178" s="2">
        <f t="shared" si="57"/>
        <v>2</v>
      </c>
      <c r="O178" s="2">
        <f t="shared" si="58"/>
        <v>10</v>
      </c>
      <c r="P178" s="24">
        <f t="shared" si="59"/>
        <v>0.83333333333333337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18"/>
      <c r="B179" s="26" t="s">
        <v>37</v>
      </c>
      <c r="C179" s="18">
        <f>SUM('By Lot'!C1885,'By Lot'!C1904,'By Lot'!C1923,'By Lot'!C1940,
'By Lot'!C1957,'By Lot'!C1974,'By Lot'!C1991,'By Lot'!C2008,'By Lot'!C2025,'By Structure'!C71)</f>
        <v>11</v>
      </c>
      <c r="D179" s="80">
        <f>SUM('By Lot'!D1885,'By Lot'!D1904,'By Lot'!D1923,'By Lot'!D1940,
'By Lot'!D1957,'By Lot'!D1974,'By Lot'!D1991,'By Lot'!D2008,'By Lot'!D2025,'By Structure'!D71)</f>
        <v>10</v>
      </c>
      <c r="E179" s="80">
        <f>SUM('By Lot'!E1885,'By Lot'!E1904,'By Lot'!E1923,'By Lot'!E1940,
'By Lot'!E1957,'By Lot'!E1974,'By Lot'!E1991,'By Lot'!E2008,'By Lot'!E2025,'By Structure'!E71)</f>
        <v>10</v>
      </c>
      <c r="F179" s="80">
        <f>SUM('By Lot'!F1885,'By Lot'!F1904,'By Lot'!F1923,'By Lot'!F1940,
'By Lot'!F1957,'By Lot'!F1974,'By Lot'!F1991,'By Lot'!F2008,'By Lot'!F2025,'By Structure'!F71)</f>
        <v>6</v>
      </c>
      <c r="G179" s="80">
        <f>SUM('By Lot'!G1885,'By Lot'!G1904,'By Lot'!G1923,'By Lot'!G1940,
'By Lot'!G1957,'By Lot'!G1974,'By Lot'!G1991,'By Lot'!G2008,'By Lot'!G2025,'By Structure'!G71)</f>
        <v>6</v>
      </c>
      <c r="H179" s="80">
        <f>SUM('By Lot'!H1885,'By Lot'!H1904,'By Lot'!H1923,'By Lot'!H1940,
'By Lot'!H1957,'By Lot'!H1974,'By Lot'!H1991,'By Lot'!H2008,'By Lot'!H2025,'By Structure'!H71)</f>
        <v>7</v>
      </c>
      <c r="I179" s="80">
        <f>SUM('By Lot'!I1885,'By Lot'!I1904,'By Lot'!I1923,'By Lot'!I1940,
'By Lot'!I1957,'By Lot'!I1974,'By Lot'!I1991,'By Lot'!I2008,'By Lot'!I2025,'By Structure'!I71)</f>
        <v>7</v>
      </c>
      <c r="J179" s="80">
        <f>SUM('By Lot'!J1885,'By Lot'!J1904,'By Lot'!J1923,'By Lot'!J1940,
'By Lot'!J1957,'By Lot'!J1974,'By Lot'!J1991,'By Lot'!J2008,'By Lot'!J2025,'By Structure'!J71)</f>
        <v>9</v>
      </c>
      <c r="K179" s="80">
        <f>SUM('By Lot'!K1885,'By Lot'!K1904,'By Lot'!K1923,'By Lot'!K1940,
'By Lot'!K1957,'By Lot'!K1974,'By Lot'!K1991,'By Lot'!K2008,'By Lot'!K2025,'By Structure'!K71)</f>
        <v>8</v>
      </c>
      <c r="L179" s="80">
        <f>SUM('By Lot'!L1885,'By Lot'!L1904,'By Lot'!L1923,'By Lot'!L1940,
'By Lot'!L1957,'By Lot'!L1974,'By Lot'!L1991,'By Lot'!L2008,'By Lot'!L2025,'By Structure'!L71)</f>
        <v>6</v>
      </c>
      <c r="M179" s="81">
        <f>SUM('By Lot'!M1885,'By Lot'!M1904,'By Lot'!M1923,'By Lot'!M1940,
'By Lot'!M1957,'By Lot'!M1974,'By Lot'!M1991,'By Lot'!M2008,'By Lot'!M2025,'By Structure'!M71)</f>
        <v>5</v>
      </c>
      <c r="N179" s="2">
        <f t="shared" si="57"/>
        <v>5</v>
      </c>
      <c r="O179" s="2">
        <f t="shared" si="58"/>
        <v>6</v>
      </c>
      <c r="P179" s="24">
        <f t="shared" si="59"/>
        <v>0.54545454545454541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32"/>
      <c r="B180" s="33" t="s">
        <v>38</v>
      </c>
      <c r="C180" s="33">
        <f t="shared" ref="C180:M180" si="62">SUM(C169:C179)</f>
        <v>1878</v>
      </c>
      <c r="D180" s="82">
        <f t="shared" si="62"/>
        <v>1566</v>
      </c>
      <c r="E180" s="83">
        <f t="shared" si="62"/>
        <v>1395</v>
      </c>
      <c r="F180" s="83">
        <f t="shared" si="62"/>
        <v>1240</v>
      </c>
      <c r="G180" s="83">
        <f t="shared" si="62"/>
        <v>1196</v>
      </c>
      <c r="H180" s="83">
        <f t="shared" si="62"/>
        <v>1182</v>
      </c>
      <c r="I180" s="83">
        <f t="shared" si="62"/>
        <v>1192</v>
      </c>
      <c r="J180" s="83">
        <f t="shared" si="62"/>
        <v>1198</v>
      </c>
      <c r="K180" s="83">
        <f t="shared" si="62"/>
        <v>1241</v>
      </c>
      <c r="L180" s="83">
        <f t="shared" si="62"/>
        <v>1325</v>
      </c>
      <c r="M180" s="84">
        <f t="shared" si="62"/>
        <v>1436</v>
      </c>
      <c r="N180" s="70">
        <f t="shared" si="57"/>
        <v>1182</v>
      </c>
      <c r="O180" s="71">
        <f t="shared" si="58"/>
        <v>696</v>
      </c>
      <c r="P180" s="40">
        <f t="shared" si="59"/>
        <v>0.37060702875399359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66" t="s">
        <v>22</v>
      </c>
      <c r="B181" s="18" t="s">
        <v>23</v>
      </c>
      <c r="C181" s="18">
        <f>SUM('By Lot'!C1358,'By Lot'!C1409,'By Lot'!C1426,
'By Lot'!C1443,'By Lot'!C1460,'By Lot'!C1477,
'By Lot'!C1494,'By Lot'!C1528,'By Lot'!C1545,
'By Lot'!C1683)</f>
        <v>90</v>
      </c>
      <c r="D181" s="26">
        <f>SUM('By Lot'!D1358,'By Lot'!D1409,'By Lot'!D1426,'By Lot'!D1443,'By Lot'!D1460,'By Lot'!D1477,'By Lot'!D1494,'By Lot'!D1528,'By Lot'!D1545,'By Lot'!D1683)</f>
        <v>16</v>
      </c>
      <c r="E181" s="2">
        <f>SUM('By Lot'!E1358,'By Lot'!E1409,'By Lot'!E1426,'By Lot'!E1443,'By Lot'!E1460,'By Lot'!E1477,'By Lot'!E1494,'By Lot'!E1528,'By Lot'!E1545,'By Lot'!E1683)</f>
        <v>14</v>
      </c>
      <c r="F181" s="2">
        <f>SUM('By Lot'!F1358,'By Lot'!F1409,'By Lot'!F1426,'By Lot'!F1443,'By Lot'!F1460,'By Lot'!F1477,'By Lot'!F1494,'By Lot'!F1528,'By Lot'!F1545,'By Lot'!F1683)</f>
        <v>3</v>
      </c>
      <c r="G181" s="2">
        <f>SUM('By Lot'!G1358,'By Lot'!G1409,'By Lot'!G1426,'By Lot'!G1443,'By Lot'!G1460,'By Lot'!G1477,'By Lot'!G1494,'By Lot'!G1528,'By Lot'!G1545,'By Lot'!G1683)</f>
        <v>2</v>
      </c>
      <c r="H181" s="2">
        <f>SUM('By Lot'!H1358,'By Lot'!H1409,'By Lot'!H1426,'By Lot'!H1443,'By Lot'!H1460,'By Lot'!H1477,'By Lot'!H1494,'By Lot'!H1528,'By Lot'!H1545,'By Lot'!H1683)</f>
        <v>3</v>
      </c>
      <c r="I181" s="2">
        <f>SUM('By Lot'!I1358,'By Lot'!I1409,'By Lot'!I1426,'By Lot'!I1443,'By Lot'!I1460,'By Lot'!I1477,'By Lot'!I1494,'By Lot'!I1528,'By Lot'!I1545,'By Lot'!I1683)</f>
        <v>5</v>
      </c>
      <c r="J181" s="2">
        <f>SUM('By Lot'!J1358,'By Lot'!J1409,'By Lot'!J1426,'By Lot'!J1443,'By Lot'!J1460,'By Lot'!J1477,'By Lot'!J1494,'By Lot'!J1528,'By Lot'!J1545,'By Lot'!J1683)</f>
        <v>7</v>
      </c>
      <c r="K181" s="2">
        <f>SUM('By Lot'!K1358,'By Lot'!K1409,'By Lot'!K1426,'By Lot'!K1443,'By Lot'!K1460,'By Lot'!K1477,'By Lot'!K1494,'By Lot'!K1528,'By Lot'!K1545,'By Lot'!K1683)</f>
        <v>14</v>
      </c>
      <c r="L181" s="2">
        <f>SUM('By Lot'!L1358,'By Lot'!L1409,'By Lot'!L1426,'By Lot'!L1443,'By Lot'!L1460,'By Lot'!L1477,'By Lot'!L1494,'By Lot'!L1528,'By Lot'!L1545,'By Lot'!L1683)</f>
        <v>30</v>
      </c>
      <c r="M181" s="27">
        <f>SUM('By Lot'!M1358,'By Lot'!M1409,'By Lot'!M1426,'By Lot'!M1443,'By Lot'!M1460,'By Lot'!M1477,'By Lot'!M1494,'By Lot'!M1528,'By Lot'!M1545,'By Lot'!M1683)</f>
        <v>43</v>
      </c>
      <c r="N181" s="26">
        <f t="shared" si="57"/>
        <v>2</v>
      </c>
      <c r="O181" s="2">
        <f t="shared" si="58"/>
        <v>88</v>
      </c>
      <c r="P181" s="24">
        <f t="shared" si="59"/>
        <v>0.97777777777777775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18" t="s">
        <v>46</v>
      </c>
      <c r="B182" s="18" t="s">
        <v>25</v>
      </c>
      <c r="C182" s="18">
        <f>SUM('By Lot'!C1359,'By Lot'!C1410,'By Lot'!C1427,
'By Lot'!C1444,'By Lot'!C1461,'By Lot'!C1478,
'By Lot'!C1495,'By Lot'!C1529,'By Lot'!C1546,
'By Lot'!C1684)</f>
        <v>16</v>
      </c>
      <c r="D182" s="26">
        <f>SUM('By Lot'!D1359,'By Lot'!D1410,'By Lot'!D1427,'By Lot'!D1444,'By Lot'!D1461,'By Lot'!D1478,'By Lot'!D1495,'By Lot'!D1529,'By Lot'!D1546,'By Lot'!D1684)</f>
        <v>0</v>
      </c>
      <c r="E182" s="2">
        <f>SUM('By Lot'!E1359,'By Lot'!E1410,'By Lot'!E1427,'By Lot'!E1444,'By Lot'!E1461,'By Lot'!E1478,'By Lot'!E1495,'By Lot'!E1529,'By Lot'!E1546,'By Lot'!E1684)</f>
        <v>0</v>
      </c>
      <c r="F182" s="2">
        <f>SUM('By Lot'!F1359,'By Lot'!F1410,'By Lot'!F1427,'By Lot'!F1444,'By Lot'!F1461,'By Lot'!F1478,'By Lot'!F1495,'By Lot'!F1529,'By Lot'!F1546,'By Lot'!F1684)</f>
        <v>0</v>
      </c>
      <c r="G182" s="2">
        <f>SUM('By Lot'!G1359,'By Lot'!G1410,'By Lot'!G1427,'By Lot'!G1444,'By Lot'!G1461,'By Lot'!G1478,'By Lot'!G1495,'By Lot'!G1529,'By Lot'!G1546,'By Lot'!G1684)</f>
        <v>0</v>
      </c>
      <c r="H182" s="2">
        <f>SUM('By Lot'!H1359,'By Lot'!H1410,'By Lot'!H1427,'By Lot'!H1444,'By Lot'!H1461,'By Lot'!H1478,'By Lot'!H1495,'By Lot'!H1529,'By Lot'!H1546,'By Lot'!H1684)</f>
        <v>0</v>
      </c>
      <c r="I182" s="2">
        <f>SUM('By Lot'!I1359,'By Lot'!I1410,'By Lot'!I1427,'By Lot'!I1444,'By Lot'!I1461,'By Lot'!I1478,'By Lot'!I1495,'By Lot'!I1529,'By Lot'!I1546,'By Lot'!I1684)</f>
        <v>0</v>
      </c>
      <c r="J182" s="2">
        <f>SUM('By Lot'!J1359,'By Lot'!J1410,'By Lot'!J1427,'By Lot'!J1444,'By Lot'!J1461,'By Lot'!J1478,'By Lot'!J1495,'By Lot'!J1529,'By Lot'!J1546,'By Lot'!J1684)</f>
        <v>1</v>
      </c>
      <c r="K182" s="2">
        <f>SUM('By Lot'!K1359,'By Lot'!K1410,'By Lot'!K1427,'By Lot'!K1444,'By Lot'!K1461,'By Lot'!K1478,'By Lot'!K1495,'By Lot'!K1529,'By Lot'!K1546,'By Lot'!K1684)</f>
        <v>1</v>
      </c>
      <c r="L182" s="2">
        <f>SUM('By Lot'!L1359,'By Lot'!L1410,'By Lot'!L1427,'By Lot'!L1444,'By Lot'!L1461,'By Lot'!L1478,'By Lot'!L1495,'By Lot'!L1529,'By Lot'!L1546,'By Lot'!L1684)</f>
        <v>2</v>
      </c>
      <c r="M182" s="27">
        <f>SUM('By Lot'!M1359,'By Lot'!M1410,'By Lot'!M1427,'By Lot'!M1444,'By Lot'!M1461,'By Lot'!M1478,'By Lot'!M1495,'By Lot'!M1529,'By Lot'!M1546,'By Lot'!M1684)</f>
        <v>11</v>
      </c>
      <c r="N182" s="26">
        <f t="shared" si="57"/>
        <v>0</v>
      </c>
      <c r="O182" s="2">
        <f t="shared" si="58"/>
        <v>16</v>
      </c>
      <c r="P182" s="24">
        <f t="shared" si="59"/>
        <v>1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18"/>
      <c r="B183" s="18" t="s">
        <v>27</v>
      </c>
      <c r="C183" s="18"/>
      <c r="D183" s="26"/>
      <c r="E183" s="2"/>
      <c r="F183" s="2"/>
      <c r="G183" s="2"/>
      <c r="H183" s="2"/>
      <c r="I183" s="2"/>
      <c r="J183" s="2"/>
      <c r="K183" s="2"/>
      <c r="L183" s="2"/>
      <c r="M183" s="27"/>
      <c r="N183" s="26"/>
      <c r="O183" s="2"/>
      <c r="P183" s="24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18"/>
      <c r="B184" s="18" t="s">
        <v>31</v>
      </c>
      <c r="C184" s="18">
        <f>SUM('By Lot'!C1361:C1362,'By Lot'!C1412:C1413,'By Lot'!C1429:C1430,
'By Lot'!C1446:C1447,'By Lot'!C1463:C1464,'By Lot'!C1480:C1481,
'By Lot'!C1497:C1498,'By Lot'!C1531:C1532,'By Lot'!C1548:C1549,
'By Lot'!C1686:C1687)</f>
        <v>19</v>
      </c>
      <c r="D184" s="26">
        <f>SUM('By Lot'!D1361:D1362,'By Lot'!D1412:D1413,'By Lot'!D1429:D1430,'By Lot'!D1446:D1447,'By Lot'!D1463:D1464,'By Lot'!D1480:D1481,'By Lot'!D1497:D1498,'By Lot'!D1531:D1532,'By Lot'!D1548:D1549,'By Lot'!D1686:D1687)</f>
        <v>13</v>
      </c>
      <c r="E184" s="2">
        <f>SUM('By Lot'!E1361:E1362,'By Lot'!E1412:E1413,'By Lot'!E1429:E1430,'By Lot'!E1446:E1447,'By Lot'!E1463:E1464,'By Lot'!E1480:E1481,'By Lot'!E1497:E1498,'By Lot'!E1531:E1532,'By Lot'!E1548:E1549,'By Lot'!E1686:E1687)</f>
        <v>9</v>
      </c>
      <c r="F184" s="2">
        <f>SUM('By Lot'!F1361:F1362,'By Lot'!F1412:F1413,'By Lot'!F1429:F1430,'By Lot'!F1446:F1447,'By Lot'!F1463:F1464,'By Lot'!F1480:F1481,'By Lot'!F1497:F1498,'By Lot'!F1531:F1532,'By Lot'!F1548:F1549,'By Lot'!F1686:F1687)</f>
        <v>1</v>
      </c>
      <c r="G184" s="2">
        <f>SUM('By Lot'!G1361:G1362,'By Lot'!G1412:G1413,'By Lot'!G1429:G1430,'By Lot'!G1446:G1447,'By Lot'!G1463:G1464,'By Lot'!G1480:G1481,'By Lot'!G1497:G1498,'By Lot'!G1531:G1532,'By Lot'!G1548:G1549,'By Lot'!G1686:G1687)</f>
        <v>3</v>
      </c>
      <c r="H184" s="2">
        <f>SUM('By Lot'!H1361:H1362,'By Lot'!H1412:H1413,'By Lot'!H1429:H1430,'By Lot'!H1446:H1447,'By Lot'!H1463:H1464,'By Lot'!H1480:H1481,'By Lot'!H1497:H1498,'By Lot'!H1531:H1532,'By Lot'!H1548:H1549,'By Lot'!H1686:H1687)</f>
        <v>3</v>
      </c>
      <c r="I184" s="2">
        <f>SUM('By Lot'!I1361:I1362,'By Lot'!I1412:I1413,'By Lot'!I1429:I1430,'By Lot'!I1446:I1447,'By Lot'!I1463:I1464,'By Lot'!I1480:I1481,'By Lot'!I1497:I1498,'By Lot'!I1531:I1532,'By Lot'!I1548:I1549,'By Lot'!I1686:I1687)</f>
        <v>4</v>
      </c>
      <c r="J184" s="2">
        <f>SUM('By Lot'!J1361:J1362,'By Lot'!J1412:J1413,'By Lot'!J1429:J1430,'By Lot'!J1446:J1447,'By Lot'!J1463:J1464,'By Lot'!J1480:J1481,'By Lot'!J1497:J1498,'By Lot'!J1531:J1532,'By Lot'!J1548:J1549,'By Lot'!J1686:J1687)</f>
        <v>1</v>
      </c>
      <c r="K184" s="2">
        <f>SUM('By Lot'!K1361:K1362,'By Lot'!K1412:K1413,'By Lot'!K1429:K1430,'By Lot'!K1446:K1447,'By Lot'!K1463:K1464,'By Lot'!K1480:K1481,'By Lot'!K1497:K1498,'By Lot'!K1531:K1532,'By Lot'!K1548:K1549,'By Lot'!K1686:K1687)</f>
        <v>3</v>
      </c>
      <c r="L184" s="2">
        <f>SUM('By Lot'!L1361:L1362,'By Lot'!L1412:L1413,'By Lot'!L1429:L1430,'By Lot'!L1446:L1447,'By Lot'!L1463:L1464,'By Lot'!L1480:L1481,'By Lot'!L1497:L1498,'By Lot'!L1531:L1532,'By Lot'!L1548:L1549,'By Lot'!L1686:L1687)</f>
        <v>8</v>
      </c>
      <c r="M184" s="27">
        <f>SUM('By Lot'!M1361:M1362,'By Lot'!M1412:M1413,'By Lot'!M1429:M1430,'By Lot'!M1446:M1447,'By Lot'!M1463:M1464,'By Lot'!M1480:M1481,'By Lot'!M1497:M1498,'By Lot'!M1531:M1532,'By Lot'!M1548:M1549,'By Lot'!M1686:M1687)</f>
        <v>9</v>
      </c>
      <c r="N184" s="26">
        <f t="shared" ref="N184:N204" si="63">MIN(D184:M184)</f>
        <v>1</v>
      </c>
      <c r="O184" s="2">
        <f t="shared" ref="O184:O204" si="64">C184-N184</f>
        <v>18</v>
      </c>
      <c r="P184" s="24">
        <f t="shared" ref="P184:P191" si="65">O184/C184</f>
        <v>0.94736842105263153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18"/>
      <c r="B185" s="18" t="s">
        <v>32</v>
      </c>
      <c r="C185" s="18">
        <f>SUM('By Lot'!C1363,'By Lot'!C1414,'By Lot'!C1431,
'By Lot'!C1448,'By Lot'!C1465,'By Lot'!C1482,
'By Lot'!C1499,'By Lot'!C1533,'By Lot'!C1550,
'By Lot'!C1688)</f>
        <v>81</v>
      </c>
      <c r="D185" s="26">
        <f>SUM('By Lot'!D1363,'By Lot'!D1414,'By Lot'!D1431,'By Lot'!D1448,'By Lot'!D1465,'By Lot'!D1482,'By Lot'!D1499,'By Lot'!D1533,'By Lot'!D1550,'By Lot'!D1688)</f>
        <v>74</v>
      </c>
      <c r="E185" s="2">
        <f>SUM('By Lot'!E1363,'By Lot'!E1414,'By Lot'!E1431,'By Lot'!E1448,'By Lot'!E1465,'By Lot'!E1482,'By Lot'!E1499,'By Lot'!E1533,'By Lot'!E1550,'By Lot'!E1688)</f>
        <v>73</v>
      </c>
      <c r="F185" s="2">
        <f>SUM('By Lot'!F1363,'By Lot'!F1414,'By Lot'!F1431,'By Lot'!F1448,'By Lot'!F1465,'By Lot'!F1482,'By Lot'!F1499,'By Lot'!F1533,'By Lot'!F1550,'By Lot'!F1688)</f>
        <v>70</v>
      </c>
      <c r="G185" s="2">
        <f>SUM('By Lot'!G1363,'By Lot'!G1414,'By Lot'!G1431,'By Lot'!G1448,'By Lot'!G1465,'By Lot'!G1482,'By Lot'!G1499,'By Lot'!G1533,'By Lot'!G1550,'By Lot'!G1688)</f>
        <v>70</v>
      </c>
      <c r="H185" s="2">
        <f>SUM('By Lot'!H1363,'By Lot'!H1414,'By Lot'!H1431,'By Lot'!H1448,'By Lot'!H1465,'By Lot'!H1482,'By Lot'!H1499,'By Lot'!H1533,'By Lot'!H1550,'By Lot'!H1688)</f>
        <v>68</v>
      </c>
      <c r="I185" s="2">
        <f>SUM('By Lot'!I1363,'By Lot'!I1414,'By Lot'!I1431,'By Lot'!I1448,'By Lot'!I1465,'By Lot'!I1482,'By Lot'!I1499,'By Lot'!I1533,'By Lot'!I1550,'By Lot'!I1688)</f>
        <v>67</v>
      </c>
      <c r="J185" s="2">
        <f>SUM('By Lot'!J1363,'By Lot'!J1414,'By Lot'!J1431,'By Lot'!J1448,'By Lot'!J1465,'By Lot'!J1482,'By Lot'!J1499,'By Lot'!J1533,'By Lot'!J1550,'By Lot'!J1688)</f>
        <v>65</v>
      </c>
      <c r="K185" s="2">
        <f>SUM('By Lot'!K1363,'By Lot'!K1414,'By Lot'!K1431,'By Lot'!K1448,'By Lot'!K1465,'By Lot'!K1482,'By Lot'!K1499,'By Lot'!K1533,'By Lot'!K1550,'By Lot'!K1688)</f>
        <v>65</v>
      </c>
      <c r="L185" s="2">
        <f>SUM('By Lot'!L1363,'By Lot'!L1414,'By Lot'!L1431,'By Lot'!L1448,'By Lot'!L1465,'By Lot'!L1482,'By Lot'!L1499,'By Lot'!L1533,'By Lot'!L1550,'By Lot'!L1688)</f>
        <v>68</v>
      </c>
      <c r="M185" s="27">
        <f>SUM('By Lot'!M1363,'By Lot'!M1414,'By Lot'!M1431,'By Lot'!M1448,'By Lot'!M1465,'By Lot'!M1482,'By Lot'!M1499,'By Lot'!M1533,'By Lot'!M1550,'By Lot'!M1688)</f>
        <v>69</v>
      </c>
      <c r="N185" s="26">
        <f t="shared" si="63"/>
        <v>65</v>
      </c>
      <c r="O185" s="2">
        <f t="shared" si="64"/>
        <v>16</v>
      </c>
      <c r="P185" s="24">
        <f t="shared" si="65"/>
        <v>0.19753086419753085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18"/>
      <c r="B186" s="18" t="s">
        <v>33</v>
      </c>
      <c r="C186" s="18">
        <f>SUM('By Lot'!C1364:C1369,'By Lot'!C1415:C1420,'By Lot'!C1432:C1437,
'By Lot'!C1449:C1454,'By Lot'!C1466:C1471,'By Lot'!C1483:C1488,
'By Lot'!C1500:C1505,'By Lot'!C1534:C1539,'By Lot'!C1551:C1556,
'By Lot'!C1689:C1694)</f>
        <v>33</v>
      </c>
      <c r="D186" s="26">
        <f>SUM('By Lot'!D1364:D1369,'By Lot'!D1415:D1420,'By Lot'!D1432:D1437,'By Lot'!D1449:D1454,'By Lot'!D1466:D1471,'By Lot'!D1483:D1488,'By Lot'!D1500:D1505,'By Lot'!D1534:D1539,'By Lot'!D1551:D1556,'By Lot'!D1689:D1694)</f>
        <v>27</v>
      </c>
      <c r="E186" s="2">
        <f>SUM('By Lot'!E1364:E1369,'By Lot'!E1415:E1420,'By Lot'!E1432:E1437,'By Lot'!E1449:E1454,'By Lot'!E1466:E1471,'By Lot'!E1483:E1488,'By Lot'!E1500:E1505,'By Lot'!E1534:E1539,'By Lot'!E1551:E1556,'By Lot'!E1689:E1694)</f>
        <v>25</v>
      </c>
      <c r="F186" s="2">
        <f>SUM('By Lot'!F1364:F1369,'By Lot'!F1415:F1420,'By Lot'!F1432:F1437,'By Lot'!F1449:F1454,'By Lot'!F1466:F1471,'By Lot'!F1483:F1488,'By Lot'!F1500:F1505,'By Lot'!F1534:F1539,'By Lot'!F1551:F1556,'By Lot'!F1689:F1694)</f>
        <v>25</v>
      </c>
      <c r="G186" s="2">
        <f>SUM('By Lot'!G1364:G1369,'By Lot'!G1415:G1420,'By Lot'!G1432:G1437,'By Lot'!G1449:G1454,'By Lot'!G1466:G1471,'By Lot'!G1483:G1488,'By Lot'!G1500:G1505,'By Lot'!G1534:G1539,'By Lot'!G1551:G1556,'By Lot'!G1689:G1694)</f>
        <v>26</v>
      </c>
      <c r="H186" s="2">
        <f>SUM('By Lot'!H1364:H1369,'By Lot'!H1415:H1420,'By Lot'!H1432:H1437,'By Lot'!H1449:H1454,'By Lot'!H1466:H1471,'By Lot'!H1483:H1488,'By Lot'!H1500:H1505,'By Lot'!H1534:H1539,'By Lot'!H1551:H1556,'By Lot'!H1689:H1694)</f>
        <v>26</v>
      </c>
      <c r="I186" s="2">
        <f>SUM('By Lot'!I1364:I1369,'By Lot'!I1415:I1420,'By Lot'!I1432:I1437,'By Lot'!I1449:I1454,'By Lot'!I1466:I1471,'By Lot'!I1483:I1488,'By Lot'!I1500:I1505,'By Lot'!I1534:I1539,'By Lot'!I1551:I1556,'By Lot'!I1689:I1694)</f>
        <v>31</v>
      </c>
      <c r="J186" s="2">
        <f>SUM('By Lot'!J1364:J1369,'By Lot'!J1415:J1420,'By Lot'!J1432:J1437,'By Lot'!J1449:J1454,'By Lot'!J1466:J1471,'By Lot'!J1483:J1488,'By Lot'!J1500:J1505,'By Lot'!J1534:J1539,'By Lot'!J1551:J1556,'By Lot'!J1689:J1694)</f>
        <v>28</v>
      </c>
      <c r="K186" s="2">
        <f>SUM('By Lot'!K1364:K1369,'By Lot'!K1415:K1420,'By Lot'!K1432:K1437,'By Lot'!K1449:K1454,'By Lot'!K1466:K1471,'By Lot'!K1483:K1488,'By Lot'!K1500:K1505,'By Lot'!K1534:K1539,'By Lot'!K1551:K1556,'By Lot'!K1689:K1694)</f>
        <v>30</v>
      </c>
      <c r="L186" s="2">
        <f>SUM('By Lot'!L1364:L1369,'By Lot'!L1415:L1420,'By Lot'!L1432:L1437,'By Lot'!L1449:L1454,'By Lot'!L1466:L1471,'By Lot'!L1483:L1488,'By Lot'!L1500:L1505,'By Lot'!L1534:L1539,'By Lot'!L1551:L1556,'By Lot'!L1689:L1694)</f>
        <v>31</v>
      </c>
      <c r="M186" s="27">
        <f>SUM('By Lot'!M1364:M1369,'By Lot'!M1415:M1420,'By Lot'!M1432:M1437,'By Lot'!M1449:M1454,'By Lot'!M1466:M1471,'By Lot'!M1483:M1488,'By Lot'!M1500:M1505,'By Lot'!M1534:M1539,'By Lot'!M1551:M1556,'By Lot'!M1689:M1694)</f>
        <v>31</v>
      </c>
      <c r="N186" s="26">
        <f t="shared" si="63"/>
        <v>25</v>
      </c>
      <c r="O186" s="2">
        <f t="shared" si="64"/>
        <v>8</v>
      </c>
      <c r="P186" s="24">
        <f t="shared" si="65"/>
        <v>0.24242424242424243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18"/>
      <c r="B187" s="18" t="s">
        <v>34</v>
      </c>
      <c r="C187" s="18">
        <f>SUM('By Lot'!C1370,'By Lot'!C1421,'By Lot'!C1438,
'By Lot'!C1455,'By Lot'!C1472,'By Lot'!C1489,
'By Lot'!C1506,'By Lot'!C1540,'By Lot'!C1557,
'By Lot'!C1695)</f>
        <v>37</v>
      </c>
      <c r="D187" s="26">
        <f>SUM('By Lot'!D1370,'By Lot'!D1421,'By Lot'!D1438,'By Lot'!D1455,'By Lot'!D1472,'By Lot'!D1489,'By Lot'!D1506,'By Lot'!D1540,'By Lot'!D1557,'By Lot'!D1695)</f>
        <v>34</v>
      </c>
      <c r="E187" s="2">
        <f>SUM('By Lot'!E1370,'By Lot'!E1421,'By Lot'!E1438,'By Lot'!E1455,'By Lot'!E1472,'By Lot'!E1489,'By Lot'!E1506,'By Lot'!E1540,'By Lot'!E1557,'By Lot'!E1695)</f>
        <v>34</v>
      </c>
      <c r="F187" s="2">
        <f>SUM('By Lot'!F1370,'By Lot'!F1421,'By Lot'!F1438,'By Lot'!F1455,'By Lot'!F1472,'By Lot'!F1489,'By Lot'!F1506,'By Lot'!F1540,'By Lot'!F1557,'By Lot'!F1695)</f>
        <v>30</v>
      </c>
      <c r="G187" s="2">
        <f>SUM('By Lot'!G1370,'By Lot'!G1421,'By Lot'!G1438,'By Lot'!G1455,'By Lot'!G1472,'By Lot'!G1489,'By Lot'!G1506,'By Lot'!G1540,'By Lot'!G1557,'By Lot'!G1695)</f>
        <v>31</v>
      </c>
      <c r="H187" s="2">
        <f>SUM('By Lot'!H1370,'By Lot'!H1421,'By Lot'!H1438,'By Lot'!H1455,'By Lot'!H1472,'By Lot'!H1489,'By Lot'!H1506,'By Lot'!H1540,'By Lot'!H1557,'By Lot'!H1695)</f>
        <v>31</v>
      </c>
      <c r="I187" s="2">
        <f>SUM('By Lot'!I1370,'By Lot'!I1421,'By Lot'!I1438,'By Lot'!I1455,'By Lot'!I1472,'By Lot'!I1489,'By Lot'!I1506,'By Lot'!I1540,'By Lot'!I1557,'By Lot'!I1695)</f>
        <v>32</v>
      </c>
      <c r="J187" s="2">
        <f>SUM('By Lot'!J1370,'By Lot'!J1421,'By Lot'!J1438,'By Lot'!J1455,'By Lot'!J1472,'By Lot'!J1489,'By Lot'!J1506,'By Lot'!J1540,'By Lot'!J1557,'By Lot'!J1695)</f>
        <v>32</v>
      </c>
      <c r="K187" s="2">
        <f>SUM('By Lot'!K1370,'By Lot'!K1421,'By Lot'!K1438,'By Lot'!K1455,'By Lot'!K1472,'By Lot'!K1489,'By Lot'!K1506,'By Lot'!K1540,'By Lot'!K1557,'By Lot'!K1695)</f>
        <v>32</v>
      </c>
      <c r="L187" s="2">
        <f>SUM('By Lot'!L1370,'By Lot'!L1421,'By Lot'!L1438,'By Lot'!L1455,'By Lot'!L1472,'By Lot'!L1489,'By Lot'!L1506,'By Lot'!L1540,'By Lot'!L1557,'By Lot'!L1695)</f>
        <v>34</v>
      </c>
      <c r="M187" s="27">
        <f>SUM('By Lot'!M1370,'By Lot'!M1421,'By Lot'!M1438,'By Lot'!M1455,'By Lot'!M1472,'By Lot'!M1489,'By Lot'!M1506,'By Lot'!M1540,'By Lot'!M1557,'By Lot'!M1695)</f>
        <v>35</v>
      </c>
      <c r="N187" s="26">
        <f t="shared" si="63"/>
        <v>30</v>
      </c>
      <c r="O187" s="2">
        <f t="shared" si="64"/>
        <v>7</v>
      </c>
      <c r="P187" s="24">
        <f t="shared" si="65"/>
        <v>0.1891891891891892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18"/>
      <c r="B188" s="18" t="s">
        <v>35</v>
      </c>
      <c r="C188" s="18">
        <f>SUM('By Lot'!C1371,'By Lot'!C1422,'By Lot'!C1439,
'By Lot'!C1456,'By Lot'!C1473,'By Lot'!C1490,
'By Lot'!C1507,'By Lot'!C1541,'By Lot'!C1558,
'By Lot'!C1696)</f>
        <v>3</v>
      </c>
      <c r="D188" s="26">
        <f>SUM('By Lot'!D1371,'By Lot'!D1422,'By Lot'!D1439,'By Lot'!D1456,'By Lot'!D1473,'By Lot'!D1490,'By Lot'!D1507,'By Lot'!D1541,'By Lot'!D1558,'By Lot'!D1696)</f>
        <v>2</v>
      </c>
      <c r="E188" s="2">
        <f>SUM('By Lot'!E1371,'By Lot'!E1422,'By Lot'!E1439,'By Lot'!E1456,'By Lot'!E1473,'By Lot'!E1490,'By Lot'!E1507,'By Lot'!E1541,'By Lot'!E1558,'By Lot'!E1696)</f>
        <v>2</v>
      </c>
      <c r="F188" s="2">
        <f>SUM('By Lot'!F1371,'By Lot'!F1422,'By Lot'!F1439,'By Lot'!F1456,'By Lot'!F1473,'By Lot'!F1490,'By Lot'!F1507,'By Lot'!F1541,'By Lot'!F1558,'By Lot'!F1696)</f>
        <v>1</v>
      </c>
      <c r="G188" s="2">
        <f>SUM('By Lot'!G1371,'By Lot'!G1422,'By Lot'!G1439,'By Lot'!G1456,'By Lot'!G1473,'By Lot'!G1490,'By Lot'!G1507,'By Lot'!G1541,'By Lot'!G1558,'By Lot'!G1696)</f>
        <v>2</v>
      </c>
      <c r="H188" s="2">
        <f>SUM('By Lot'!H1371,'By Lot'!H1422,'By Lot'!H1439,'By Lot'!H1456,'By Lot'!H1473,'By Lot'!H1490,'By Lot'!H1507,'By Lot'!H1541,'By Lot'!H1558,'By Lot'!H1696)</f>
        <v>1</v>
      </c>
      <c r="I188" s="2">
        <f>SUM('By Lot'!I1371,'By Lot'!I1422,'By Lot'!I1439,'By Lot'!I1456,'By Lot'!I1473,'By Lot'!I1490,'By Lot'!I1507,'By Lot'!I1541,'By Lot'!I1558,'By Lot'!I1696)</f>
        <v>2</v>
      </c>
      <c r="J188" s="2">
        <f>SUM('By Lot'!J1371,'By Lot'!J1422,'By Lot'!J1439,'By Lot'!J1456,'By Lot'!J1473,'By Lot'!J1490,'By Lot'!J1507,'By Lot'!J1541,'By Lot'!J1558,'By Lot'!J1696)</f>
        <v>3</v>
      </c>
      <c r="K188" s="2">
        <f>SUM('By Lot'!K1371,'By Lot'!K1422,'By Lot'!K1439,'By Lot'!K1456,'By Lot'!K1473,'By Lot'!K1490,'By Lot'!K1507,'By Lot'!K1541,'By Lot'!K1558,'By Lot'!K1696)</f>
        <v>3</v>
      </c>
      <c r="L188" s="2">
        <f>SUM('By Lot'!L1371,'By Lot'!L1422,'By Lot'!L1439,'By Lot'!L1456,'By Lot'!L1473,'By Lot'!L1490,'By Lot'!L1507,'By Lot'!L1541,'By Lot'!L1558,'By Lot'!L1696)</f>
        <v>3</v>
      </c>
      <c r="M188" s="27">
        <f>SUM('By Lot'!M1371,'By Lot'!M1422,'By Lot'!M1439,'By Lot'!M1456,'By Lot'!M1473,'By Lot'!M1490,'By Lot'!M1507,'By Lot'!M1541,'By Lot'!M1558,'By Lot'!M1696)</f>
        <v>3</v>
      </c>
      <c r="N188" s="26">
        <f t="shared" si="63"/>
        <v>1</v>
      </c>
      <c r="O188" s="2">
        <f t="shared" si="64"/>
        <v>2</v>
      </c>
      <c r="P188" s="24">
        <f t="shared" si="65"/>
        <v>0.66666666666666663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18"/>
      <c r="B189" s="18" t="s">
        <v>36</v>
      </c>
      <c r="C189" s="18">
        <f>SUM('By Lot'!C1372,'By Lot'!C1423,'By Lot'!C1440,
'By Lot'!C1457,'By Lot'!C1474,'By Lot'!C1491,
'By Lot'!C1508,'By Lot'!C1542,'By Lot'!C1559,
'By Lot'!C1697)</f>
        <v>12</v>
      </c>
      <c r="D189" s="26">
        <f>SUM('By Lot'!D1372,'By Lot'!D1423,'By Lot'!D1440,'By Lot'!D1457,'By Lot'!D1474,'By Lot'!D1491,'By Lot'!D1508,'By Lot'!D1542,'By Lot'!D1559,'By Lot'!D1697)</f>
        <v>7</v>
      </c>
      <c r="E189" s="2">
        <f>SUM('By Lot'!E1372,'By Lot'!E1423,'By Lot'!E1440,'By Lot'!E1457,'By Lot'!E1474,'By Lot'!E1491,'By Lot'!E1508,'By Lot'!E1542,'By Lot'!E1559,'By Lot'!E1697)</f>
        <v>7</v>
      </c>
      <c r="F189" s="2">
        <f>SUM('By Lot'!F1372,'By Lot'!F1423,'By Lot'!F1440,'By Lot'!F1457,'By Lot'!F1474,'By Lot'!F1491,'By Lot'!F1508,'By Lot'!F1542,'By Lot'!F1559,'By Lot'!F1697)</f>
        <v>10</v>
      </c>
      <c r="G189" s="2">
        <f>SUM('By Lot'!G1372,'By Lot'!G1423,'By Lot'!G1440,'By Lot'!G1457,'By Lot'!G1474,'By Lot'!G1491,'By Lot'!G1508,'By Lot'!G1542,'By Lot'!G1559,'By Lot'!G1697)</f>
        <v>9</v>
      </c>
      <c r="H189" s="2">
        <f>SUM('By Lot'!H1372,'By Lot'!H1423,'By Lot'!H1440,'By Lot'!H1457,'By Lot'!H1474,'By Lot'!H1491,'By Lot'!H1508,'By Lot'!H1542,'By Lot'!H1559,'By Lot'!H1697)</f>
        <v>5</v>
      </c>
      <c r="I189" s="2">
        <f>SUM('By Lot'!I1372,'By Lot'!I1423,'By Lot'!I1440,'By Lot'!I1457,'By Lot'!I1474,'By Lot'!I1491,'By Lot'!I1508,'By Lot'!I1542,'By Lot'!I1559,'By Lot'!I1697)</f>
        <v>9</v>
      </c>
      <c r="J189" s="2">
        <f>SUM('By Lot'!J1372,'By Lot'!J1423,'By Lot'!J1440,'By Lot'!J1457,'By Lot'!J1474,'By Lot'!J1491,'By Lot'!J1508,'By Lot'!J1542,'By Lot'!J1559,'By Lot'!J1697)</f>
        <v>10</v>
      </c>
      <c r="K189" s="2">
        <f>SUM('By Lot'!K1372,'By Lot'!K1423,'By Lot'!K1440,'By Lot'!K1457,'By Lot'!K1474,'By Lot'!K1491,'By Lot'!K1508,'By Lot'!K1542,'By Lot'!K1559,'By Lot'!K1697)</f>
        <v>11</v>
      </c>
      <c r="L189" s="2">
        <f>SUM('By Lot'!L1372,'By Lot'!L1423,'By Lot'!L1440,'By Lot'!L1457,'By Lot'!L1474,'By Lot'!L1491,'By Lot'!L1508,'By Lot'!L1542,'By Lot'!L1559,'By Lot'!L1697)</f>
        <v>11</v>
      </c>
      <c r="M189" s="27">
        <f>SUM('By Lot'!M1372,'By Lot'!M1423,'By Lot'!M1440,'By Lot'!M1457,'By Lot'!M1474,'By Lot'!M1491,'By Lot'!M1508,'By Lot'!M1542,'By Lot'!M1559,'By Lot'!M1697)</f>
        <v>11</v>
      </c>
      <c r="N189" s="26">
        <f t="shared" si="63"/>
        <v>5</v>
      </c>
      <c r="O189" s="2">
        <f t="shared" si="64"/>
        <v>7</v>
      </c>
      <c r="P189" s="24">
        <f t="shared" si="65"/>
        <v>0.58333333333333337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18"/>
      <c r="B190" s="18" t="s">
        <v>37</v>
      </c>
      <c r="C190" s="18">
        <f>SUM('By Lot'!C1373,'By Lot'!C1424,'By Lot'!C1441,
'By Lot'!C1458,'By Lot'!C1475,'By Lot'!C1492,
'By Lot'!C1509,'By Lot'!C1543,'By Lot'!C1560,
'By Lot'!C1698)</f>
        <v>3</v>
      </c>
      <c r="D190" s="26">
        <f>SUM('By Lot'!D1373,'By Lot'!D1424,'By Lot'!D1441,'By Lot'!D1458,'By Lot'!D1475,'By Lot'!D1492,'By Lot'!D1509,'By Lot'!D1543,'By Lot'!D1560,'By Lot'!D1698)</f>
        <v>2</v>
      </c>
      <c r="E190" s="2">
        <f>SUM('By Lot'!E1373,'By Lot'!E1424,'By Lot'!E1441,'By Lot'!E1458,'By Lot'!E1475,'By Lot'!E1492,'By Lot'!E1509,'By Lot'!E1543,'By Lot'!E1560,'By Lot'!E1698)</f>
        <v>2</v>
      </c>
      <c r="F190" s="2">
        <f>SUM('By Lot'!F1373,'By Lot'!F1424,'By Lot'!F1441,'By Lot'!F1458,'By Lot'!F1475,'By Lot'!F1492,'By Lot'!F1509,'By Lot'!F1543,'By Lot'!F1560,'By Lot'!F1698)</f>
        <v>2</v>
      </c>
      <c r="G190" s="2">
        <f>SUM('By Lot'!G1373,'By Lot'!G1424,'By Lot'!G1441,'By Lot'!G1458,'By Lot'!G1475,'By Lot'!G1492,'By Lot'!G1509,'By Lot'!G1543,'By Lot'!G1560,'By Lot'!G1698)</f>
        <v>3</v>
      </c>
      <c r="H190" s="2">
        <f>SUM('By Lot'!H1373,'By Lot'!H1424,'By Lot'!H1441,'By Lot'!H1458,'By Lot'!H1475,'By Lot'!H1492,'By Lot'!H1509,'By Lot'!H1543,'By Lot'!H1560,'By Lot'!H1698)</f>
        <v>3</v>
      </c>
      <c r="I190" s="2">
        <f>SUM('By Lot'!I1373,'By Lot'!I1424,'By Lot'!I1441,'By Lot'!I1458,'By Lot'!I1475,'By Lot'!I1492,'By Lot'!I1509,'By Lot'!I1543,'By Lot'!I1560,'By Lot'!I1698)</f>
        <v>3</v>
      </c>
      <c r="J190" s="2">
        <f>SUM('By Lot'!J1373,'By Lot'!J1424,'By Lot'!J1441,'By Lot'!J1458,'By Lot'!J1475,'By Lot'!J1492,'By Lot'!J1509,'By Lot'!J1543,'By Lot'!J1560,'By Lot'!J1698)</f>
        <v>3</v>
      </c>
      <c r="K190" s="2">
        <f>SUM('By Lot'!K1373,'By Lot'!K1424,'By Lot'!K1441,'By Lot'!K1458,'By Lot'!K1475,'By Lot'!K1492,'By Lot'!K1509,'By Lot'!K1543,'By Lot'!K1560,'By Lot'!K1698)</f>
        <v>3</v>
      </c>
      <c r="L190" s="2">
        <f>SUM('By Lot'!L1373,'By Lot'!L1424,'By Lot'!L1441,'By Lot'!L1458,'By Lot'!L1475,'By Lot'!L1492,'By Lot'!L1509,'By Lot'!L1543,'By Lot'!L1560,'By Lot'!L1698)</f>
        <v>3</v>
      </c>
      <c r="M190" s="27">
        <f>SUM('By Lot'!M1373,'By Lot'!M1424,'By Lot'!M1441,'By Lot'!M1458,'By Lot'!M1475,'By Lot'!M1492,'By Lot'!M1509,'By Lot'!M1543,'By Lot'!M1560,'By Lot'!M1698)</f>
        <v>3</v>
      </c>
      <c r="N190" s="26">
        <f t="shared" si="63"/>
        <v>2</v>
      </c>
      <c r="O190" s="2">
        <f t="shared" si="64"/>
        <v>1</v>
      </c>
      <c r="P190" s="24">
        <f t="shared" si="65"/>
        <v>0.33333333333333331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32"/>
      <c r="B191" s="33" t="s">
        <v>38</v>
      </c>
      <c r="C191" s="33">
        <f t="shared" ref="C191:M191" si="66">SUM(C181:C190)</f>
        <v>294</v>
      </c>
      <c r="D191" s="70">
        <f t="shared" si="66"/>
        <v>175</v>
      </c>
      <c r="E191" s="71">
        <f t="shared" si="66"/>
        <v>166</v>
      </c>
      <c r="F191" s="71">
        <f t="shared" si="66"/>
        <v>142</v>
      </c>
      <c r="G191" s="71">
        <f t="shared" si="66"/>
        <v>146</v>
      </c>
      <c r="H191" s="71">
        <f t="shared" si="66"/>
        <v>140</v>
      </c>
      <c r="I191" s="71">
        <f t="shared" si="66"/>
        <v>153</v>
      </c>
      <c r="J191" s="71">
        <f t="shared" si="66"/>
        <v>150</v>
      </c>
      <c r="K191" s="71">
        <f t="shared" si="66"/>
        <v>162</v>
      </c>
      <c r="L191" s="71">
        <f t="shared" si="66"/>
        <v>190</v>
      </c>
      <c r="M191" s="93">
        <f t="shared" si="66"/>
        <v>215</v>
      </c>
      <c r="N191" s="70">
        <f t="shared" si="63"/>
        <v>140</v>
      </c>
      <c r="O191" s="71">
        <f t="shared" si="64"/>
        <v>154</v>
      </c>
      <c r="P191" s="40">
        <f t="shared" si="65"/>
        <v>0.52380952380952384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66" t="s">
        <v>58</v>
      </c>
      <c r="B192" s="18" t="s">
        <v>23</v>
      </c>
      <c r="C192" s="18">
        <f>SUM('By Lot'!C2112,'By Lot'!C2129,'By Lot'!C2147,'By Lot'!C2164,'By Lot'!C2181)</f>
        <v>0</v>
      </c>
      <c r="D192" s="26">
        <f>SUM('By Lot'!D2112,'By Lot'!D2129,'By Lot'!D2147,'By Lot'!D2164,'By Lot'!D2181)</f>
        <v>0</v>
      </c>
      <c r="E192" s="2">
        <f>SUM('By Lot'!E2112,'By Lot'!E2129,'By Lot'!E2147,'By Lot'!E2164,'By Lot'!E2181)</f>
        <v>0</v>
      </c>
      <c r="F192" s="2">
        <f>SUM('By Lot'!F2112,'By Lot'!F2129,'By Lot'!F2147,'By Lot'!F2164,'By Lot'!F2181)</f>
        <v>0</v>
      </c>
      <c r="G192" s="2">
        <f>SUM('By Lot'!G2112,'By Lot'!G2129,'By Lot'!G2147,'By Lot'!G2164,'By Lot'!G2181)</f>
        <v>0</v>
      </c>
      <c r="H192" s="2">
        <f>SUM('By Lot'!H2112,'By Lot'!H2129,'By Lot'!H2147,'By Lot'!H2164,'By Lot'!H2181)</f>
        <v>0</v>
      </c>
      <c r="I192" s="2">
        <f>SUM('By Lot'!I2112,'By Lot'!I2129,'By Lot'!I2147,'By Lot'!I2164,'By Lot'!I2181)</f>
        <v>0</v>
      </c>
      <c r="J192" s="2">
        <f>SUM('By Lot'!J2112,'By Lot'!J2129,'By Lot'!J2147,'By Lot'!J2164,'By Lot'!J2181)</f>
        <v>0</v>
      </c>
      <c r="K192" s="2">
        <f>SUM('By Lot'!K2112,'By Lot'!K2129,'By Lot'!K2147,'By Lot'!K2164,'By Lot'!K2181)</f>
        <v>0</v>
      </c>
      <c r="L192" s="2">
        <f>SUM('By Lot'!L2112,'By Lot'!L2129,'By Lot'!L2147,'By Lot'!L2164,'By Lot'!L2181)</f>
        <v>0</v>
      </c>
      <c r="M192" s="27">
        <f>SUM('By Lot'!M2112,'By Lot'!M2129,'By Lot'!M2147,'By Lot'!M2164,'By Lot'!M2181)</f>
        <v>0</v>
      </c>
      <c r="N192" s="26">
        <f t="shared" si="63"/>
        <v>0</v>
      </c>
      <c r="O192" s="2">
        <f t="shared" si="64"/>
        <v>0</v>
      </c>
      <c r="P192" s="24">
        <v>0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18" t="s">
        <v>43</v>
      </c>
      <c r="B193" s="18" t="s">
        <v>25</v>
      </c>
      <c r="C193" s="18">
        <f>SUM('By Lot'!C2113,'By Lot'!C2130,'By Lot'!C2148,'By Lot'!C2165,'By Lot'!C2182)</f>
        <v>63</v>
      </c>
      <c r="D193" s="26">
        <f>SUM('By Lot'!D2113,'By Lot'!D2130,'By Lot'!D2148,'By Lot'!D2165,'By Lot'!D2182)</f>
        <v>63</v>
      </c>
      <c r="E193" s="2">
        <f>SUM('By Lot'!E2113,'By Lot'!E2130,'By Lot'!E2148,'By Lot'!E2165,'By Lot'!E2182)</f>
        <v>63</v>
      </c>
      <c r="F193" s="2">
        <f>SUM('By Lot'!F2113,'By Lot'!F2130,'By Lot'!F2148,'By Lot'!F2165,'By Lot'!F2182)</f>
        <v>63</v>
      </c>
      <c r="G193" s="2">
        <f>SUM('By Lot'!G2113,'By Lot'!G2130,'By Lot'!G2148,'By Lot'!G2165,'By Lot'!G2182)</f>
        <v>63</v>
      </c>
      <c r="H193" s="2">
        <f>SUM('By Lot'!H2113,'By Lot'!H2130,'By Lot'!H2148,'By Lot'!H2165,'By Lot'!H2182)</f>
        <v>63</v>
      </c>
      <c r="I193" s="2">
        <f>SUM('By Lot'!I2113,'By Lot'!I2130,'By Lot'!I2148,'By Lot'!I2165,'By Lot'!I2182)</f>
        <v>62</v>
      </c>
      <c r="J193" s="2">
        <f>SUM('By Lot'!J2113,'By Lot'!J2130,'By Lot'!J2148,'By Lot'!J2165,'By Lot'!J2182)</f>
        <v>62</v>
      </c>
      <c r="K193" s="2">
        <f>SUM('By Lot'!K2113,'By Lot'!K2130,'By Lot'!K2148,'By Lot'!K2165,'By Lot'!K2182)</f>
        <v>62</v>
      </c>
      <c r="L193" s="2">
        <f>SUM('By Lot'!L2113,'By Lot'!L2130,'By Lot'!L2148,'By Lot'!L2165,'By Lot'!L2182)</f>
        <v>62</v>
      </c>
      <c r="M193" s="27">
        <f>SUM('By Lot'!M2113,'By Lot'!M2130,'By Lot'!M2148,'By Lot'!M2165,'By Lot'!M2182)</f>
        <v>63</v>
      </c>
      <c r="N193" s="26">
        <f t="shared" si="63"/>
        <v>62</v>
      </c>
      <c r="O193" s="2">
        <f t="shared" si="64"/>
        <v>1</v>
      </c>
      <c r="P193" s="24">
        <f t="shared" ref="P193:P199" si="67">O193/C193</f>
        <v>1.5873015873015872E-2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18" t="s">
        <v>89</v>
      </c>
      <c r="B194" s="18" t="s">
        <v>30</v>
      </c>
      <c r="C194" s="18">
        <f>SUM('By Lot'!C2131,'By Lot'!C2149,'By Lot'!C2166)</f>
        <v>1166</v>
      </c>
      <c r="D194" s="26">
        <f>SUM('By Lot'!D2131,'By Lot'!D2149,'By Lot'!D2166)</f>
        <v>1044</v>
      </c>
      <c r="E194" s="2">
        <f>SUM('By Lot'!E2131,'By Lot'!E2149,'By Lot'!E2166)</f>
        <v>1006</v>
      </c>
      <c r="F194" s="2">
        <f>SUM('By Lot'!F2131,'By Lot'!F2149,'By Lot'!F2166)</f>
        <v>934</v>
      </c>
      <c r="G194" s="2">
        <f>SUM('By Lot'!G2131,'By Lot'!G2149,'By Lot'!G2166)</f>
        <v>966</v>
      </c>
      <c r="H194" s="2">
        <f>SUM('By Lot'!H2131,'By Lot'!H2149,'By Lot'!H2166)</f>
        <v>969</v>
      </c>
      <c r="I194" s="23">
        <f>SUM('By Lot'!I2131,'By Lot'!I2149,'By Lot'!I2166)</f>
        <v>1020</v>
      </c>
      <c r="J194" s="23">
        <f>SUM('By Lot'!J2131,'By Lot'!J2149,'By Lot'!J2166)</f>
        <v>1015</v>
      </c>
      <c r="K194" s="23">
        <f>SUM('By Lot'!K2131,'By Lot'!K2149,'By Lot'!K2166)</f>
        <v>1019</v>
      </c>
      <c r="L194" s="23">
        <f>SUM('By Lot'!L2131,'By Lot'!L2149,'By Lot'!L2166)</f>
        <v>1056</v>
      </c>
      <c r="M194" s="25">
        <f>SUM('By Lot'!M2131,'By Lot'!M2149,'By Lot'!M2166)</f>
        <v>1088</v>
      </c>
      <c r="N194" s="26">
        <f t="shared" si="63"/>
        <v>934</v>
      </c>
      <c r="O194" s="2">
        <f t="shared" si="64"/>
        <v>232</v>
      </c>
      <c r="P194" s="24">
        <f t="shared" si="67"/>
        <v>0.19897084048027444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18"/>
      <c r="B195" s="18" t="s">
        <v>27</v>
      </c>
      <c r="C195" s="18">
        <f>SUM('By Lot'!C2114,'By Lot'!C2132,'By Lot'!C2183)</f>
        <v>257</v>
      </c>
      <c r="D195" s="26">
        <f>SUM('By Lot'!D2114,'By Lot'!D2132,'By Lot'!D2183)</f>
        <v>247</v>
      </c>
      <c r="E195" s="2">
        <f>SUM('By Lot'!E2114,'By Lot'!E2132,'By Lot'!E2183)</f>
        <v>347</v>
      </c>
      <c r="F195" s="2">
        <f>SUM('By Lot'!F2114,'By Lot'!F2132,'By Lot'!F2183)</f>
        <v>247</v>
      </c>
      <c r="G195" s="2">
        <f>SUM('By Lot'!G2114,'By Lot'!G2132,'By Lot'!G2183)</f>
        <v>247</v>
      </c>
      <c r="H195" s="2">
        <f>SUM('By Lot'!H2114,'By Lot'!H2131,'By Lot'!H2183)</f>
        <v>464</v>
      </c>
      <c r="I195" s="2">
        <f>SUM('By Lot'!I2114,'By Lot'!I2132,'By Lot'!I2183)</f>
        <v>247</v>
      </c>
      <c r="J195" s="2">
        <f>SUM('By Lot'!J2114,'By Lot'!J2132,'By Lot'!J2183)</f>
        <v>247</v>
      </c>
      <c r="K195" s="2">
        <f>SUM('By Lot'!K2114,'By Lot'!K2132,'By Lot'!K2183)</f>
        <v>252</v>
      </c>
      <c r="L195" s="2">
        <f>SUM('By Lot'!L2114,'By Lot'!L2132,'By Lot'!L2183)</f>
        <v>252</v>
      </c>
      <c r="M195" s="27">
        <f>SUM('By Lot'!M2114,'By Lot'!M2132,'By Lot'!M2183)</f>
        <v>252</v>
      </c>
      <c r="N195" s="26">
        <f t="shared" si="63"/>
        <v>247</v>
      </c>
      <c r="O195" s="2">
        <f t="shared" si="64"/>
        <v>10</v>
      </c>
      <c r="P195" s="24">
        <f t="shared" si="67"/>
        <v>3.8910505836575876E-2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18"/>
      <c r="B196" s="18" t="s">
        <v>32</v>
      </c>
      <c r="C196" s="18">
        <f>SUM('By Lot'!C2117,'By Lot'!C2135,'By Lot'!C2152,'By Lot'!C2169,'By Lot'!C2186)</f>
        <v>8</v>
      </c>
      <c r="D196" s="26">
        <f>SUM('By Lot'!D2117,'By Lot'!D2135,'By Lot'!D2152,'By Lot'!D2169,'By Lot'!D2186)</f>
        <v>7</v>
      </c>
      <c r="E196" s="2">
        <f>SUM('By Lot'!E2117,'By Lot'!E2135,'By Lot'!E2152,'By Lot'!E2169,'By Lot'!E2186)</f>
        <v>7</v>
      </c>
      <c r="F196" s="2">
        <f>SUM('By Lot'!F2117,'By Lot'!F2135,'By Lot'!F2152,'By Lot'!F2169,'By Lot'!F2186)</f>
        <v>7</v>
      </c>
      <c r="G196" s="2">
        <f>SUM('By Lot'!G2117,'By Lot'!G2135,'By Lot'!G2152,'By Lot'!G2169,'By Lot'!G2186)</f>
        <v>7</v>
      </c>
      <c r="H196" s="2">
        <f>SUM('By Lot'!H2117,'By Lot'!H2135,'By Lot'!H2152,'By Lot'!H2169,'By Lot'!H2186)</f>
        <v>7</v>
      </c>
      <c r="I196" s="2">
        <f>SUM('By Lot'!I2117,'By Lot'!I2135,'By Lot'!I2152,'By Lot'!I2169,'By Lot'!I2186)</f>
        <v>2</v>
      </c>
      <c r="J196" s="2">
        <f>SUM('By Lot'!J2117,'By Lot'!J2135,'By Lot'!J2152,'By Lot'!J2169,'By Lot'!J2186)</f>
        <v>2</v>
      </c>
      <c r="K196" s="2">
        <f>SUM('By Lot'!K2117,'By Lot'!K2135,'By Lot'!K2152,'By Lot'!K2169,'By Lot'!K2186)</f>
        <v>3</v>
      </c>
      <c r="L196" s="2">
        <f>SUM('By Lot'!L2117,'By Lot'!L2135,'By Lot'!L2152,'By Lot'!L2169,'By Lot'!L2186)</f>
        <v>4</v>
      </c>
      <c r="M196" s="27">
        <f>SUM('By Lot'!M2117,'By Lot'!M2135,'By Lot'!M2152,'By Lot'!M2169,'By Lot'!M2186)</f>
        <v>4</v>
      </c>
      <c r="N196" s="26">
        <f t="shared" si="63"/>
        <v>2</v>
      </c>
      <c r="O196" s="2">
        <f t="shared" si="64"/>
        <v>6</v>
      </c>
      <c r="P196" s="24">
        <f t="shared" si="67"/>
        <v>0.75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18"/>
      <c r="B197" s="18" t="s">
        <v>33</v>
      </c>
      <c r="C197" s="18">
        <f>SUM('By Lot'!C2118:C2123,'By Lot'!C2136:C2141,'By Lot'!C2153:C2158,'By Lot'!C2170:C2175,'By Lot'!C2187:C2192)</f>
        <v>23</v>
      </c>
      <c r="D197" s="26">
        <f>SUM('By Lot'!D2118:D2123,'By Lot'!D2136:D2141,'By Lot'!D2153:D2158,'By Lot'!D2170:D2175,'By Lot'!D2187:D2192)</f>
        <v>19</v>
      </c>
      <c r="E197" s="2">
        <f>SUM('By Lot'!E2118:E2123,'By Lot'!E2136:E2141,'By Lot'!E2153:E2158,'By Lot'!E2170:E2175,'By Lot'!E2187:E2192)</f>
        <v>17</v>
      </c>
      <c r="F197" s="2">
        <f>SUM('By Lot'!F2118:F2123,'By Lot'!F2136:F2141,'By Lot'!F2153:F2158,'By Lot'!F2170:F2175,'By Lot'!F2187:F2192)</f>
        <v>19</v>
      </c>
      <c r="G197" s="2">
        <f>SUM('By Lot'!G2118:G2123,'By Lot'!G2136:G2141,'By Lot'!G2153:G2158,'By Lot'!G2170:G2175,'By Lot'!G2187:G2192)</f>
        <v>18</v>
      </c>
      <c r="H197" s="2">
        <f>SUM('By Lot'!H2118:H2123,'By Lot'!H2136:H2141,'By Lot'!H2153:H2158,'By Lot'!H2170:H2175,'By Lot'!H2187:H2192)</f>
        <v>17</v>
      </c>
      <c r="I197" s="2">
        <f>SUM('By Lot'!I2118:I2123,'By Lot'!I2136:I2141,'By Lot'!I2153:I2158,'By Lot'!I2170:I2175,'By Lot'!I2187:I2192)</f>
        <v>19</v>
      </c>
      <c r="J197" s="2">
        <f>SUM('By Lot'!J2118:J2123,'By Lot'!J2136:J2141,'By Lot'!J2153:J2158,'By Lot'!J2170:J2175,'By Lot'!J2187:J2192)</f>
        <v>15</v>
      </c>
      <c r="K197" s="2">
        <f>SUM('By Lot'!K2118:K2123,'By Lot'!K2136:K2141,'By Lot'!K2153:K2158,'By Lot'!K2170:K2175,'By Lot'!K2187:K2192)</f>
        <v>18</v>
      </c>
      <c r="L197" s="2">
        <f>SUM('By Lot'!L2118:L2123,'By Lot'!L2136:L2141,'By Lot'!L2153:L2158,'By Lot'!L2170:L2175,'By Lot'!L2187:L2192)</f>
        <v>16</v>
      </c>
      <c r="M197" s="27">
        <f>SUM('By Lot'!M2118:M2123,'By Lot'!M2136:M2141,'By Lot'!M2153:M2158,'By Lot'!M2170:M2175,'By Lot'!M2187:M2192)</f>
        <v>21</v>
      </c>
      <c r="N197" s="26">
        <f t="shared" si="63"/>
        <v>15</v>
      </c>
      <c r="O197" s="2">
        <f t="shared" si="64"/>
        <v>8</v>
      </c>
      <c r="P197" s="24">
        <f t="shared" si="67"/>
        <v>0.34782608695652173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18"/>
      <c r="B198" s="18" t="s">
        <v>34</v>
      </c>
      <c r="C198" s="18">
        <f>SUM('By Lot'!C2124,'By Lot'!C2142,'By Lot'!C2159,'By Lot'!C2176,'By Lot'!C2193)</f>
        <v>12</v>
      </c>
      <c r="D198" s="26">
        <f>SUM('By Lot'!D2124,'By Lot'!D2142,'By Lot'!D2159,'By Lot'!D2176,'By Lot'!D2193)</f>
        <v>0</v>
      </c>
      <c r="E198" s="2">
        <f>SUM('By Lot'!E2124,'By Lot'!E2142,'By Lot'!E2159,'By Lot'!E2176,'By Lot'!E2193)</f>
        <v>7</v>
      </c>
      <c r="F198" s="2">
        <f>SUM('By Lot'!F2124,'By Lot'!F2142,'By Lot'!F2159,'By Lot'!F2176,'By Lot'!F2193)</f>
        <v>6</v>
      </c>
      <c r="G198" s="2">
        <f>SUM('By Lot'!G2124,'By Lot'!G2142,'By Lot'!G2159,'By Lot'!G2176,'By Lot'!G2193)</f>
        <v>5</v>
      </c>
      <c r="H198" s="2">
        <f>SUM('By Lot'!H2124,'By Lot'!H2142,'By Lot'!H2159,'By Lot'!H2176,'By Lot'!H2193)</f>
        <v>10</v>
      </c>
      <c r="I198" s="2">
        <f>SUM('By Lot'!I2124,'By Lot'!I2142,'By Lot'!I2159,'By Lot'!I2176,'By Lot'!I2193)</f>
        <v>9</v>
      </c>
      <c r="J198" s="2">
        <f>SUM('By Lot'!J2124,'By Lot'!J2142,'By Lot'!J2159,'By Lot'!J2176,'By Lot'!J2193)</f>
        <v>9</v>
      </c>
      <c r="K198" s="2">
        <f>SUM('By Lot'!K2124,'By Lot'!K2142,'By Lot'!K2159,'By Lot'!K2176,'By Lot'!K2193)</f>
        <v>10</v>
      </c>
      <c r="L198" s="2">
        <f>SUM('By Lot'!L2124,'By Lot'!L2142,'By Lot'!L2159,'By Lot'!L2176,'By Lot'!L2193)</f>
        <v>12</v>
      </c>
      <c r="M198" s="27">
        <f>SUM('By Lot'!M2124,'By Lot'!M2142,'By Lot'!M2159,'By Lot'!M2176,'By Lot'!M2193)</f>
        <v>12</v>
      </c>
      <c r="N198" s="26">
        <f t="shared" si="63"/>
        <v>0</v>
      </c>
      <c r="O198" s="2">
        <f t="shared" si="64"/>
        <v>12</v>
      </c>
      <c r="P198" s="24">
        <f t="shared" si="67"/>
        <v>1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18"/>
      <c r="B199" s="18" t="s">
        <v>35</v>
      </c>
      <c r="C199" s="18">
        <f>SUM('By Lot'!C2125,'By Lot'!C2143,'By Lot'!C2160,'By Lot'!C2177,'By Lot'!C2194)</f>
        <v>11</v>
      </c>
      <c r="D199" s="26">
        <f>SUM('By Lot'!D2125,'By Lot'!D2143,'By Lot'!D2160,'By Lot'!D2177,'By Lot'!D2194)</f>
        <v>5</v>
      </c>
      <c r="E199" s="2">
        <f>SUM('By Lot'!E2125,'By Lot'!E2143,'By Lot'!E2160,'By Lot'!E2177,'By Lot'!E2194)</f>
        <v>5</v>
      </c>
      <c r="F199" s="2">
        <f>SUM('By Lot'!F2125,'By Lot'!F2143,'By Lot'!F2160,'By Lot'!F2177,'By Lot'!F2194)</f>
        <v>5</v>
      </c>
      <c r="G199" s="2">
        <f>SUM('By Lot'!G2125,'By Lot'!G2143,'By Lot'!G2160,'By Lot'!G2177,'By Lot'!G2194)</f>
        <v>5</v>
      </c>
      <c r="H199" s="2">
        <f>SUM('By Lot'!H2125,'By Lot'!H2143,'By Lot'!H2160,'By Lot'!H2177,'By Lot'!H2194)</f>
        <v>5</v>
      </c>
      <c r="I199" s="2">
        <f>SUM('By Lot'!I2125,'By Lot'!I2143,'By Lot'!I2160,'By Lot'!I2177,'By Lot'!I2194)</f>
        <v>6</v>
      </c>
      <c r="J199" s="2">
        <f>SUM('By Lot'!J2125,'By Lot'!J2143,'By Lot'!J2160,'By Lot'!J2177,'By Lot'!J2194)</f>
        <v>5</v>
      </c>
      <c r="K199" s="2">
        <f>SUM('By Lot'!K2125,'By Lot'!K2143,'By Lot'!K2160,'By Lot'!K2177,'By Lot'!K2194)</f>
        <v>4</v>
      </c>
      <c r="L199" s="2">
        <f>SUM('By Lot'!L2125,'By Lot'!L2143,'By Lot'!L2160,'By Lot'!L2177,'By Lot'!L2194)</f>
        <v>5</v>
      </c>
      <c r="M199" s="27">
        <f>SUM('By Lot'!M2125,'By Lot'!M2143,'By Lot'!M2160,'By Lot'!M2177,'By Lot'!M2194)</f>
        <v>5</v>
      </c>
      <c r="N199" s="26">
        <f t="shared" si="63"/>
        <v>4</v>
      </c>
      <c r="O199" s="2">
        <f t="shared" si="64"/>
        <v>7</v>
      </c>
      <c r="P199" s="24">
        <f t="shared" si="67"/>
        <v>0.63636363636363635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18"/>
      <c r="B200" s="18" t="s">
        <v>36</v>
      </c>
      <c r="C200" s="18">
        <f>SUM('By Lot'!C2126,'By Lot'!C2144,'By Lot'!C2161,'By Lot'!C2178,'By Lot'!C2195)</f>
        <v>0</v>
      </c>
      <c r="D200" s="26">
        <f>SUM('By Lot'!D2126,'By Lot'!D2144,'By Lot'!D2161,'By Lot'!D2178,'By Lot'!D2195)</f>
        <v>0</v>
      </c>
      <c r="E200" s="2">
        <f>SUM('By Lot'!E2126,'By Lot'!E2144,'By Lot'!E2161,'By Lot'!E2178,'By Lot'!E2195)</f>
        <v>0</v>
      </c>
      <c r="F200" s="2">
        <f>SUM('By Lot'!F2126,'By Lot'!F2144,'By Lot'!F2161,'By Lot'!F2178,'By Lot'!F2195)</f>
        <v>0</v>
      </c>
      <c r="G200" s="2">
        <f>SUM('By Lot'!G2126,'By Lot'!G2144,'By Lot'!G2161,'By Lot'!G2178,'By Lot'!G2195)</f>
        <v>0</v>
      </c>
      <c r="H200" s="2">
        <f>SUM('By Lot'!H2126,'By Lot'!H2144,'By Lot'!H2161,'By Lot'!H2178,'By Lot'!H2195)</f>
        <v>0</v>
      </c>
      <c r="I200" s="2">
        <f>SUM('By Lot'!I2126,'By Lot'!I2144,'By Lot'!I2161,'By Lot'!I2178,'By Lot'!I2195)</f>
        <v>0</v>
      </c>
      <c r="J200" s="2">
        <f>SUM('By Lot'!J2126,'By Lot'!J2144,'By Lot'!J2161,'By Lot'!J2178,'By Lot'!J2195)</f>
        <v>0</v>
      </c>
      <c r="K200" s="2">
        <f>SUM('By Lot'!K2126,'By Lot'!K2144,'By Lot'!K2161,'By Lot'!K2178,'By Lot'!K2195)</f>
        <v>0</v>
      </c>
      <c r="L200" s="2">
        <f>SUM('By Lot'!L2126,'By Lot'!L2144,'By Lot'!L2161,'By Lot'!L2178,'By Lot'!L2195)</f>
        <v>0</v>
      </c>
      <c r="M200" s="27">
        <f>SUM('By Lot'!M2126,'By Lot'!M2144,'By Lot'!M2161,'By Lot'!M2178,'By Lot'!M2195)</f>
        <v>0</v>
      </c>
      <c r="N200" s="26">
        <f t="shared" si="63"/>
        <v>0</v>
      </c>
      <c r="O200" s="2">
        <f t="shared" si="64"/>
        <v>0</v>
      </c>
      <c r="P200" s="24">
        <v>0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18"/>
      <c r="B201" s="18" t="s">
        <v>37</v>
      </c>
      <c r="C201" s="18">
        <f>SUM('By Lot'!C2127,'By Lot'!C2145,'By Lot'!C2162,'By Lot'!C2179,'By Lot'!C2196)</f>
        <v>2</v>
      </c>
      <c r="D201" s="26">
        <f>SUM('By Lot'!D2127,'By Lot'!D2145,'By Lot'!D2162,'By Lot'!D2179,'By Lot'!D2196)</f>
        <v>1</v>
      </c>
      <c r="E201" s="2">
        <f>SUM('By Lot'!E2127,'By Lot'!E2145,'By Lot'!E2162,'By Lot'!E2179,'By Lot'!E2196)</f>
        <v>1</v>
      </c>
      <c r="F201" s="2">
        <f>SUM('By Lot'!F2127,'By Lot'!F2145,'By Lot'!F2162,'By Lot'!F2179,'By Lot'!F2196)</f>
        <v>1</v>
      </c>
      <c r="G201" s="2">
        <f>SUM('By Lot'!G2127,'By Lot'!G2145,'By Lot'!G2162,'By Lot'!G2179,'By Lot'!G2196)</f>
        <v>1</v>
      </c>
      <c r="H201" s="2">
        <f>SUM('By Lot'!H2127,'By Lot'!H2145,'By Lot'!H2162,'By Lot'!H2179,'By Lot'!H2196)</f>
        <v>1</v>
      </c>
      <c r="I201" s="2">
        <f>SUM('By Lot'!I2127,'By Lot'!I2145,'By Lot'!I2162,'By Lot'!I2179,'By Lot'!I2196)</f>
        <v>0</v>
      </c>
      <c r="J201" s="2">
        <f>SUM('By Lot'!J2127,'By Lot'!J2145,'By Lot'!J2162,'By Lot'!J2179,'By Lot'!J2196)</f>
        <v>1</v>
      </c>
      <c r="K201" s="2">
        <f>SUM('By Lot'!K2127,'By Lot'!K2145,'By Lot'!K2162,'By Lot'!K2179,'By Lot'!K2196)</f>
        <v>1</v>
      </c>
      <c r="L201" s="2">
        <f>SUM('By Lot'!L2127,'By Lot'!L2145,'By Lot'!L2162,'By Lot'!L2179,'By Lot'!L2196)</f>
        <v>1</v>
      </c>
      <c r="M201" s="27">
        <f>SUM('By Lot'!M2127,'By Lot'!M2145,'By Lot'!M2162,'By Lot'!M2179,'By Lot'!M2196)</f>
        <v>1</v>
      </c>
      <c r="N201" s="26">
        <f t="shared" si="63"/>
        <v>0</v>
      </c>
      <c r="O201" s="2">
        <f t="shared" si="64"/>
        <v>2</v>
      </c>
      <c r="P201" s="24">
        <f t="shared" ref="P201:P204" si="68">O201/C201</f>
        <v>1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32"/>
      <c r="B202" s="33" t="s">
        <v>38</v>
      </c>
      <c r="C202" s="33">
        <f t="shared" ref="C202:M202" si="69">SUM(C192:C201)</f>
        <v>1542</v>
      </c>
      <c r="D202" s="70">
        <f t="shared" si="69"/>
        <v>1386</v>
      </c>
      <c r="E202" s="71">
        <f t="shared" si="69"/>
        <v>1453</v>
      </c>
      <c r="F202" s="71">
        <f t="shared" si="69"/>
        <v>1282</v>
      </c>
      <c r="G202" s="71">
        <f t="shared" si="69"/>
        <v>1312</v>
      </c>
      <c r="H202" s="71">
        <f t="shared" si="69"/>
        <v>1536</v>
      </c>
      <c r="I202" s="71">
        <f t="shared" si="69"/>
        <v>1365</v>
      </c>
      <c r="J202" s="71">
        <f t="shared" si="69"/>
        <v>1356</v>
      </c>
      <c r="K202" s="71">
        <f t="shared" si="69"/>
        <v>1369</v>
      </c>
      <c r="L202" s="71">
        <f t="shared" si="69"/>
        <v>1408</v>
      </c>
      <c r="M202" s="93">
        <f t="shared" si="69"/>
        <v>1446</v>
      </c>
      <c r="N202" s="70">
        <f t="shared" si="63"/>
        <v>1282</v>
      </c>
      <c r="O202" s="71">
        <f t="shared" si="64"/>
        <v>260</v>
      </c>
      <c r="P202" s="40">
        <f t="shared" si="68"/>
        <v>0.16861219195849547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66" t="s">
        <v>90</v>
      </c>
      <c r="B203" s="18" t="s">
        <v>23</v>
      </c>
      <c r="C203" s="18">
        <f>SUM('By Structure'!C73,'By Structure'!C84,'By Structure'!C95,'By Structure'!C106,'By Lot'!C2453,'By Lot'!C2470,'By Lot'!C2487,'By Lot'!C2504,'By Lot'!C2521,'By Lot'!C2538,'By Lot'!C2555,'By Lot'!C2572,'By Lot'!C2589)</f>
        <v>555</v>
      </c>
      <c r="D203" s="26">
        <f>SUM('By Structure'!D73,'By Structure'!D84,'By Structure'!D95,'By Structure'!D106,'By Lot'!D2453,'By Lot'!D2470,'By Lot'!D2487,'By Lot'!D2504,'By Lot'!D2521,'By Lot'!D2538,'By Lot'!D2555,'By Lot'!D2572,'By Lot'!D2589)</f>
        <v>151</v>
      </c>
      <c r="E203" s="2">
        <f>SUM('By Structure'!E73,'By Structure'!E84,'By Structure'!E95,'By Structure'!E106,'By Lot'!E2453,'By Lot'!E2470,'By Lot'!E2487,'By Lot'!E2504,'By Lot'!E2521,'By Lot'!E2538,'By Lot'!E2555,'By Lot'!E2572,'By Lot'!E2589)</f>
        <v>47</v>
      </c>
      <c r="F203" s="2">
        <f>SUM('By Structure'!F73,'By Structure'!F84,'By Structure'!F95,'By Structure'!F106,'By Lot'!F2453,'By Lot'!F2470,'By Lot'!F2487,'By Lot'!F2504,'By Lot'!F2521,'By Lot'!F2538,'By Lot'!F2555,'By Lot'!F2572,'By Lot'!F2589)</f>
        <v>30</v>
      </c>
      <c r="G203" s="2">
        <f>SUM('By Structure'!G73,'By Structure'!G84,'By Structure'!G95,'By Structure'!G106,'By Lot'!G2453,'By Lot'!G2470,'By Lot'!G2487,'By Lot'!G2504,'By Lot'!G2521,'By Lot'!G2538,'By Lot'!G2555,'By Lot'!G2572,'By Lot'!G2589)</f>
        <v>24</v>
      </c>
      <c r="H203" s="2">
        <f>SUM('By Structure'!H73,'By Structure'!H84,'By Structure'!H95,'By Structure'!H106,'By Lot'!H2453,'By Lot'!H2470,'By Lot'!H2487,'By Lot'!H2504,'By Lot'!H2521,'By Lot'!H2538,'By Lot'!H2555,'By Lot'!H2572,'By Lot'!H2589)</f>
        <v>27</v>
      </c>
      <c r="I203" s="2">
        <f>SUM('By Structure'!I73,'By Structure'!I84,'By Structure'!I95,'By Structure'!I106,'By Lot'!I2453,'By Lot'!I2470,'By Lot'!I2487,'By Lot'!I2504,'By Lot'!I2521,'By Lot'!I2538,'By Lot'!I2555,'By Lot'!I2572,'By Lot'!I2589)</f>
        <v>34</v>
      </c>
      <c r="J203" s="2">
        <f>SUM('By Structure'!J73,'By Structure'!J84,'By Structure'!J95,'By Structure'!J106,'By Lot'!J2453,'By Lot'!J2470,'By Lot'!J2487,'By Lot'!J2504,'By Lot'!J2521,'By Lot'!J2538,'By Lot'!J2555,'By Lot'!J2572,'By Lot'!J2589)</f>
        <v>55</v>
      </c>
      <c r="K203" s="2">
        <f>SUM('By Structure'!K73,'By Structure'!K84,'By Structure'!K95,'By Structure'!K106,'By Lot'!K2453,'By Lot'!K2470,'By Lot'!K2487,'By Lot'!K2504,'By Lot'!K2521,'By Lot'!K2538,'By Lot'!K2555,'By Lot'!K2572,'By Lot'!K2589)</f>
        <v>75</v>
      </c>
      <c r="L203" s="2">
        <f>SUM('By Structure'!L73,'By Structure'!L84,'By Structure'!L95,'By Structure'!L106,'By Lot'!L2453,'By Lot'!L2470,'By Lot'!L2487,'By Lot'!L2504,'By Lot'!L2521,'By Lot'!L2538,'By Lot'!L2555,'By Lot'!L2572,'By Lot'!L2589)</f>
        <v>115</v>
      </c>
      <c r="M203" s="27">
        <f>SUM('By Structure'!M73,'By Structure'!M84,'By Structure'!M95,'By Structure'!M106,'By Lot'!M2453,'By Lot'!M2470,'By Lot'!M2487,'By Lot'!M2504,'By Lot'!M2521,'By Lot'!M2538,'By Lot'!M2555,'By Lot'!M2572,'By Lot'!M2589)</f>
        <v>148</v>
      </c>
      <c r="N203" s="26">
        <f t="shared" si="63"/>
        <v>24</v>
      </c>
      <c r="O203" s="2">
        <f t="shared" si="64"/>
        <v>531</v>
      </c>
      <c r="P203" s="24">
        <f t="shared" si="68"/>
        <v>0.95675675675675675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18" t="s">
        <v>91</v>
      </c>
      <c r="B204" s="26" t="s">
        <v>25</v>
      </c>
      <c r="C204" s="18">
        <f>SUM('By Structure'!C74,'By Structure'!C85,'By Structure'!C96,'By Structure'!C107,'By Lot'!C2454,'By Lot'!C2471,'By Lot'!C2488,'By Lot'!C2505,'By Lot'!C2522,'By Lot'!C2539,'By Lot'!C2556,'By Lot'!C2573,'By Lot'!C2590)</f>
        <v>1402</v>
      </c>
      <c r="D204" s="2">
        <f>SUM('By Structure'!D74,'By Structure'!D85,'By Structure'!D96,'By Structure'!D107,'By Lot'!D2454,'By Lot'!D2471,'By Lot'!D2488,'By Lot'!D2505,'By Lot'!D2522,'By Lot'!D2539,'By Lot'!D2556,'By Lot'!D2573,'By Lot'!D2590)</f>
        <v>826</v>
      </c>
      <c r="E204" s="2">
        <f>SUM('By Structure'!E74,'By Structure'!E85,'By Structure'!E96,'By Structure'!E107,'By Lot'!E2454,'By Lot'!E2471,'By Lot'!E2488,'By Lot'!E2505,'By Lot'!E2522,'By Lot'!E2539,'By Lot'!E2556,'By Lot'!E2573,'By Lot'!E2590)</f>
        <v>646</v>
      </c>
      <c r="F204" s="2">
        <f>SUM('By Structure'!F74,'By Structure'!F85,'By Structure'!F96,'By Structure'!F107,'By Lot'!F2454,'By Lot'!F2471,'By Lot'!F2488,'By Lot'!F2505,'By Lot'!F2522,'By Lot'!F2539,'By Lot'!F2556,'By Lot'!F2573,'By Lot'!F2590)</f>
        <v>595</v>
      </c>
      <c r="G204" s="2">
        <f>SUM('By Structure'!G74,'By Structure'!G85,'By Structure'!G96,'By Structure'!G107,'By Lot'!G2454,'By Lot'!G2471,'By Lot'!G2488,'By Lot'!G2505,'By Lot'!G2522,'By Lot'!G2539,'By Lot'!G2556,'By Lot'!G2573,'By Lot'!G2590)</f>
        <v>557</v>
      </c>
      <c r="H204" s="2">
        <f>SUM('By Structure'!H74,'By Structure'!H85,'By Structure'!H96,'By Structure'!H107,'By Lot'!H2454,'By Lot'!H2471,'By Lot'!H2488,'By Lot'!H2505,'By Lot'!H2522,'By Lot'!H2539,'By Lot'!H2556,'By Lot'!H2573,'By Lot'!H2590)</f>
        <v>559</v>
      </c>
      <c r="I204" s="2">
        <f>SUM('By Structure'!I74,'By Structure'!I85,'By Structure'!I96,'By Structure'!I107,'By Lot'!I2454,'By Lot'!I2471,'By Lot'!I2488,'By Lot'!I2505,'By Lot'!I2522,'By Lot'!I2539,'By Lot'!I2556,'By Lot'!I2573,'By Lot'!I2590)</f>
        <v>511</v>
      </c>
      <c r="J204" s="2">
        <f>SUM('By Structure'!J74,'By Structure'!J85,'By Structure'!J96,'By Structure'!J107,'By Lot'!J2454,'By Lot'!J2471,'By Lot'!J2488,'By Lot'!J2505,'By Lot'!J2522,'By Lot'!J2539,'By Lot'!J2556,'By Lot'!J2573,'By Lot'!J2590)</f>
        <v>515</v>
      </c>
      <c r="K204" s="2">
        <f>SUM('By Structure'!K74,'By Structure'!K85,'By Structure'!K96,'By Structure'!K107,'By Lot'!K2454,'By Lot'!K2471,'By Lot'!K2488,'By Lot'!K2505,'By Lot'!K2522,'By Lot'!K2539,'By Lot'!K2556,'By Lot'!K2573,'By Lot'!K2590)</f>
        <v>556</v>
      </c>
      <c r="L204" s="2">
        <f>SUM('By Structure'!L74,'By Structure'!L85,'By Structure'!L96,'By Structure'!L107,'By Lot'!L2454,'By Lot'!L2471,'By Lot'!L2488,'By Lot'!L2505,'By Lot'!L2522,'By Lot'!L2539,'By Lot'!L2556,'By Lot'!L2573,'By Lot'!L2590)</f>
        <v>632</v>
      </c>
      <c r="M204" s="27">
        <f>SUM('By Structure'!M74,'By Structure'!M85,'By Structure'!M96,'By Structure'!M107,'By Lot'!M2454,'By Lot'!M2471,'By Lot'!M2488,'By Lot'!M2505,'By Lot'!M2522,'By Lot'!M2539,'By Lot'!M2556,'By Lot'!M2573,'By Lot'!M2590)</f>
        <v>743</v>
      </c>
      <c r="N204" s="2">
        <f t="shared" si="63"/>
        <v>511</v>
      </c>
      <c r="O204" s="2">
        <f t="shared" si="64"/>
        <v>891</v>
      </c>
      <c r="P204" s="24">
        <f t="shared" si="68"/>
        <v>0.63552068473609125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18"/>
      <c r="B205" s="18" t="s">
        <v>27</v>
      </c>
      <c r="C205" s="18"/>
      <c r="D205" s="26"/>
      <c r="E205" s="2"/>
      <c r="F205" s="2"/>
      <c r="G205" s="2"/>
      <c r="H205" s="2"/>
      <c r="I205" s="2"/>
      <c r="J205" s="2"/>
      <c r="K205" s="2"/>
      <c r="L205" s="2"/>
      <c r="M205" s="27"/>
      <c r="N205" s="26"/>
      <c r="O205" s="2"/>
      <c r="P205" s="24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18"/>
      <c r="B206" s="18" t="s">
        <v>31</v>
      </c>
      <c r="C206" s="18">
        <f>SUM('By Structure'!C76,'By Structure'!C87,'By Structure'!C98,'By Structure'!C109,'By Lot'!C2456,'By Lot'!C2473,'By Lot'!C2490,'By Lot'!C2507,'By Lot'!C2524,'By Lot'!C2541,'By Lot'!C2558,'By Lot'!C2575,'By Lot'!C2592)</f>
        <v>922</v>
      </c>
      <c r="D206" s="26">
        <f>SUM('By Structure'!D76,'By Structure'!D87,'By Structure'!D98,'By Structure'!D109,'By Lot'!D2456,'By Lot'!D2473,'By Lot'!D2490,'By Lot'!D2507,'By Lot'!D2524,'By Lot'!D2541,'By Lot'!D2558,'By Lot'!D2575,'By Lot'!D2592)</f>
        <v>557</v>
      </c>
      <c r="E206" s="2">
        <f>SUM('By Structure'!E76,'By Structure'!E87,'By Structure'!E98,'By Structure'!E109,'By Lot'!E2456,'By Lot'!E2473,'By Lot'!E2490,'By Lot'!E2507,'By Lot'!E2524,'By Lot'!E2541,'By Lot'!E2558,'By Lot'!E2575,'By Lot'!E2592)</f>
        <v>479</v>
      </c>
      <c r="F206" s="2">
        <f>SUM('By Structure'!F76,'By Structure'!F87,'By Structure'!F98,'By Structure'!F109,'By Lot'!F2456,'By Lot'!F2473,'By Lot'!F2490,'By Lot'!F2507,'By Lot'!F2524,'By Lot'!F2541,'By Lot'!F2558,'By Lot'!F2575,'By Lot'!F2592)</f>
        <v>425</v>
      </c>
      <c r="G206" s="2">
        <f>SUM('By Structure'!G76,'By Structure'!G87,'By Structure'!G98,'By Structure'!G109,'By Lot'!G2456,'By Lot'!G2473,'By Lot'!G2490,'By Lot'!G2507,'By Lot'!G2524,'By Lot'!G2541,'By Lot'!G2558,'By Lot'!G2575,'By Lot'!G2592)</f>
        <v>401</v>
      </c>
      <c r="H206" s="2">
        <f>SUM('By Structure'!H76,'By Structure'!H87,'By Structure'!H98,'By Structure'!H109,'By Lot'!H2456,'By Lot'!H2473,'By Lot'!H2490,'By Lot'!H2507,'By Lot'!H2524,'By Lot'!H2541,'By Lot'!H2558,'By Lot'!H2575,'By Lot'!H2592)</f>
        <v>442</v>
      </c>
      <c r="I206" s="2">
        <f>SUM('By Structure'!I76,'By Structure'!I87,'By Structure'!I98,'By Structure'!I109,'By Lot'!I2456,'By Lot'!I2473,'By Lot'!I2490,'By Lot'!I2507,'By Lot'!I2524,'By Lot'!I2541,'By Lot'!I2558,'By Lot'!I2575,'By Lot'!I2592)</f>
        <v>387</v>
      </c>
      <c r="J206" s="2">
        <f>SUM('By Structure'!J76,'By Structure'!J87,'By Structure'!J98,'By Structure'!J109,'By Lot'!J2456,'By Lot'!J2473,'By Lot'!J2490,'By Lot'!J2507,'By Lot'!J2524,'By Lot'!J2541,'By Lot'!J2558,'By Lot'!J2575,'By Lot'!J2592)</f>
        <v>399</v>
      </c>
      <c r="K206" s="2">
        <f>SUM('By Structure'!K76,'By Structure'!K87,'By Structure'!K98,'By Structure'!K109,'By Lot'!K2456,'By Lot'!K2473,'By Lot'!K2490,'By Lot'!K2507,'By Lot'!K2524,'By Lot'!K2541,'By Lot'!K2558,'By Lot'!K2575,'By Lot'!K2592)</f>
        <v>450</v>
      </c>
      <c r="L206" s="2">
        <f>SUM('By Structure'!L76,'By Structure'!L87,'By Structure'!L98,'By Structure'!L109,'By Lot'!L2456,'By Lot'!L2473,'By Lot'!L2490,'By Lot'!L2507,'By Lot'!L2524,'By Lot'!L2541,'By Lot'!L2558,'By Lot'!L2575,'By Lot'!L2592)</f>
        <v>493</v>
      </c>
      <c r="M206" s="27">
        <f>SUM('By Structure'!M76,'By Structure'!M87,'By Structure'!M98,'By Structure'!M109,'By Lot'!M2456,'By Lot'!M2473,'By Lot'!M2490,'By Lot'!M2507,'By Lot'!M2524,'By Lot'!M2541,'By Lot'!M2558,'By Lot'!M2575,'By Lot'!M2592)</f>
        <v>502</v>
      </c>
      <c r="N206" s="26">
        <f t="shared" ref="N206:N213" si="70">MIN(D206:M206)</f>
        <v>387</v>
      </c>
      <c r="O206" s="2">
        <f t="shared" ref="O206:O213" si="71">C206-N206</f>
        <v>535</v>
      </c>
      <c r="P206" s="24">
        <f t="shared" ref="P206:P213" si="72">O206/C206</f>
        <v>0.58026030368763559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18"/>
      <c r="B207" s="18" t="s">
        <v>32</v>
      </c>
      <c r="C207" s="18">
        <f>SUM('By Structure'!C77,'By Structure'!C88,'By Structure'!C99,'By Structure'!C110,'By Lot'!C2458,'By Lot'!C2475,'By Lot'!C2492,'By Lot'!C2509,'By Lot'!C2526,'By Lot'!C2543,'By Lot'!C2560,'By Lot'!C2577,'By Lot'!C2594)</f>
        <v>107</v>
      </c>
      <c r="D207" s="26">
        <f>SUM('By Structure'!D77,'By Structure'!D88,'By Structure'!D99,'By Structure'!D110,'By Lot'!D2458,'By Lot'!D2475,'By Lot'!D2492,'By Lot'!D2509,'By Lot'!D2526,'By Lot'!D2543,'By Lot'!D2560,'By Lot'!D2577,'By Lot'!D2594)</f>
        <v>76</v>
      </c>
      <c r="E207" s="2">
        <f>SUM('By Structure'!E77,'By Structure'!E88,'By Structure'!E99,'By Structure'!E110,'By Lot'!E2458,'By Lot'!E2475,'By Lot'!E2492,'By Lot'!E2509,'By Lot'!E2526,'By Lot'!E2543,'By Lot'!E2560,'By Lot'!E2577,'By Lot'!E2594)</f>
        <v>74</v>
      </c>
      <c r="F207" s="2">
        <f>SUM('By Structure'!F77,'By Structure'!F88,'By Structure'!F99,'By Structure'!F110,'By Lot'!F2458,'By Lot'!F2475,'By Lot'!F2492,'By Lot'!F2509,'By Lot'!F2526,'By Lot'!F2543,'By Lot'!F2560,'By Lot'!F2577,'By Lot'!F2594)</f>
        <v>73</v>
      </c>
      <c r="G207" s="2">
        <f>SUM('By Structure'!G77,'By Structure'!G88,'By Structure'!G99,'By Structure'!G110,'By Lot'!G2458,'By Lot'!G2475,'By Lot'!G2492,'By Lot'!G2509,'By Lot'!G2526,'By Lot'!G2543,'By Lot'!G2560,'By Lot'!G2577,'By Lot'!G2594)</f>
        <v>68</v>
      </c>
      <c r="H207" s="2">
        <f>SUM('By Structure'!H77,'By Structure'!H88,'By Structure'!H99,'By Structure'!H110,'By Lot'!H2458,'By Lot'!H2475,'By Lot'!H2492,'By Lot'!H2509,'By Lot'!H2526,'By Lot'!H2543,'By Lot'!H2560,'By Lot'!H2577,'By Lot'!H2594)</f>
        <v>69</v>
      </c>
      <c r="I207" s="2">
        <f>SUM('By Structure'!I77,'By Structure'!I88,'By Structure'!I99,'By Structure'!I110,'By Lot'!I2458,'By Lot'!I2475,'By Lot'!I2492,'By Lot'!I2509,'By Lot'!I2526,'By Lot'!I2543,'By Lot'!I2560,'By Lot'!I2577,'By Lot'!I2594)</f>
        <v>71</v>
      </c>
      <c r="J207" s="2">
        <f>SUM('By Structure'!J77,'By Structure'!J88,'By Structure'!J99,'By Structure'!J110,'By Lot'!J2458,'By Lot'!J2475,'By Lot'!J2492,'By Lot'!J2509,'By Lot'!J2526,'By Lot'!J2543,'By Lot'!J2560,'By Lot'!J2577,'By Lot'!J2594)</f>
        <v>70</v>
      </c>
      <c r="K207" s="2">
        <f>SUM('By Structure'!K77,'By Structure'!K88,'By Structure'!K99,'By Structure'!K110,'By Lot'!K2458,'By Lot'!K2475,'By Lot'!K2492,'By Lot'!K2509,'By Lot'!K2526,'By Lot'!K2543,'By Lot'!K2560,'By Lot'!K2577,'By Lot'!K2594)</f>
        <v>72</v>
      </c>
      <c r="L207" s="2">
        <f>SUM('By Structure'!L77,'By Structure'!L88,'By Structure'!L99,'By Structure'!L110,'By Lot'!L2458,'By Lot'!L2475,'By Lot'!L2492,'By Lot'!L2509,'By Lot'!L2526,'By Lot'!L2543,'By Lot'!L2560,'By Lot'!L2577,'By Lot'!L2594)</f>
        <v>79</v>
      </c>
      <c r="M207" s="27">
        <f>SUM('By Structure'!M77,'By Structure'!M88,'By Structure'!M99,'By Structure'!M110,'By Lot'!M2458,'By Lot'!M2475,'By Lot'!M2492,'By Lot'!M2509,'By Lot'!M2526,'By Lot'!M2543,'By Lot'!M2560,'By Lot'!M2577,'By Lot'!M2594)</f>
        <v>80</v>
      </c>
      <c r="N207" s="26">
        <f t="shared" si="70"/>
        <v>68</v>
      </c>
      <c r="O207" s="2">
        <f t="shared" si="71"/>
        <v>39</v>
      </c>
      <c r="P207" s="24">
        <f t="shared" si="72"/>
        <v>0.3644859813084112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18"/>
      <c r="B208" s="18" t="s">
        <v>33</v>
      </c>
      <c r="C208" s="18">
        <f>SUM('By Structure'!C78,'By Structure'!C89,'By Structure'!C100,'By Structure'!C111,'By Lot'!C2459:C2464,'By Lot'!C2476:C2481,'By Lot'!C2493:C2498,'By Lot'!C2510:C2515,'By Lot'!C2527:C2532,'By Lot'!C2544:C2549,'By Lot'!C2561:C2566,'By Lot'!C2578:C2583,'By Lot'!C2595:C2600)</f>
        <v>395</v>
      </c>
      <c r="D208" s="26">
        <f>SUM('By Structure'!D78,'By Structure'!D89,'By Structure'!D100,'By Structure'!D111,'By Lot'!D2459:D2464,'By Lot'!D2476:D2481,'By Lot'!D2493:D2498,'By Lot'!D2510:D2515,'By Lot'!D2527:D2532,'By Lot'!D2544:D2549,'By Lot'!D2561:D2566,'By Lot'!D2578:D2583,'By Lot'!D2595:D2600)</f>
        <v>213</v>
      </c>
      <c r="E208" s="2">
        <f>SUM('By Structure'!E78,'By Structure'!E89,'By Structure'!E100,'By Structure'!E111,'By Lot'!E2459:E2464,'By Lot'!E2476:E2481,'By Lot'!E2493:E2498,'By Lot'!E2510:E2515,'By Lot'!E2527:E2532,'By Lot'!E2544:E2549,'By Lot'!E2561:E2566,'By Lot'!E2578:E2583,'By Lot'!E2595:E2600)</f>
        <v>200</v>
      </c>
      <c r="F208" s="2">
        <f>SUM('By Structure'!F78,'By Structure'!F89,'By Structure'!F100,'By Structure'!F111,'By Lot'!F2459:F2464,'By Lot'!F2476:F2481,'By Lot'!F2493:F2498,'By Lot'!F2510:F2515,'By Lot'!F2527:F2532,'By Lot'!F2544:F2549,'By Lot'!F2561:F2566,'By Lot'!F2578:F2583,'By Lot'!F2595:F2600)</f>
        <v>189</v>
      </c>
      <c r="G208" s="2">
        <f>SUM('By Structure'!G78,'By Structure'!G89,'By Structure'!G100,'By Structure'!G111,'By Lot'!G2459:G2464,'By Lot'!G2476:G2481,'By Lot'!G2493:G2498,'By Lot'!G2510:G2515,'By Lot'!G2527:G2532,'By Lot'!G2544:G2549,'By Lot'!G2561:G2566,'By Lot'!G2578:G2583,'By Lot'!G2595:G2600)</f>
        <v>192</v>
      </c>
      <c r="H208" s="2">
        <f>SUM('By Structure'!H78,'By Structure'!H89,'By Structure'!H100,'By Structure'!H111,'By Lot'!H2459:H2464,'By Lot'!H2476:H2481,'By Lot'!H2493:H2498,'By Lot'!H2510:H2515,'By Lot'!H2527:H2532,'By Lot'!H2544:H2549,'By Lot'!H2561:H2566,'By Lot'!H2578:H2583,'By Lot'!H2595:H2600)</f>
        <v>189</v>
      </c>
      <c r="I208" s="2">
        <f>SUM('By Structure'!I78,'By Structure'!I89,'By Structure'!I100,'By Structure'!I111,'By Lot'!I2459:I2464,'By Lot'!I2476:I2481,'By Lot'!I2493:I2498,'By Lot'!I2510:I2515,'By Lot'!I2527:I2532,'By Lot'!I2544:I2549,'By Lot'!I2561:I2566,'By Lot'!I2578:I2583,'By Lot'!I2595:I2600)</f>
        <v>182</v>
      </c>
      <c r="J208" s="2">
        <f>SUM('By Structure'!J78,'By Structure'!J89,'By Structure'!J100,'By Structure'!J111,'By Lot'!J2459:J2464,'By Lot'!J2476:J2481,'By Lot'!J2493:J2498,'By Lot'!J2510:J2515,'By Lot'!J2527:J2532,'By Lot'!J2544:J2549,'By Lot'!J2561:J2566,'By Lot'!J2578:J2583,'By Lot'!J2595:J2600)</f>
        <v>177</v>
      </c>
      <c r="K208" s="2">
        <f>SUM('By Structure'!K78,'By Structure'!K89,'By Structure'!K100,'By Structure'!K111,'By Lot'!K2459:K2464,'By Lot'!K2476:K2481,'By Lot'!K2493:K2498,'By Lot'!K2510:K2515,'By Lot'!K2527:K2532,'By Lot'!K2544:K2549,'By Lot'!K2561:K2566,'By Lot'!K2578:K2583,'By Lot'!K2595:K2600)</f>
        <v>183</v>
      </c>
      <c r="L208" s="2">
        <f>SUM('By Structure'!L78,'By Structure'!L89,'By Structure'!L100,'By Structure'!L111,'By Lot'!L2459:L2464,'By Lot'!L2476:L2481,'By Lot'!L2493:L2498,'By Lot'!L2510:L2515,'By Lot'!L2527:L2532,'By Lot'!L2544:L2549,'By Lot'!L2561:L2566,'By Lot'!L2578:L2583,'By Lot'!L2595:L2600)</f>
        <v>196</v>
      </c>
      <c r="M208" s="27">
        <f>SUM('By Structure'!M78,'By Structure'!M89,'By Structure'!M100,'By Structure'!M111,'By Lot'!M2459:M2464,'By Lot'!M2476:M2481,'By Lot'!M2493:M2498,'By Lot'!M2510:M2515,'By Lot'!M2527:M2532,'By Lot'!M2544:M2549,'By Lot'!M2561:M2566,'By Lot'!M2578:M2583,'By Lot'!M2595:M2600)</f>
        <v>204</v>
      </c>
      <c r="N208" s="26">
        <f t="shared" si="70"/>
        <v>177</v>
      </c>
      <c r="O208" s="2">
        <f t="shared" si="71"/>
        <v>218</v>
      </c>
      <c r="P208" s="24">
        <f t="shared" si="72"/>
        <v>0.55189873417721524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18"/>
      <c r="B209" s="18" t="s">
        <v>34</v>
      </c>
      <c r="C209" s="18">
        <f>SUM('By Structure'!C79,'By Structure'!C90,'By Structure'!C101,'By Structure'!C112,'By Lot'!C2465,'By Lot'!C2482,'By Lot'!C2499,'By Lot'!C2516,'By Lot'!C2533,'By Lot'!C2550,'By Lot'!C2567,'By Lot'!C2584,'By Lot'!C2601)</f>
        <v>251</v>
      </c>
      <c r="D209" s="26">
        <f>SUM('By Structure'!D79,'By Structure'!D90,'By Structure'!D101,'By Structure'!D112,'By Lot'!D2465,'By Lot'!D2482,'By Lot'!D2499,'By Lot'!D2516,'By Lot'!D2533,'By Lot'!D2550,'By Lot'!D2567,'By Lot'!D2584,'By Lot'!D2601)</f>
        <v>149</v>
      </c>
      <c r="E209" s="2">
        <f>SUM('By Structure'!E79,'By Structure'!E90,'By Structure'!E101,'By Structure'!E112,'By Lot'!E2465,'By Lot'!E2482,'By Lot'!E2499,'By Lot'!E2516,'By Lot'!E2533,'By Lot'!E2550,'By Lot'!E2567,'By Lot'!E2584,'By Lot'!E2601)</f>
        <v>123</v>
      </c>
      <c r="F209" s="2">
        <f>SUM('By Structure'!F79,'By Structure'!F90,'By Structure'!F101,'By Structure'!F112,'By Lot'!F2465,'By Lot'!F2482,'By Lot'!F2499,'By Lot'!F2516,'By Lot'!F2533,'By Lot'!F2550,'By Lot'!F2567,'By Lot'!F2584,'By Lot'!F2601)</f>
        <v>103</v>
      </c>
      <c r="G209" s="2">
        <f>SUM('By Structure'!G79,'By Structure'!G90,'By Structure'!G101,'By Structure'!G112,'By Lot'!G2465,'By Lot'!G2482,'By Lot'!G2499,'By Lot'!G2516,'By Lot'!G2533,'By Lot'!G2550,'By Lot'!G2567,'By Lot'!G2584,'By Lot'!G2601)</f>
        <v>99</v>
      </c>
      <c r="H209" s="2">
        <f>SUM('By Structure'!H79,'By Structure'!H90,'By Structure'!H101,'By Structure'!H112,'By Lot'!H2465,'By Lot'!H2482,'By Lot'!H2499,'By Lot'!H2516,'By Lot'!H2533,'By Lot'!H2550,'By Lot'!H2567,'By Lot'!H2584,'By Lot'!H2601)</f>
        <v>104</v>
      </c>
      <c r="I209" s="2">
        <f>SUM('By Structure'!I79,'By Structure'!I90,'By Structure'!I101,'By Structure'!I112,'By Lot'!I2465,'By Lot'!I2482,'By Lot'!I2499,'By Lot'!I2516,'By Lot'!I2533,'By Lot'!I2550,'By Lot'!I2567,'By Lot'!I2584,'By Lot'!I2601)</f>
        <v>91</v>
      </c>
      <c r="J209" s="2">
        <f>SUM('By Structure'!J79,'By Structure'!J90,'By Structure'!J101,'By Structure'!J112,'By Lot'!J2465,'By Lot'!J2482,'By Lot'!J2499,'By Lot'!J2516,'By Lot'!J2533,'By Lot'!J2550,'By Lot'!J2567,'By Lot'!J2584,'By Lot'!J2601)</f>
        <v>91</v>
      </c>
      <c r="K209" s="2">
        <f>SUM('By Structure'!K79,'By Structure'!K90,'By Structure'!K101,'By Structure'!K112,'By Lot'!K2465,'By Lot'!K2482,'By Lot'!K2499,'By Lot'!K2516,'By Lot'!K2533,'By Lot'!K2550,'By Lot'!K2567,'By Lot'!K2584,'By Lot'!K2601)</f>
        <v>100</v>
      </c>
      <c r="L209" s="2">
        <f>SUM('By Structure'!L79,'By Structure'!L90,'By Structure'!L101,'By Structure'!L112,'By Lot'!L2465,'By Lot'!L2482,'By Lot'!L2499,'By Lot'!L2516,'By Lot'!L2533,'By Lot'!L2550,'By Lot'!L2567,'By Lot'!L2584,'By Lot'!L2601)</f>
        <v>105</v>
      </c>
      <c r="M209" s="27">
        <f>SUM('By Structure'!M79,'By Structure'!M90,'By Structure'!M101,'By Structure'!M112,'By Lot'!M2465,'By Lot'!M2482,'By Lot'!M2499,'By Lot'!M2516,'By Lot'!M2533,'By Lot'!M2550,'By Lot'!M2567,'By Lot'!M2584,'By Lot'!M2601)</f>
        <v>118</v>
      </c>
      <c r="N209" s="26">
        <f t="shared" si="70"/>
        <v>91</v>
      </c>
      <c r="O209" s="2">
        <f t="shared" si="71"/>
        <v>160</v>
      </c>
      <c r="P209" s="24">
        <f t="shared" si="72"/>
        <v>0.63745019920318724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18"/>
      <c r="B210" s="18" t="s">
        <v>35</v>
      </c>
      <c r="C210" s="18">
        <f>SUM('By Structure'!C80,'By Structure'!C91,'By Structure'!C102,'By Structure'!C113,'By Lot'!C2466,'By Lot'!C2483,'By Lot'!C2500,'By Lot'!C2517,'By Lot'!C2534,'By Lot'!C2551,'By Lot'!C2568,'By Lot'!C2585,'By Lot'!C2602)</f>
        <v>6</v>
      </c>
      <c r="D210" s="26">
        <f>SUM('By Structure'!D80,'By Structure'!D91,'By Structure'!D102,'By Structure'!D113,'By Lot'!D2466,'By Lot'!D2483,'By Lot'!D2500,'By Lot'!D2517,'By Lot'!D2534,'By Lot'!D2551,'By Lot'!D2568,'By Lot'!D2585,'By Lot'!D2602)</f>
        <v>3</v>
      </c>
      <c r="E210" s="2">
        <f>SUM('By Structure'!E80,'By Structure'!E91,'By Structure'!E102,'By Structure'!E113,'By Lot'!E2466,'By Lot'!E2483,'By Lot'!E2500,'By Lot'!E2517,'By Lot'!E2534,'By Lot'!E2551,'By Lot'!E2568,'By Lot'!E2585,'By Lot'!E2602)</f>
        <v>4</v>
      </c>
      <c r="F210" s="2">
        <f>SUM('By Structure'!F80,'By Structure'!F91,'By Structure'!F102,'By Structure'!F113,'By Lot'!F2466,'By Lot'!F2483,'By Lot'!F2500,'By Lot'!F2517,'By Lot'!F2534,'By Lot'!F2551,'By Lot'!F2568,'By Lot'!F2585,'By Lot'!F2602)</f>
        <v>3</v>
      </c>
      <c r="G210" s="2">
        <f>SUM('By Structure'!G80,'By Structure'!G91,'By Structure'!G102,'By Structure'!G113,'By Lot'!G2466,'By Lot'!G2483,'By Lot'!G2500,'By Lot'!G2517,'By Lot'!G2534,'By Lot'!G2551,'By Lot'!G2568,'By Lot'!G2585,'By Lot'!G2602)</f>
        <v>4</v>
      </c>
      <c r="H210" s="2">
        <f>SUM('By Structure'!H80,'By Structure'!H91,'By Structure'!H102,'By Structure'!H113,'By Lot'!H2466,'By Lot'!H2483,'By Lot'!H2500,'By Lot'!H2517,'By Lot'!H2534,'By Lot'!H2551,'By Lot'!H2568,'By Lot'!H2585,'By Lot'!H2602)</f>
        <v>4</v>
      </c>
      <c r="I210" s="2">
        <f>SUM('By Structure'!I80,'By Structure'!I91,'By Structure'!I102,'By Structure'!I113,'By Lot'!I2466,'By Lot'!I2483,'By Lot'!I2500,'By Lot'!I2517,'By Lot'!I2534,'By Lot'!I2551,'By Lot'!I2568,'By Lot'!I2585,'By Lot'!I2602)</f>
        <v>2</v>
      </c>
      <c r="J210" s="2">
        <f>SUM('By Structure'!J80,'By Structure'!J91,'By Structure'!J102,'By Structure'!J113,'By Lot'!J2466,'By Lot'!J2483,'By Lot'!J2500,'By Lot'!J2517,'By Lot'!J2534,'By Lot'!J2551,'By Lot'!J2568,'By Lot'!J2585,'By Lot'!J2602)</f>
        <v>2</v>
      </c>
      <c r="K210" s="2">
        <f>SUM('By Structure'!K80,'By Structure'!K91,'By Structure'!K102,'By Structure'!K113,'By Lot'!K2466,'By Lot'!K2483,'By Lot'!K2500,'By Lot'!K2517,'By Lot'!K2534,'By Lot'!K2551,'By Lot'!K2568,'By Lot'!K2585,'By Lot'!K2602)</f>
        <v>2</v>
      </c>
      <c r="L210" s="2">
        <f>SUM('By Structure'!L80,'By Structure'!L91,'By Structure'!L102,'By Structure'!L113,'By Lot'!L2466,'By Lot'!L2483,'By Lot'!L2500,'By Lot'!L2517,'By Lot'!L2534,'By Lot'!L2551,'By Lot'!L2568,'By Lot'!L2585,'By Lot'!L2602)</f>
        <v>4</v>
      </c>
      <c r="M210" s="27">
        <f>SUM('By Structure'!M80,'By Structure'!M91,'By Structure'!M102,'By Structure'!M113,'By Lot'!M2466,'By Lot'!M2483,'By Lot'!M2500,'By Lot'!M2517,'By Lot'!M2534,'By Lot'!M2551,'By Lot'!M2568,'By Lot'!M2585,'By Lot'!M2602)</f>
        <v>4</v>
      </c>
      <c r="N210" s="26">
        <f t="shared" si="70"/>
        <v>2</v>
      </c>
      <c r="O210" s="2">
        <f t="shared" si="71"/>
        <v>4</v>
      </c>
      <c r="P210" s="24">
        <f t="shared" si="72"/>
        <v>0.66666666666666663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18"/>
      <c r="B211" s="18" t="s">
        <v>36</v>
      </c>
      <c r="C211" s="18">
        <f>SUM('By Structure'!C81,'By Structure'!C92,'By Structure'!C103,'By Structure'!C114,'By Lot'!C2467,'By Lot'!C2484,'By Lot'!C2501,'By Lot'!C2518,'By Lot'!C2535,'By Lot'!C2552,'By Lot'!C2569,'By Lot'!C2586,'By Lot'!C2603)</f>
        <v>3</v>
      </c>
      <c r="D211" s="26">
        <f>SUM('By Structure'!D81,'By Structure'!D92,'By Structure'!D103,'By Structure'!D114,'By Lot'!D2467,'By Lot'!D2484,'By Lot'!D2501,'By Lot'!D2518,'By Lot'!D2535,'By Lot'!D2552,'By Lot'!D2569,'By Lot'!D2586,'By Lot'!D2603)</f>
        <v>0</v>
      </c>
      <c r="E211" s="2">
        <f>SUM('By Structure'!E81,'By Structure'!E92,'By Structure'!E103,'By Structure'!E114,'By Lot'!E2467,'By Lot'!E2484,'By Lot'!E2501,'By Lot'!E2518,'By Lot'!E2535,'By Lot'!E2552,'By Lot'!E2569,'By Lot'!E2586,'By Lot'!E2603)</f>
        <v>0</v>
      </c>
      <c r="F211" s="2">
        <f>SUM('By Structure'!F81,'By Structure'!F92,'By Structure'!F103,'By Structure'!F114,'By Lot'!F2467,'By Lot'!F2484,'By Lot'!F2501,'By Lot'!F2518,'By Lot'!F2535,'By Lot'!F2552,'By Lot'!F2569,'By Lot'!F2586,'By Lot'!F2603)</f>
        <v>1</v>
      </c>
      <c r="G211" s="2">
        <f>SUM('By Structure'!G81,'By Structure'!G92,'By Structure'!G103,'By Structure'!G114,'By Lot'!G2467,'By Lot'!G2484,'By Lot'!G2501,'By Lot'!G2518,'By Lot'!G2535,'By Lot'!G2552,'By Lot'!G2569,'By Lot'!G2586,'By Lot'!G2603)</f>
        <v>1</v>
      </c>
      <c r="H211" s="2">
        <f>SUM('By Structure'!H81,'By Structure'!H92,'By Structure'!H103,'By Structure'!H114,'By Lot'!H2467,'By Lot'!H2484,'By Lot'!H2501,'By Lot'!H2518,'By Lot'!H2535,'By Lot'!H2552,'By Lot'!H2569,'By Lot'!H2586,'By Lot'!H2603)</f>
        <v>0</v>
      </c>
      <c r="I211" s="2">
        <f>SUM('By Structure'!I81,'By Structure'!I92,'By Structure'!I103,'By Structure'!I114,'By Lot'!I2467,'By Lot'!I2484,'By Lot'!I2501,'By Lot'!I2518,'By Lot'!I2535,'By Lot'!I2552,'By Lot'!I2569,'By Lot'!I2586,'By Lot'!I2603)</f>
        <v>0</v>
      </c>
      <c r="J211" s="2">
        <f>SUM('By Structure'!J81,'By Structure'!J92,'By Structure'!J103,'By Structure'!J114,'By Lot'!J2467,'By Lot'!J2484,'By Lot'!J2501,'By Lot'!J2518,'By Lot'!J2535,'By Lot'!J2552,'By Lot'!J2569,'By Lot'!J2586,'By Lot'!J2603)</f>
        <v>0</v>
      </c>
      <c r="K211" s="2">
        <f>SUM('By Structure'!K81,'By Structure'!K92,'By Structure'!K103,'By Structure'!K114,'By Lot'!K2467,'By Lot'!K2484,'By Lot'!K2501,'By Lot'!K2518,'By Lot'!K2535,'By Lot'!K2552,'By Lot'!K2569,'By Lot'!K2586,'By Lot'!K2603)</f>
        <v>0</v>
      </c>
      <c r="L211" s="2">
        <f>SUM('By Structure'!L81,'By Structure'!L92,'By Structure'!L103,'By Structure'!L114,'By Lot'!L2467,'By Lot'!L2484,'By Lot'!L2501,'By Lot'!L2518,'By Lot'!L2535,'By Lot'!L2552,'By Lot'!L2569,'By Lot'!L2586,'By Lot'!L2603)</f>
        <v>0</v>
      </c>
      <c r="M211" s="27">
        <f>SUM('By Structure'!M81,'By Structure'!M92,'By Structure'!M103,'By Structure'!M114,'By Lot'!M2467,'By Lot'!M2484,'By Lot'!M2501,'By Lot'!M2518,'By Lot'!M2535,'By Lot'!M2552,'By Lot'!M2569,'By Lot'!M2586,'By Lot'!M2603)</f>
        <v>0</v>
      </c>
      <c r="N211" s="26">
        <f t="shared" si="70"/>
        <v>0</v>
      </c>
      <c r="O211" s="2">
        <f t="shared" si="71"/>
        <v>3</v>
      </c>
      <c r="P211" s="24">
        <f t="shared" si="72"/>
        <v>1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18"/>
      <c r="B212" s="18" t="s">
        <v>37</v>
      </c>
      <c r="C212" s="18">
        <f>SUM('By Structure'!C82,'By Structure'!C93,'By Structure'!C104,'By Structure'!C115,'By Lot'!C2468,'By Lot'!C2485,'By Lot'!C2502,'By Lot'!C2519,'By Lot'!C2536,'By Lot'!C2553,'By Lot'!C2570,'By Lot'!C2587,'By Lot'!C2604)</f>
        <v>11</v>
      </c>
      <c r="D212" s="26">
        <f>SUM('By Structure'!D82,'By Structure'!D93,'By Structure'!D104,'By Structure'!D115,'By Lot'!D2468,'By Lot'!D2485,'By Lot'!D2502,'By Lot'!D2519,'By Lot'!D2536,'By Lot'!D2553,'By Lot'!D2570,'By Lot'!D2587,'By Lot'!D2604)</f>
        <v>5</v>
      </c>
      <c r="E212" s="2">
        <f>SUM('By Structure'!E82,'By Structure'!E93,'By Structure'!E104,'By Structure'!E115,'By Lot'!E2468,'By Lot'!E2485,'By Lot'!E2502,'By Lot'!E2519,'By Lot'!E2536,'By Lot'!E2553,'By Lot'!E2570,'By Lot'!E2587,'By Lot'!E2604)</f>
        <v>5</v>
      </c>
      <c r="F212" s="2">
        <f>SUM('By Structure'!F82,'By Structure'!F93,'By Structure'!F104,'By Structure'!F115,'By Lot'!F2468,'By Lot'!F2485,'By Lot'!F2502,'By Lot'!F2519,'By Lot'!F2536,'By Lot'!F2553,'By Lot'!F2570,'By Lot'!F2587,'By Lot'!F2604)</f>
        <v>3</v>
      </c>
      <c r="G212" s="2">
        <f>SUM('By Structure'!G82,'By Structure'!G93,'By Structure'!G104,'By Structure'!G115,'By Lot'!G2468,'By Lot'!G2485,'By Lot'!G2502,'By Lot'!G2519,'By Lot'!G2536,'By Lot'!G2553,'By Lot'!G2570,'By Lot'!G2587,'By Lot'!G2604)</f>
        <v>2</v>
      </c>
      <c r="H212" s="2">
        <f>SUM('By Structure'!H82,'By Structure'!H93,'By Structure'!H104,'By Structure'!H115,'By Lot'!H2468,'By Lot'!H2485,'By Lot'!H2502,'By Lot'!H2519,'By Lot'!H2536,'By Lot'!H2553,'By Lot'!H2570,'By Lot'!H2587,'By Lot'!H2604)</f>
        <v>5</v>
      </c>
      <c r="I212" s="2">
        <f>SUM('By Structure'!I82,'By Structure'!I93,'By Structure'!I104,'By Structure'!I115,'By Lot'!I2468,'By Lot'!I2485,'By Lot'!I2502,'By Lot'!I2519,'By Lot'!I2536,'By Lot'!I2553,'By Lot'!I2570,'By Lot'!I2587,'By Lot'!I2604)</f>
        <v>4</v>
      </c>
      <c r="J212" s="2">
        <f>SUM('By Structure'!J82,'By Structure'!J93,'By Structure'!J104,'By Structure'!J115,'By Lot'!J2468,'By Lot'!J2485,'By Lot'!J2502,'By Lot'!J2519,'By Lot'!J2536,'By Lot'!J2553,'By Lot'!J2570,'By Lot'!J2587,'By Lot'!J2604)</f>
        <v>3</v>
      </c>
      <c r="K212" s="2">
        <f>SUM('By Structure'!K82,'By Structure'!K93,'By Structure'!K104,'By Structure'!K115,'By Lot'!K2468,'By Lot'!K2485,'By Lot'!K2502,'By Lot'!K2519,'By Lot'!K2536,'By Lot'!K2553,'By Lot'!K2570,'By Lot'!K2587,'By Lot'!K2604)</f>
        <v>5</v>
      </c>
      <c r="L212" s="2">
        <f>SUM('By Structure'!L82,'By Structure'!L93,'By Structure'!L104,'By Structure'!L115,'By Lot'!L2468,'By Lot'!L2485,'By Lot'!L2502,'By Lot'!L2519,'By Lot'!L2536,'By Lot'!L2553,'By Lot'!L2570,'By Lot'!L2587,'By Lot'!L2604)</f>
        <v>5</v>
      </c>
      <c r="M212" s="27">
        <f>SUM('By Structure'!M82,'By Structure'!M93,'By Structure'!M104,'By Structure'!M115,'By Lot'!M2468,'By Lot'!M2485,'By Lot'!M2502,'By Lot'!M2519,'By Lot'!M2536,'By Lot'!M2553,'By Lot'!M2570,'By Lot'!M2587,'By Lot'!M2604)</f>
        <v>5</v>
      </c>
      <c r="N212" s="26">
        <f t="shared" si="70"/>
        <v>2</v>
      </c>
      <c r="O212" s="2">
        <f t="shared" si="71"/>
        <v>9</v>
      </c>
      <c r="P212" s="24">
        <f t="shared" si="72"/>
        <v>0.81818181818181823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32"/>
      <c r="B213" s="33" t="s">
        <v>38</v>
      </c>
      <c r="C213" s="33">
        <f t="shared" ref="C213:M213" si="73">SUM(C203:C212)</f>
        <v>3652</v>
      </c>
      <c r="D213" s="70">
        <f t="shared" si="73"/>
        <v>1980</v>
      </c>
      <c r="E213" s="71">
        <f t="shared" si="73"/>
        <v>1578</v>
      </c>
      <c r="F213" s="71">
        <f t="shared" si="73"/>
        <v>1422</v>
      </c>
      <c r="G213" s="71">
        <f t="shared" si="73"/>
        <v>1348</v>
      </c>
      <c r="H213" s="71">
        <f t="shared" si="73"/>
        <v>1399</v>
      </c>
      <c r="I213" s="71">
        <f t="shared" si="73"/>
        <v>1282</v>
      </c>
      <c r="J213" s="71">
        <f t="shared" si="73"/>
        <v>1312</v>
      </c>
      <c r="K213" s="71">
        <f t="shared" si="73"/>
        <v>1443</v>
      </c>
      <c r="L213" s="71">
        <f t="shared" si="73"/>
        <v>1629</v>
      </c>
      <c r="M213" s="93">
        <f t="shared" si="73"/>
        <v>1804</v>
      </c>
      <c r="N213" s="70">
        <f t="shared" si="70"/>
        <v>1282</v>
      </c>
      <c r="O213" s="71">
        <f t="shared" si="71"/>
        <v>2370</v>
      </c>
      <c r="P213" s="40">
        <f t="shared" si="72"/>
        <v>0.64895947426067913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66" t="s">
        <v>92</v>
      </c>
      <c r="B214" s="18" t="s">
        <v>23</v>
      </c>
      <c r="C214" s="18"/>
      <c r="D214" s="26"/>
      <c r="E214" s="2"/>
      <c r="F214" s="2"/>
      <c r="G214" s="2"/>
      <c r="H214" s="2"/>
      <c r="I214" s="2"/>
      <c r="J214" s="2"/>
      <c r="K214" s="2"/>
      <c r="L214" s="2"/>
      <c r="M214" s="27"/>
      <c r="N214" s="26"/>
      <c r="O214" s="2"/>
      <c r="P214" s="24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18" t="s">
        <v>93</v>
      </c>
      <c r="B215" s="18" t="s">
        <v>25</v>
      </c>
      <c r="C215" s="18">
        <f>SUM('By Lot'!C2607,'By Lot'!C2624,'By Lot'!C2641,'By Structure'!C107)</f>
        <v>902</v>
      </c>
      <c r="D215" s="26">
        <f>SUM('By Lot'!D2607,'By Lot'!D2624,'By Lot'!D2641,'By Structure'!D107)</f>
        <v>543</v>
      </c>
      <c r="E215" s="2">
        <f>SUM('By Lot'!E2607,'By Lot'!E2624,'By Lot'!E2641,'By Structure'!E107)</f>
        <v>355</v>
      </c>
      <c r="F215" s="2">
        <f>SUM('By Lot'!F2607,'By Lot'!F2624,'By Lot'!F2641,'By Structure'!F107)</f>
        <v>278</v>
      </c>
      <c r="G215" s="2">
        <f>SUM('By Lot'!G2607,'By Lot'!G2624,'By Lot'!G2641,'By Structure'!G107)</f>
        <v>262</v>
      </c>
      <c r="H215" s="2">
        <f>SUM('By Lot'!H2607,'By Lot'!H2624,'By Lot'!H2641,'By Structure'!H107)</f>
        <v>283</v>
      </c>
      <c r="I215" s="2">
        <f>SUM('By Lot'!I2607,'By Lot'!I2624,'By Lot'!I2641,'By Structure'!I107)</f>
        <v>324</v>
      </c>
      <c r="J215" s="2">
        <f>SUM('By Lot'!J2607,'By Lot'!J2624,'By Lot'!J2641,'By Structure'!J107)</f>
        <v>335</v>
      </c>
      <c r="K215" s="2">
        <f>SUM('By Lot'!K2607,'By Lot'!K2624,'By Lot'!K2641,'By Structure'!K107)</f>
        <v>338</v>
      </c>
      <c r="L215" s="2">
        <f>SUM('By Lot'!L2607,'By Lot'!L2624,'By Lot'!L2641,'By Structure'!L107)</f>
        <v>423</v>
      </c>
      <c r="M215" s="27">
        <f>SUM('By Lot'!M2607,'By Lot'!M2624,'By Lot'!M2641,'By Structure'!M107)</f>
        <v>547</v>
      </c>
      <c r="N215" s="26">
        <f>MIN(D215:M215)</f>
        <v>262</v>
      </c>
      <c r="O215" s="2">
        <f>C215-N215</f>
        <v>640</v>
      </c>
      <c r="P215" s="24">
        <f>O215/C215</f>
        <v>0.70953436807095349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18" t="s">
        <v>94</v>
      </c>
      <c r="B216" s="74" t="s">
        <v>80</v>
      </c>
      <c r="C216" s="74">
        <f>SUM('By Lot'!C2608)</f>
        <v>243</v>
      </c>
      <c r="D216" s="75"/>
      <c r="E216" s="77" t="s">
        <v>95</v>
      </c>
      <c r="F216" s="76"/>
      <c r="G216" s="76"/>
      <c r="H216" s="76"/>
      <c r="I216" s="76"/>
      <c r="J216" s="76"/>
      <c r="K216" s="76"/>
      <c r="L216" s="76"/>
      <c r="M216" s="78"/>
      <c r="N216" s="75"/>
      <c r="O216" s="76"/>
      <c r="P216" s="79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18"/>
      <c r="B217" s="18" t="s">
        <v>31</v>
      </c>
      <c r="C217" s="18"/>
      <c r="D217" s="26"/>
      <c r="E217" s="2"/>
      <c r="F217" s="2"/>
      <c r="G217" s="2"/>
      <c r="H217" s="2"/>
      <c r="I217" s="2"/>
      <c r="J217" s="2"/>
      <c r="K217" s="2"/>
      <c r="L217" s="2"/>
      <c r="M217" s="27"/>
      <c r="N217" s="26"/>
      <c r="O217" s="2"/>
      <c r="P217" s="24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18"/>
      <c r="B218" s="18" t="s">
        <v>32</v>
      </c>
      <c r="C218" s="18"/>
      <c r="D218" s="26"/>
      <c r="E218" s="2"/>
      <c r="F218" s="2"/>
      <c r="G218" s="2"/>
      <c r="H218" s="2"/>
      <c r="I218" s="2"/>
      <c r="J218" s="2"/>
      <c r="K218" s="2"/>
      <c r="L218" s="2"/>
      <c r="M218" s="27"/>
      <c r="N218" s="26"/>
      <c r="O218" s="2"/>
      <c r="P218" s="24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18"/>
      <c r="B219" s="18" t="s">
        <v>33</v>
      </c>
      <c r="C219" s="18">
        <f>SUM('By Lot'!C2612:C2617,'By Lot'!C2629:C2634,'By Lot'!C2646:C2651,'By Structure'!C111)</f>
        <v>49</v>
      </c>
      <c r="D219" s="26">
        <f>SUM('By Lot'!D2612:D2617,'By Lot'!D2629:D2634,'By Lot'!D2646:D2651,'By Structure'!D111)</f>
        <v>42</v>
      </c>
      <c r="E219" s="2">
        <f>SUM('By Lot'!E2612:E2617,'By Lot'!E2629:E2634,'By Lot'!E2646:E2651,'By Structure'!E111)</f>
        <v>44</v>
      </c>
      <c r="F219" s="2">
        <f>SUM('By Lot'!F2612:F2617,'By Lot'!F2629:F2634,'By Lot'!F2646:F2651,'By Structure'!F111)</f>
        <v>44</v>
      </c>
      <c r="G219" s="2">
        <f>SUM('By Lot'!G2612:G2617,'By Lot'!G2629:G2634,'By Lot'!G2646:G2651,'By Structure'!G111)</f>
        <v>44</v>
      </c>
      <c r="H219" s="2">
        <f>SUM('By Lot'!H2612:H2617,'By Lot'!H2629:H2634,'By Lot'!H2646:H2651,'By Structure'!H111)</f>
        <v>44</v>
      </c>
      <c r="I219" s="2">
        <f>SUM('By Lot'!I2612:I2617,'By Lot'!I2629:I2634,'By Lot'!I2646:I2651,'By Structure'!I111)</f>
        <v>38</v>
      </c>
      <c r="J219" s="2">
        <f>SUM('By Lot'!J2612:J2617,'By Lot'!J2629:J2634,'By Lot'!J2646:J2651,'By Structure'!J111)</f>
        <v>36</v>
      </c>
      <c r="K219" s="2">
        <f>SUM('By Lot'!K2612:K2617,'By Lot'!K2629:K2634,'By Lot'!K2646:K2651,'By Structure'!K111)</f>
        <v>39</v>
      </c>
      <c r="L219" s="2">
        <f>SUM('By Lot'!L2612:L2617,'By Lot'!L2629:L2634,'By Lot'!L2646:L2651,'By Structure'!L111)</f>
        <v>40</v>
      </c>
      <c r="M219" s="27">
        <f>SUM('By Lot'!M2612:M2617,'By Lot'!M2629:M2634,'By Lot'!M2646:M2651,'By Structure'!M111)</f>
        <v>41</v>
      </c>
      <c r="N219" s="26">
        <f t="shared" ref="N219:N220" si="74">MIN(D219:M219)</f>
        <v>36</v>
      </c>
      <c r="O219" s="2">
        <f t="shared" ref="O219:O220" si="75">C219-N219</f>
        <v>13</v>
      </c>
      <c r="P219" s="96">
        <v>0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18"/>
      <c r="B220" s="18" t="s">
        <v>34</v>
      </c>
      <c r="C220" s="18">
        <f>SUM('By Lot'!C2618,'By Lot'!C2635,'By Lot'!C2652,'By Structure'!C112)</f>
        <v>45</v>
      </c>
      <c r="D220" s="26">
        <f>SUM('By Lot'!D2618,'By Lot'!D2635,'By Lot'!D2652,'By Structure'!D112)</f>
        <v>42</v>
      </c>
      <c r="E220" s="2">
        <f>SUM('By Lot'!E2618,'By Lot'!E2635,'By Lot'!E2652,'By Structure'!E112)</f>
        <v>37</v>
      </c>
      <c r="F220" s="2">
        <f>SUM('By Lot'!F2618,'By Lot'!F2635,'By Lot'!F2652,'By Structure'!F112)</f>
        <v>31</v>
      </c>
      <c r="G220" s="2">
        <f>SUM('By Lot'!G2618,'By Lot'!G2635,'By Lot'!G2652,'By Structure'!G112)</f>
        <v>33</v>
      </c>
      <c r="H220" s="2">
        <f>SUM('By Lot'!H2618,'By Lot'!H2635,'By Lot'!H2652,'By Structure'!H112)</f>
        <v>33</v>
      </c>
      <c r="I220" s="2">
        <f>SUM('By Lot'!I2618,'By Lot'!I2635,'By Lot'!I2652,'By Structure'!I112)</f>
        <v>29</v>
      </c>
      <c r="J220" s="2">
        <f>SUM('By Lot'!J2618,'By Lot'!J2635,'By Lot'!J2652,'By Structure'!J112)</f>
        <v>30</v>
      </c>
      <c r="K220" s="2">
        <f>SUM('By Lot'!K2618,'By Lot'!K2635,'By Lot'!K2652,'By Structure'!K112)</f>
        <v>35</v>
      </c>
      <c r="L220" s="2">
        <f>SUM('By Lot'!L2618,'By Lot'!L2635,'By Lot'!L2652,'By Structure'!L112)</f>
        <v>37</v>
      </c>
      <c r="M220" s="27">
        <f>SUM('By Lot'!M2618,'By Lot'!M2635,'By Lot'!M2652,'By Structure'!M112)</f>
        <v>40</v>
      </c>
      <c r="N220" s="26">
        <f t="shared" si="74"/>
        <v>29</v>
      </c>
      <c r="O220" s="2">
        <f t="shared" si="75"/>
        <v>16</v>
      </c>
      <c r="P220" s="24">
        <f>O220/C220</f>
        <v>0.35555555555555557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18"/>
      <c r="B221" s="18" t="s">
        <v>35</v>
      </c>
      <c r="C221" s="18"/>
      <c r="D221" s="26"/>
      <c r="E221" s="2"/>
      <c r="F221" s="2"/>
      <c r="G221" s="2"/>
      <c r="H221" s="2"/>
      <c r="I221" s="2"/>
      <c r="J221" s="2"/>
      <c r="K221" s="2"/>
      <c r="L221" s="2"/>
      <c r="M221" s="27"/>
      <c r="N221" s="26"/>
      <c r="O221" s="2"/>
      <c r="P221" s="24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18"/>
      <c r="B222" s="18" t="s">
        <v>36</v>
      </c>
      <c r="C222" s="18"/>
      <c r="D222" s="26"/>
      <c r="E222" s="2"/>
      <c r="F222" s="2"/>
      <c r="G222" s="2"/>
      <c r="H222" s="2"/>
      <c r="I222" s="2"/>
      <c r="J222" s="2"/>
      <c r="K222" s="2"/>
      <c r="L222" s="2"/>
      <c r="M222" s="27"/>
      <c r="N222" s="26"/>
      <c r="O222" s="2"/>
      <c r="P222" s="24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18"/>
      <c r="B223" s="18" t="s">
        <v>37</v>
      </c>
      <c r="C223" s="18"/>
      <c r="D223" s="26"/>
      <c r="E223" s="2"/>
      <c r="F223" s="2"/>
      <c r="G223" s="2"/>
      <c r="H223" s="2"/>
      <c r="I223" s="2"/>
      <c r="J223" s="2"/>
      <c r="K223" s="2"/>
      <c r="L223" s="2"/>
      <c r="M223" s="27"/>
      <c r="N223" s="26"/>
      <c r="O223" s="2"/>
      <c r="P223" s="24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32"/>
      <c r="B224" s="33" t="s">
        <v>38</v>
      </c>
      <c r="C224" s="33">
        <f t="shared" ref="C224:M224" si="76">SUM(C214:C223)</f>
        <v>1239</v>
      </c>
      <c r="D224" s="70">
        <f t="shared" si="76"/>
        <v>627</v>
      </c>
      <c r="E224" s="71">
        <f t="shared" si="76"/>
        <v>436</v>
      </c>
      <c r="F224" s="71">
        <f t="shared" si="76"/>
        <v>353</v>
      </c>
      <c r="G224" s="71">
        <f t="shared" si="76"/>
        <v>339</v>
      </c>
      <c r="H224" s="71">
        <f t="shared" si="76"/>
        <v>360</v>
      </c>
      <c r="I224" s="71">
        <f t="shared" si="76"/>
        <v>391</v>
      </c>
      <c r="J224" s="71">
        <f t="shared" si="76"/>
        <v>401</v>
      </c>
      <c r="K224" s="71">
        <f t="shared" si="76"/>
        <v>412</v>
      </c>
      <c r="L224" s="71">
        <f t="shared" si="76"/>
        <v>500</v>
      </c>
      <c r="M224" s="93">
        <f t="shared" si="76"/>
        <v>628</v>
      </c>
      <c r="N224" s="70">
        <f t="shared" ref="N224:N226" si="77">MIN(D224:M224)</f>
        <v>339</v>
      </c>
      <c r="O224" s="71">
        <f t="shared" ref="O224:O226" si="78">C224-N224</f>
        <v>900</v>
      </c>
      <c r="P224" s="40">
        <f t="shared" ref="P224:P226" si="79">O224/C224</f>
        <v>0.72639225181598066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0" t="s">
        <v>45</v>
      </c>
      <c r="B225" s="85" t="s">
        <v>23</v>
      </c>
      <c r="C225" s="47">
        <v>263</v>
      </c>
      <c r="D225" s="48">
        <f>SUM('By Lot'!D2861+'By Lot'!D2878+'By Lot'!D2895+'By Lot'!D2912+'By Lot'!D2929+'By Lot'!D3150+'By Lot'!D3218+'By Lot'!D3235+'By Lot'!D3252)</f>
        <v>177</v>
      </c>
      <c r="E225" s="48">
        <f>SUM('By Lot'!E2861+'By Lot'!E2878+'By Lot'!E2895+'By Lot'!E2912+'By Lot'!E2929+'By Lot'!E3150+'By Lot'!E3218+'By Lot'!E3235+'By Lot'!E3252)</f>
        <v>59</v>
      </c>
      <c r="F225" s="48">
        <f>SUM('By Lot'!F2861+'By Lot'!F2878+'By Lot'!F2895+'By Lot'!F2912+'By Lot'!F2929+'By Lot'!F3150+'By Lot'!F3218+'By Lot'!F3235+'By Lot'!F3252)</f>
        <v>43</v>
      </c>
      <c r="G225" s="48">
        <f>SUM('By Lot'!G2861+'By Lot'!G2878+'By Lot'!G2895+'By Lot'!G2912+'By Lot'!G2929+'By Lot'!G3150+'By Lot'!G3218+'By Lot'!G3235+'By Lot'!G3252)</f>
        <v>41</v>
      </c>
      <c r="H225" s="48">
        <f>SUM('By Lot'!H2861+'By Lot'!H2878+'By Lot'!H2895+'By Lot'!H2912+'By Lot'!H2929+'By Lot'!H3150+'By Lot'!H3218+'By Lot'!H3235+'By Lot'!H3252)</f>
        <v>43</v>
      </c>
      <c r="I225" s="48">
        <f>SUM('By Lot'!I2861+'By Lot'!I2878+'By Lot'!I2895+'By Lot'!I2912+'By Lot'!I2929+'By Lot'!I3150+'By Lot'!I3218+'By Lot'!I3235+'By Lot'!I3252)</f>
        <v>59</v>
      </c>
      <c r="J225" s="48">
        <f>SUM('By Lot'!J2861+'By Lot'!J2878+'By Lot'!J2895+'By Lot'!J2912+'By Lot'!J2929+'By Lot'!J3150+'By Lot'!J3218+'By Lot'!J3235+'By Lot'!J3252)</f>
        <v>63</v>
      </c>
      <c r="K225" s="48">
        <f>SUM('By Lot'!K2861+'By Lot'!K2878+'By Lot'!K2895+'By Lot'!K2912+'By Lot'!K2929+'By Lot'!K3150+'By Lot'!K3218+'By Lot'!K3235+'By Lot'!K3252)</f>
        <v>57</v>
      </c>
      <c r="L225" s="48">
        <f>SUM('By Lot'!L2861+'By Lot'!L2878+'By Lot'!L2895+'By Lot'!L2912+'By Lot'!L2929+'By Lot'!L3150+'By Lot'!L3218+'By Lot'!L3235+'By Lot'!L3252)</f>
        <v>88</v>
      </c>
      <c r="M225" s="48">
        <f>SUM('By Lot'!M2861+'By Lot'!M2878+'By Lot'!M2895+'By Lot'!M2912+'By Lot'!M2929+'By Lot'!M3150+'By Lot'!M3218+'By Lot'!M3235+'By Lot'!M3252)</f>
        <v>111</v>
      </c>
      <c r="N225" s="49">
        <f t="shared" si="77"/>
        <v>41</v>
      </c>
      <c r="O225" s="48">
        <f t="shared" si="78"/>
        <v>222</v>
      </c>
      <c r="P225" s="50">
        <f t="shared" si="79"/>
        <v>0.844106463878327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19" t="s">
        <v>46</v>
      </c>
      <c r="B226" s="28" t="s">
        <v>25</v>
      </c>
      <c r="C226" s="51">
        <v>1227</v>
      </c>
      <c r="D226" s="52">
        <f>SUM('By Lot'!D2947+'By Lot'!D2964+'By Lot'!D2981+'By Lot'!D2998+'By Lot'!D3015+'By Lot'!D3032+'By Lot'!D3049+'By Lot'!D3066+'By Lot'!D3083+'By Lot'!D3100+'By Lot'!D3117+'By Lot'!D3151+'By Lot'!D3185+'By Lot'!D3253+'By Lot'!D3287+'By Lot'!D3304)</f>
        <v>616</v>
      </c>
      <c r="E226" s="52">
        <f>SUM('By Lot'!E2947+'By Lot'!E2964+'By Lot'!E2981+'By Lot'!E2998+'By Lot'!E3015+'By Lot'!E3032+'By Lot'!E3049+'By Lot'!E3066+'By Lot'!E3083+'By Lot'!E3100+'By Lot'!E3117+'By Lot'!E3151+'By Lot'!E3185+'By Lot'!E3253+'By Lot'!E3287+'By Lot'!E3304)</f>
        <v>524</v>
      </c>
      <c r="F226" s="52">
        <f>SUM('By Lot'!F2947+'By Lot'!F2964+'By Lot'!F2981+'By Lot'!F2998+'By Lot'!F3015+'By Lot'!F3032+'By Lot'!F3049+'By Lot'!F3066+'By Lot'!F3083+'By Lot'!F3100+'By Lot'!F3117+'By Lot'!F3151+'By Lot'!F3185+'By Lot'!F3253+'By Lot'!F3287+'By Lot'!F3304)</f>
        <v>479</v>
      </c>
      <c r="G226" s="52">
        <f>SUM('By Lot'!G2947+'By Lot'!G2964+'By Lot'!G2981+'By Lot'!G2998+'By Lot'!G3015+'By Lot'!G3032+'By Lot'!G3049+'By Lot'!G3066+'By Lot'!G3083+'By Lot'!G3100+'By Lot'!G3117+'By Lot'!G3151+'By Lot'!G3185+'By Lot'!G3253+'By Lot'!G3287+'By Lot'!G3304)</f>
        <v>473</v>
      </c>
      <c r="H226" s="52">
        <f>SUM('By Lot'!H2947+'By Lot'!H2964+'By Lot'!H2981+'By Lot'!H2998+'By Lot'!H3015+'By Lot'!H3032+'By Lot'!H3049+'By Lot'!H3066+'By Lot'!H3083+'By Lot'!H3100+'By Lot'!H3117+'By Lot'!H3151+'By Lot'!H3185+'By Lot'!H3253+'By Lot'!H3287+'By Lot'!H3304)</f>
        <v>479</v>
      </c>
      <c r="I226" s="52">
        <f>SUM('By Lot'!I2947+'By Lot'!I2964+'By Lot'!I2981+'By Lot'!I2998+'By Lot'!I3015+'By Lot'!I3032+'By Lot'!I3049+'By Lot'!I3066+'By Lot'!I3083+'By Lot'!I3100+'By Lot'!I3117+'By Lot'!I3151+'By Lot'!I3185+'By Lot'!I3253+'By Lot'!I3287+'By Lot'!I3304)</f>
        <v>455</v>
      </c>
      <c r="J226" s="52">
        <f>SUM('By Lot'!J2947+'By Lot'!J2964+'By Lot'!J2981+'By Lot'!J2998+'By Lot'!J3015+'By Lot'!J3032+'By Lot'!J3049+'By Lot'!J3066+'By Lot'!J3083+'By Lot'!J3100+'By Lot'!J3117+'By Lot'!J3151+'By Lot'!J3185+'By Lot'!J3253+'By Lot'!J3287+'By Lot'!J3304)</f>
        <v>446</v>
      </c>
      <c r="K226" s="52">
        <f>SUM('By Lot'!K2947+'By Lot'!K2964+'By Lot'!K2981+'By Lot'!K2998+'By Lot'!K3015+'By Lot'!K3032+'By Lot'!K3049+'By Lot'!K3066+'By Lot'!K3083+'By Lot'!K3100+'By Lot'!K3117+'By Lot'!K3151+'By Lot'!K3185+'By Lot'!K3253+'By Lot'!K3287+'By Lot'!K3304)</f>
        <v>505</v>
      </c>
      <c r="L226" s="52">
        <f>SUM('By Lot'!L2947+'By Lot'!L2964+'By Lot'!L2981+'By Lot'!L2998+'By Lot'!L3015+'By Lot'!L3032+'By Lot'!L3049+'By Lot'!L3066+'By Lot'!L3083+'By Lot'!L3100+'By Lot'!L3117+'By Lot'!L3151+'By Lot'!L3185+'By Lot'!L3253+'By Lot'!L3287+'By Lot'!L3304)</f>
        <v>626</v>
      </c>
      <c r="M226" s="52">
        <f>SUM('By Lot'!M2947+'By Lot'!M2964+'By Lot'!M2981+'By Lot'!M2998+'By Lot'!M3015+'By Lot'!M3032+'By Lot'!M3049+'By Lot'!M3066+'By Lot'!M3083+'By Lot'!M3100+'By Lot'!M3117+'By Lot'!M3151+'By Lot'!M3185+'By Lot'!M3253+'By Lot'!M3287+'By Lot'!M3304)</f>
        <v>731</v>
      </c>
      <c r="N226" s="53">
        <f t="shared" si="77"/>
        <v>446</v>
      </c>
      <c r="O226" s="52">
        <f t="shared" si="78"/>
        <v>781</v>
      </c>
      <c r="P226" s="54">
        <f t="shared" si="79"/>
        <v>0.63651181744091279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19" t="s">
        <v>47</v>
      </c>
      <c r="B227" s="28" t="s">
        <v>27</v>
      </c>
      <c r="C227" s="28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97"/>
      <c r="O227" s="55"/>
      <c r="P227" s="56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57"/>
      <c r="B228" s="28" t="s">
        <v>31</v>
      </c>
      <c r="C228" s="51">
        <v>365</v>
      </c>
      <c r="D228" s="52">
        <f>SUM('By Lot'!D2711+'By Lot'!D2728+'By Lot'!D2745+'By Lot'!D2762+'By Lot'!D2779+'By Lot'!D2796+'By Lot'!D2813)</f>
        <v>206</v>
      </c>
      <c r="E228" s="52">
        <f>SUM('By Lot'!E2711+'By Lot'!E2728+'By Lot'!E2745+'By Lot'!E2762+'By Lot'!E2779+'By Lot'!E2796+'By Lot'!E2813)</f>
        <v>174</v>
      </c>
      <c r="F228" s="52">
        <f>SUM('By Lot'!F2711+'By Lot'!F2728+'By Lot'!F2745+'By Lot'!F2762+'By Lot'!F2779+'By Lot'!F2796+'By Lot'!F2813)</f>
        <v>164</v>
      </c>
      <c r="G228" s="52">
        <f>SUM('By Lot'!G2711+'By Lot'!G2728+'By Lot'!G2745+'By Lot'!G2762+'By Lot'!G2779+'By Lot'!G2796+'By Lot'!G2813)</f>
        <v>159</v>
      </c>
      <c r="H228" s="52">
        <f>SUM('By Lot'!H2711+'By Lot'!H2728+'By Lot'!H2745+'By Lot'!H2762+'By Lot'!H2779+'By Lot'!H2796+'By Lot'!H2813)</f>
        <v>163</v>
      </c>
      <c r="I228" s="52">
        <f>SUM('By Lot'!I2711+'By Lot'!I2728+'By Lot'!I2745+'By Lot'!I2762+'By Lot'!I2779+'By Lot'!I2796+'By Lot'!I2813)</f>
        <v>170</v>
      </c>
      <c r="J228" s="52">
        <f>SUM('By Lot'!J2711+'By Lot'!J2728+'By Lot'!J2745+'By Lot'!J2762+'By Lot'!J2779+'By Lot'!J2796+'By Lot'!J2813)</f>
        <v>173</v>
      </c>
      <c r="K228" s="52">
        <f>SUM('By Lot'!K2711+'By Lot'!K2728+'By Lot'!K2745+'By Lot'!K2762+'By Lot'!K2779+'By Lot'!K2796+'By Lot'!K2813)</f>
        <v>180</v>
      </c>
      <c r="L228" s="52">
        <f>SUM('By Lot'!L2711+'By Lot'!L2728+'By Lot'!L2745+'By Lot'!L2762+'By Lot'!L2779+'By Lot'!L2796+'By Lot'!L2813)</f>
        <v>195</v>
      </c>
      <c r="M228" s="52">
        <f>SUM('By Lot'!M2711+'By Lot'!M2728+'By Lot'!M2745+'By Lot'!M2762+'By Lot'!M2779+'By Lot'!M2796+'By Lot'!M2813)</f>
        <v>205</v>
      </c>
      <c r="N228" s="53">
        <f t="shared" ref="N228:N235" si="80">MIN(D228:M228)</f>
        <v>159</v>
      </c>
      <c r="O228" s="52">
        <f t="shared" ref="O228:O235" si="81">C228-N228</f>
        <v>206</v>
      </c>
      <c r="P228" s="54">
        <f t="shared" ref="P228:P235" si="82">O228/C228</f>
        <v>0.56438356164383563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57"/>
      <c r="B229" s="28" t="s">
        <v>32</v>
      </c>
      <c r="C229" s="370">
        <f>SUM('By Lot'!C2849, 'By Lot'!C3155, 'By Lot'!C3189, 'By Lot'!C3206, 'By Lot'!C3257, 'By Lot'!C3223, 'By Lot'!C3274, 'By Lot'!C3275)</f>
        <v>98</v>
      </c>
      <c r="D229" s="163">
        <f>SUM('By Lot'!D2849, 'By Lot'!D3155, 'By Lot'!D3189, 'By Lot'!D3206, 'By Lot'!D3257, 'By Lot'!D3223, 'By Lot'!D3274, 'By Lot'!D3275)</f>
        <v>82</v>
      </c>
      <c r="E229" s="163">
        <f>SUM('By Lot'!E2849, 'By Lot'!E3155, 'By Lot'!E3189, 'By Lot'!E3206, 'By Lot'!E3257, 'By Lot'!E3223, 'By Lot'!E3274, 'By Lot'!E3275)</f>
        <v>73</v>
      </c>
      <c r="F229" s="163">
        <f>SUM('By Lot'!F2849, 'By Lot'!F3155, 'By Lot'!F3189, 'By Lot'!F3206, 'By Lot'!F3257, 'By Lot'!F3223, 'By Lot'!F3274, 'By Lot'!F3275)</f>
        <v>72</v>
      </c>
      <c r="G229" s="163">
        <f>SUM('By Lot'!G2849, 'By Lot'!G3155, 'By Lot'!G3189, 'By Lot'!G3206, 'By Lot'!G3257, 'By Lot'!G3223, 'By Lot'!G3274, 'By Lot'!G3275)</f>
        <v>69</v>
      </c>
      <c r="H229" s="163">
        <f>SUM('By Lot'!H2849, 'By Lot'!H3155, 'By Lot'!H3189, 'By Lot'!H3206, 'By Lot'!H3257, 'By Lot'!H3223, 'By Lot'!H3274, 'By Lot'!H3275)</f>
        <v>67</v>
      </c>
      <c r="I229" s="163">
        <f>SUM('By Lot'!I2849, 'By Lot'!I3155, 'By Lot'!I3189, 'By Lot'!I3206, 'By Lot'!I3257, 'By Lot'!I3223, 'By Lot'!I3274, 'By Lot'!I3275)</f>
        <v>69</v>
      </c>
      <c r="J229" s="163">
        <f>SUM('By Lot'!J2849, 'By Lot'!J3155, 'By Lot'!J3189, 'By Lot'!J3206, 'By Lot'!J3257, 'By Lot'!J3223, 'By Lot'!J3274, 'By Lot'!J3275)</f>
        <v>63</v>
      </c>
      <c r="K229" s="163">
        <f>SUM('By Lot'!K2849, 'By Lot'!K3155, 'By Lot'!K3189, 'By Lot'!K3206, 'By Lot'!K3257, 'By Lot'!K3223, 'By Lot'!K3274, 'By Lot'!K3275)</f>
        <v>62</v>
      </c>
      <c r="L229" s="163">
        <f>SUM('By Lot'!L2849, 'By Lot'!L3155, 'By Lot'!L3189, 'By Lot'!L3206, 'By Lot'!L3257, 'By Lot'!L3223, 'By Lot'!L3274, 'By Lot'!L3275)</f>
        <v>64</v>
      </c>
      <c r="M229" s="163">
        <f>SUM('By Lot'!M2849, 'By Lot'!M3155, 'By Lot'!M3189, 'By Lot'!M3206, 'By Lot'!M3257, 'By Lot'!M3223, 'By Lot'!M3274, 'By Lot'!M3275)</f>
        <v>65</v>
      </c>
      <c r="N229" s="53">
        <f t="shared" si="80"/>
        <v>62</v>
      </c>
      <c r="O229" s="52">
        <f t="shared" si="81"/>
        <v>36</v>
      </c>
      <c r="P229" s="54">
        <f t="shared" si="82"/>
        <v>0.36734693877551022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57"/>
      <c r="B230" s="28" t="s">
        <v>33</v>
      </c>
      <c r="C230" s="51">
        <v>120</v>
      </c>
      <c r="D230" s="52">
        <f>SUM('By Lot'!D2816+'By Lot'!D2833+'By Lot'!D2850+'By Lot'!D2969+'By Lot'!D2970+'By Lot'!D2986+'By Lot'!D3139+'By Lot'!D3156+'By Lot'!D3157+'By Lot'!D3208+'By Lot'!D3258+'By Lot'!D3259+'By Lot'!D3260+'By Lot'!D3261+'By Lot'!D3262)</f>
        <v>86</v>
      </c>
      <c r="E230" s="52">
        <f>SUM('By Lot'!E2816+'By Lot'!E2833+'By Lot'!E2850+'By Lot'!E2969+'By Lot'!E2970+'By Lot'!E2986+'By Lot'!E3139+'By Lot'!E3156+'By Lot'!E3157+'By Lot'!E3208+'By Lot'!E3258+'By Lot'!E3259+'By Lot'!E3260+'By Lot'!E3261+'By Lot'!E3262)</f>
        <v>75</v>
      </c>
      <c r="F230" s="52">
        <f>SUM('By Lot'!F2816+'By Lot'!F2833+'By Lot'!F2850+'By Lot'!F2969+'By Lot'!F2970+'By Lot'!F2986+'By Lot'!F3139+'By Lot'!F3156+'By Lot'!F3157+'By Lot'!F3208+'By Lot'!F3258+'By Lot'!F3259+'By Lot'!F3260+'By Lot'!F3261+'By Lot'!F3262)</f>
        <v>70</v>
      </c>
      <c r="G230" s="52">
        <f>SUM('By Lot'!G2816+'By Lot'!G2833+'By Lot'!G2850+'By Lot'!G2969+'By Lot'!G2970+'By Lot'!G2986+'By Lot'!G3139+'By Lot'!G3156+'By Lot'!G3157+'By Lot'!G3208+'By Lot'!G3258+'By Lot'!G3259+'By Lot'!G3260+'By Lot'!G3261+'By Lot'!G3262)</f>
        <v>67</v>
      </c>
      <c r="H230" s="52">
        <f>SUM('By Lot'!H2816+'By Lot'!H2833+'By Lot'!H2850+'By Lot'!H2969+'By Lot'!H2970+'By Lot'!H2986+'By Lot'!H3139+'By Lot'!H3156+'By Lot'!H3157+'By Lot'!H3208+'By Lot'!H3258+'By Lot'!H3259+'By Lot'!H3260+'By Lot'!H3261+'By Lot'!H3262)</f>
        <v>71</v>
      </c>
      <c r="I230" s="52">
        <f>SUM('By Lot'!I2816+'By Lot'!I2833+'By Lot'!I2850+'By Lot'!I2969+'By Lot'!I2970+'By Lot'!I2986+'By Lot'!I3139+'By Lot'!I3156+'By Lot'!I3157+'By Lot'!I3208+'By Lot'!I3258+'By Lot'!I3259+'By Lot'!I3260+'By Lot'!I3261+'By Lot'!I3262)</f>
        <v>75</v>
      </c>
      <c r="J230" s="52">
        <f>SUM('By Lot'!J2816+'By Lot'!J2833+'By Lot'!J2850+'By Lot'!J2969+'By Lot'!J2970+'By Lot'!J2986+'By Lot'!J3139+'By Lot'!J3156+'By Lot'!J3157+'By Lot'!J3208+'By Lot'!J3258+'By Lot'!J3259+'By Lot'!J3260+'By Lot'!J3261+'By Lot'!J3262)</f>
        <v>76</v>
      </c>
      <c r="K230" s="52">
        <f>SUM('By Lot'!K2816+'By Lot'!K2833+'By Lot'!K2850+'By Lot'!K2969+'By Lot'!K2970+'By Lot'!K2986+'By Lot'!K3139+'By Lot'!K3156+'By Lot'!K3157+'By Lot'!K3208+'By Lot'!K3258+'By Lot'!K3259+'By Lot'!K3260+'By Lot'!K3261+'By Lot'!K3262)</f>
        <v>78</v>
      </c>
      <c r="L230" s="52">
        <f>SUM('By Lot'!L2816+'By Lot'!L2833+'By Lot'!L2850+'By Lot'!L2969+'By Lot'!L2970+'By Lot'!L2986+'By Lot'!L3139+'By Lot'!L3156+'By Lot'!L3157+'By Lot'!L3208+'By Lot'!L3258+'By Lot'!L3259+'By Lot'!L3260+'By Lot'!L3261+'By Lot'!L3262)</f>
        <v>84</v>
      </c>
      <c r="M230" s="52">
        <f>SUM('By Lot'!M2816+'By Lot'!M2833+'By Lot'!M2850+'By Lot'!M2969+'By Lot'!M2970+'By Lot'!M2986+'By Lot'!M3139+'By Lot'!M3156+'By Lot'!M3157+'By Lot'!M3208+'By Lot'!M3258+'By Lot'!M3259+'By Lot'!M3260+'By Lot'!M3261+'By Lot'!M3262)</f>
        <v>82</v>
      </c>
      <c r="N230" s="53">
        <f t="shared" si="80"/>
        <v>67</v>
      </c>
      <c r="O230" s="52">
        <f t="shared" si="81"/>
        <v>53</v>
      </c>
      <c r="P230" s="54">
        <f t="shared" si="82"/>
        <v>0.44166666666666665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19"/>
      <c r="B231" s="28" t="s">
        <v>34</v>
      </c>
      <c r="C231" s="51">
        <v>54</v>
      </c>
      <c r="D231" s="52">
        <f>SUM('By Lot'!D2839+'By Lot'!D2873+'By Lot'!D2907+'By Lot'!D2941+'By Lot'!D2958+'By Lot'!D2975+'By Lot'!D3043+'By Lot'!D3145+'By Lot'!D3162+'By Lot'!D3196+'By Lot'!D3213+'By Lot'!D3264)</f>
        <v>14</v>
      </c>
      <c r="E231" s="52">
        <f>SUM('By Lot'!E2839+'By Lot'!E2873+'By Lot'!E2907+'By Lot'!E2941+'By Lot'!E2958+'By Lot'!E2975+'By Lot'!E3043+'By Lot'!E3145+'By Lot'!E3162+'By Lot'!E3196+'By Lot'!E3213+'By Lot'!E3264)</f>
        <v>13</v>
      </c>
      <c r="F231" s="52">
        <f>SUM('By Lot'!F2839+'By Lot'!F2873+'By Lot'!F2907+'By Lot'!F2941+'By Lot'!F2958+'By Lot'!F2975+'By Lot'!F3043+'By Lot'!F3145+'By Lot'!F3162+'By Lot'!F3196+'By Lot'!F3213+'By Lot'!F3264)</f>
        <v>13</v>
      </c>
      <c r="G231" s="52">
        <f>SUM('By Lot'!G2839+'By Lot'!G2873+'By Lot'!G2907+'By Lot'!G2941+'By Lot'!G2958+'By Lot'!G2975+'By Lot'!G3043+'By Lot'!G3145+'By Lot'!G3162+'By Lot'!G3196+'By Lot'!G3213+'By Lot'!G3264)</f>
        <v>13</v>
      </c>
      <c r="H231" s="52">
        <f>SUM('By Lot'!H2839+'By Lot'!H2873+'By Lot'!H2907+'By Lot'!H2941+'By Lot'!H2958+'By Lot'!H2975+'By Lot'!H3043+'By Lot'!H3145+'By Lot'!H3162+'By Lot'!H3196+'By Lot'!H3213+'By Lot'!H3264)</f>
        <v>14</v>
      </c>
      <c r="I231" s="52">
        <f>SUM('By Lot'!I2839+'By Lot'!I2873+'By Lot'!I2907+'By Lot'!I2941+'By Lot'!I2958+'By Lot'!I2975+'By Lot'!I3043+'By Lot'!I3145+'By Lot'!I3162+'By Lot'!I3196+'By Lot'!I3213+'By Lot'!I3264)</f>
        <v>14</v>
      </c>
      <c r="J231" s="52">
        <f>SUM('By Lot'!J2839+'By Lot'!J2873+'By Lot'!J2907+'By Lot'!J2941+'By Lot'!J2958+'By Lot'!J2975+'By Lot'!J3043+'By Lot'!J3145+'By Lot'!J3162+'By Lot'!J3196+'By Lot'!J3213+'By Lot'!J3264)</f>
        <v>13</v>
      </c>
      <c r="K231" s="52">
        <f>SUM('By Lot'!K2839+'By Lot'!K2873+'By Lot'!K2907+'By Lot'!K2941+'By Lot'!K2958+'By Lot'!K2975+'By Lot'!K3043+'By Lot'!K3145+'By Lot'!K3162+'By Lot'!K3196+'By Lot'!K3213+'By Lot'!K3264)</f>
        <v>11</v>
      </c>
      <c r="L231" s="52">
        <f>SUM('By Lot'!L2839+'By Lot'!L2873+'By Lot'!L2907+'By Lot'!L2941+'By Lot'!L2958+'By Lot'!L2975+'By Lot'!L3043+'By Lot'!L3145+'By Lot'!L3162+'By Lot'!L3196+'By Lot'!L3213+'By Lot'!L3264)</f>
        <v>22</v>
      </c>
      <c r="M231" s="52">
        <f>SUM('By Lot'!M2839+'By Lot'!M2873+'By Lot'!M2907+'By Lot'!M2941+'By Lot'!M2958+'By Lot'!M2975+'By Lot'!M3043+'By Lot'!M3145+'By Lot'!M3162+'By Lot'!M3196+'By Lot'!M3213+'By Lot'!M3264)</f>
        <v>24</v>
      </c>
      <c r="N231" s="53">
        <f t="shared" si="80"/>
        <v>11</v>
      </c>
      <c r="O231" s="52">
        <f t="shared" si="81"/>
        <v>43</v>
      </c>
      <c r="P231" s="54">
        <f t="shared" si="82"/>
        <v>0.79629629629629628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19"/>
      <c r="B232" s="28" t="s">
        <v>35</v>
      </c>
      <c r="C232" s="51">
        <v>15</v>
      </c>
      <c r="D232" s="52">
        <f>SUM('By Lot'!D2840+'By Lot'!D3197+'By Lot'!D3265)</f>
        <v>3</v>
      </c>
      <c r="E232" s="52">
        <f>SUM('By Lot'!E2840+'By Lot'!E3197+'By Lot'!E3265)</f>
        <v>1</v>
      </c>
      <c r="F232" s="52">
        <f>SUM('By Lot'!F2840+'By Lot'!F3197+'By Lot'!F3265)</f>
        <v>3</v>
      </c>
      <c r="G232" s="52">
        <f>SUM('By Lot'!G2840+'By Lot'!G3197+'By Lot'!G3265)</f>
        <v>3</v>
      </c>
      <c r="H232" s="52">
        <f>SUM('By Lot'!H2840+'By Lot'!H3197+'By Lot'!H3265)</f>
        <v>3</v>
      </c>
      <c r="I232" s="52">
        <f>SUM('By Lot'!I2840+'By Lot'!I3197+'By Lot'!I3265)</f>
        <v>4</v>
      </c>
      <c r="J232" s="52">
        <f>SUM('By Lot'!J2840+'By Lot'!J3197+'By Lot'!J3265)</f>
        <v>4</v>
      </c>
      <c r="K232" s="52">
        <f>SUM('By Lot'!K2840+'By Lot'!K3197+'By Lot'!K3265)</f>
        <v>4</v>
      </c>
      <c r="L232" s="52">
        <f>SUM('By Lot'!L2840+'By Lot'!L3197+'By Lot'!L3265)</f>
        <v>5</v>
      </c>
      <c r="M232" s="52">
        <f>SUM('By Lot'!M2840+'By Lot'!M3197+'By Lot'!M3265)</f>
        <v>5</v>
      </c>
      <c r="N232" s="53">
        <f t="shared" si="80"/>
        <v>1</v>
      </c>
      <c r="O232" s="52">
        <f t="shared" si="81"/>
        <v>14</v>
      </c>
      <c r="P232" s="54">
        <f t="shared" si="82"/>
        <v>0.93333333333333335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19"/>
      <c r="B233" s="28" t="s">
        <v>36</v>
      </c>
      <c r="C233" s="51">
        <v>13</v>
      </c>
      <c r="D233" s="52">
        <f>SUM('By Lot'!D3249)</f>
        <v>0</v>
      </c>
      <c r="E233" s="52">
        <f>SUM('By Lot'!E3249)</f>
        <v>3</v>
      </c>
      <c r="F233" s="52">
        <f>SUM('By Lot'!F3249)</f>
        <v>2</v>
      </c>
      <c r="G233" s="52">
        <f>SUM('By Lot'!G3249)</f>
        <v>2</v>
      </c>
      <c r="H233" s="52">
        <f>SUM('By Lot'!H3249)</f>
        <v>2</v>
      </c>
      <c r="I233" s="52">
        <f>SUM('By Lot'!I3249)</f>
        <v>3</v>
      </c>
      <c r="J233" s="52">
        <f>SUM('By Lot'!J3249)</f>
        <v>0</v>
      </c>
      <c r="K233" s="52">
        <f>SUM('By Lot'!K3249)</f>
        <v>1</v>
      </c>
      <c r="L233" s="52">
        <f>SUM('By Lot'!L3249)</f>
        <v>0</v>
      </c>
      <c r="M233" s="52">
        <f>SUM('By Lot'!M3249)</f>
        <v>0</v>
      </c>
      <c r="N233" s="53">
        <f t="shared" si="80"/>
        <v>0</v>
      </c>
      <c r="O233" s="52">
        <f t="shared" si="81"/>
        <v>13</v>
      </c>
      <c r="P233" s="54">
        <f t="shared" si="82"/>
        <v>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19"/>
      <c r="B234" s="89" t="s">
        <v>37</v>
      </c>
      <c r="C234" s="58">
        <v>13</v>
      </c>
      <c r="D234" s="52">
        <f>SUM('By Lot'!D3267)</f>
        <v>2</v>
      </c>
      <c r="E234" s="52">
        <f>SUM('By Lot'!E3267)</f>
        <v>1</v>
      </c>
      <c r="F234" s="52">
        <f>SUM('By Lot'!F3267)</f>
        <v>0</v>
      </c>
      <c r="G234" s="52">
        <f>SUM('By Lot'!G3267)</f>
        <v>2</v>
      </c>
      <c r="H234" s="52">
        <f>SUM('By Lot'!H3267)</f>
        <v>2</v>
      </c>
      <c r="I234" s="52">
        <f>SUM('By Lot'!I3267)</f>
        <v>1</v>
      </c>
      <c r="J234" s="52">
        <f>SUM('By Lot'!J3267)</f>
        <v>1</v>
      </c>
      <c r="K234" s="52">
        <f>SUM('By Lot'!K3267)</f>
        <v>0</v>
      </c>
      <c r="L234" s="52">
        <f>SUM('By Lot'!L3267)</f>
        <v>1</v>
      </c>
      <c r="M234" s="52">
        <f>SUM('By Lot'!M3267)</f>
        <v>0</v>
      </c>
      <c r="N234" s="53">
        <f t="shared" si="80"/>
        <v>0</v>
      </c>
      <c r="O234" s="52">
        <f t="shared" si="81"/>
        <v>13</v>
      </c>
      <c r="P234" s="54">
        <f t="shared" si="82"/>
        <v>1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59"/>
      <c r="B235" s="60" t="s">
        <v>38</v>
      </c>
      <c r="C235" s="98">
        <f t="shared" ref="C235:M235" si="83">SUM(C225:C234)</f>
        <v>2168</v>
      </c>
      <c r="D235" s="62">
        <f t="shared" si="83"/>
        <v>1186</v>
      </c>
      <c r="E235" s="62">
        <f t="shared" si="83"/>
        <v>923</v>
      </c>
      <c r="F235" s="62">
        <f t="shared" si="83"/>
        <v>846</v>
      </c>
      <c r="G235" s="62">
        <f t="shared" si="83"/>
        <v>829</v>
      </c>
      <c r="H235" s="62">
        <f t="shared" si="83"/>
        <v>844</v>
      </c>
      <c r="I235" s="62">
        <f t="shared" si="83"/>
        <v>850</v>
      </c>
      <c r="J235" s="62">
        <f t="shared" si="83"/>
        <v>839</v>
      </c>
      <c r="K235" s="62">
        <f t="shared" si="83"/>
        <v>898</v>
      </c>
      <c r="L235" s="62">
        <f t="shared" si="83"/>
        <v>1085</v>
      </c>
      <c r="M235" s="62">
        <f t="shared" si="83"/>
        <v>1223</v>
      </c>
      <c r="N235" s="64">
        <f t="shared" si="80"/>
        <v>829</v>
      </c>
      <c r="O235" s="62">
        <f t="shared" si="81"/>
        <v>1339</v>
      </c>
      <c r="P235" s="65">
        <f t="shared" si="82"/>
        <v>0.61761992619926198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6" manualBreakCount="6">
    <brk id="39" man="1"/>
    <brk id="74" man="1"/>
    <brk id="110" man="1"/>
    <brk id="145" max="16383" man="1"/>
    <brk id="180" max="16383" man="1"/>
    <brk id="213" max="16383" man="1"/>
  </rowBreaks>
  <cellWatches>
    <cellWatch r="C229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54"/>
  <sheetViews>
    <sheetView showGridLines="0" zoomScaleNormal="100" zoomScaleSheetLayoutView="46" workbookViewId="0">
      <pane ySplit="6" topLeftCell="A3263" activePane="bottomLeft" state="frozen"/>
      <selection pane="bottomLeft" activeCell="C3274" sqref="C3274"/>
    </sheetView>
  </sheetViews>
  <sheetFormatPr defaultColWidth="14.453125" defaultRowHeight="15" customHeight="1"/>
  <cols>
    <col min="1" max="1" width="9.26953125" customWidth="1"/>
    <col min="2" max="2" width="18.72656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54296875" customWidth="1"/>
    <col min="15" max="16" width="7.81640625" customWidth="1"/>
  </cols>
  <sheetData>
    <row r="1" spans="1:16" ht="14">
      <c r="A1" s="349" t="s">
        <v>39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</row>
    <row r="2" spans="1:16" ht="14">
      <c r="A2" s="349" t="s">
        <v>96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</row>
    <row r="3" spans="1:16" ht="12.5" hidden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2.5">
      <c r="A4" s="3" t="s">
        <v>97</v>
      </c>
      <c r="B4" s="3" t="s">
        <v>2</v>
      </c>
      <c r="C4" s="3" t="s">
        <v>2</v>
      </c>
      <c r="D4" s="352" t="s">
        <v>3</v>
      </c>
      <c r="E4" s="353"/>
      <c r="F4" s="353"/>
      <c r="G4" s="353"/>
      <c r="H4" s="353"/>
      <c r="I4" s="353"/>
      <c r="J4" s="353"/>
      <c r="K4" s="353"/>
      <c r="L4" s="353"/>
      <c r="M4" s="354"/>
      <c r="N4" s="352" t="s">
        <v>4</v>
      </c>
      <c r="O4" s="353"/>
      <c r="P4" s="354"/>
    </row>
    <row r="5" spans="1:16" ht="9.7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</row>
    <row r="6" spans="1:16" ht="9.75" customHeight="1">
      <c r="A6" s="11"/>
      <c r="B6" s="11"/>
      <c r="C6" s="11"/>
      <c r="D6" s="15" t="s">
        <v>20</v>
      </c>
      <c r="E6" s="16" t="s">
        <v>20</v>
      </c>
      <c r="F6" s="16" t="s">
        <v>20</v>
      </c>
      <c r="G6" s="16" t="s">
        <v>20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7" t="s">
        <v>21</v>
      </c>
      <c r="N6" s="15" t="s">
        <v>6</v>
      </c>
      <c r="O6" s="16" t="s">
        <v>6</v>
      </c>
      <c r="P6" s="17" t="s">
        <v>18</v>
      </c>
    </row>
    <row r="7" spans="1:16" ht="9.75" customHeight="1">
      <c r="A7" s="66" t="s">
        <v>98</v>
      </c>
      <c r="B7" s="66" t="s">
        <v>23</v>
      </c>
      <c r="C7" s="66"/>
      <c r="D7" s="41"/>
      <c r="E7" s="72"/>
      <c r="F7" s="72"/>
      <c r="G7" s="72"/>
      <c r="H7" s="72"/>
      <c r="I7" s="72"/>
      <c r="J7" s="72"/>
      <c r="K7" s="72"/>
      <c r="L7" s="72"/>
      <c r="M7" s="73"/>
      <c r="N7" s="41"/>
      <c r="O7" s="72"/>
      <c r="P7" s="99"/>
    </row>
    <row r="8" spans="1:16" ht="9.75" customHeight="1">
      <c r="A8" s="18"/>
      <c r="B8" s="18" t="s">
        <v>25</v>
      </c>
      <c r="C8" s="18"/>
      <c r="D8" s="26"/>
      <c r="E8" s="2"/>
      <c r="F8" s="2"/>
      <c r="G8" s="2"/>
      <c r="H8" s="2"/>
      <c r="I8" s="2"/>
      <c r="J8" s="2"/>
      <c r="K8" s="2"/>
      <c r="L8" s="2"/>
      <c r="M8" s="27"/>
      <c r="N8" s="26"/>
      <c r="O8" s="2"/>
      <c r="P8" s="24"/>
    </row>
    <row r="9" spans="1:16" ht="9.75" customHeight="1">
      <c r="A9" s="18"/>
      <c r="B9" s="18" t="s">
        <v>27</v>
      </c>
      <c r="C9" s="18"/>
      <c r="D9" s="26"/>
      <c r="E9" s="2"/>
      <c r="F9" s="2"/>
      <c r="G9" s="2"/>
      <c r="H9" s="2"/>
      <c r="I9" s="2"/>
      <c r="J9" s="2"/>
      <c r="K9" s="2"/>
      <c r="L9" s="2"/>
      <c r="M9" s="27"/>
      <c r="N9" s="26"/>
      <c r="O9" s="2"/>
      <c r="P9" s="24"/>
    </row>
    <row r="10" spans="1:16" ht="9.75" customHeight="1">
      <c r="A10" s="18"/>
      <c r="B10" s="18" t="s">
        <v>99</v>
      </c>
      <c r="C10" s="18"/>
      <c r="D10" s="26"/>
      <c r="E10" s="2"/>
      <c r="F10" s="2"/>
      <c r="G10" s="2"/>
      <c r="H10" s="2"/>
      <c r="I10" s="2"/>
      <c r="J10" s="2"/>
      <c r="K10" s="2"/>
      <c r="L10" s="2"/>
      <c r="M10" s="27"/>
      <c r="N10" s="26"/>
      <c r="O10" s="2"/>
      <c r="P10" s="24"/>
    </row>
    <row r="11" spans="1:16" ht="9.75" customHeight="1">
      <c r="A11" s="18"/>
      <c r="B11" s="18" t="s">
        <v>99</v>
      </c>
      <c r="C11" s="18"/>
      <c r="D11" s="26"/>
      <c r="E11" s="2"/>
      <c r="F11" s="2"/>
      <c r="G11" s="2"/>
      <c r="H11" s="2"/>
      <c r="I11" s="2"/>
      <c r="J11" s="2"/>
      <c r="K11" s="2"/>
      <c r="L11" s="2"/>
      <c r="M11" s="27"/>
      <c r="N11" s="26"/>
      <c r="O11" s="2"/>
      <c r="P11" s="24"/>
    </row>
    <row r="12" spans="1:16" ht="9.75" customHeight="1">
      <c r="A12" s="18"/>
      <c r="B12" s="18" t="s">
        <v>32</v>
      </c>
      <c r="C12" s="18">
        <v>1</v>
      </c>
      <c r="D12" s="26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0</v>
      </c>
      <c r="L12" s="2">
        <v>0</v>
      </c>
      <c r="M12" s="27">
        <v>1</v>
      </c>
      <c r="N12" s="26">
        <f t="shared" ref="N12:N16" si="0">MIN(D12:M12)</f>
        <v>0</v>
      </c>
      <c r="O12" s="2">
        <f t="shared" ref="O12:O16" si="1">C12-N12</f>
        <v>1</v>
      </c>
      <c r="P12" s="24">
        <f t="shared" ref="P12:P16" si="2">O12/C12</f>
        <v>1</v>
      </c>
    </row>
    <row r="13" spans="1:16" ht="9.75" customHeight="1">
      <c r="A13" s="18"/>
      <c r="B13" s="18" t="s">
        <v>100</v>
      </c>
      <c r="C13" s="18">
        <v>1</v>
      </c>
      <c r="D13" s="26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7">
        <v>1</v>
      </c>
      <c r="N13" s="26">
        <f t="shared" si="0"/>
        <v>1</v>
      </c>
      <c r="O13" s="2">
        <f t="shared" si="1"/>
        <v>0</v>
      </c>
      <c r="P13" s="24">
        <f t="shared" si="2"/>
        <v>0</v>
      </c>
    </row>
    <row r="14" spans="1:16" ht="9.75" customHeight="1">
      <c r="A14" s="18"/>
      <c r="B14" s="18" t="s">
        <v>101</v>
      </c>
      <c r="C14" s="18">
        <v>2</v>
      </c>
      <c r="D14" s="26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7">
        <v>2</v>
      </c>
      <c r="N14" s="26">
        <f t="shared" si="0"/>
        <v>2</v>
      </c>
      <c r="O14" s="2">
        <f t="shared" si="1"/>
        <v>0</v>
      </c>
      <c r="P14" s="24">
        <f t="shared" si="2"/>
        <v>0</v>
      </c>
    </row>
    <row r="15" spans="1:16" ht="9.75" customHeight="1">
      <c r="A15" s="18"/>
      <c r="B15" s="18" t="s">
        <v>102</v>
      </c>
      <c r="C15" s="18">
        <v>4</v>
      </c>
      <c r="D15" s="26">
        <v>3</v>
      </c>
      <c r="E15" s="2">
        <v>3</v>
      </c>
      <c r="F15" s="2">
        <v>3</v>
      </c>
      <c r="G15" s="2">
        <v>2</v>
      </c>
      <c r="H15" s="2">
        <v>3</v>
      </c>
      <c r="I15" s="2">
        <v>3</v>
      </c>
      <c r="J15" s="2">
        <v>2</v>
      </c>
      <c r="K15" s="2">
        <v>2</v>
      </c>
      <c r="L15" s="2">
        <v>2</v>
      </c>
      <c r="M15" s="27">
        <v>4</v>
      </c>
      <c r="N15" s="26">
        <f t="shared" si="0"/>
        <v>2</v>
      </c>
      <c r="O15" s="2">
        <f t="shared" si="1"/>
        <v>2</v>
      </c>
      <c r="P15" s="24">
        <f t="shared" si="2"/>
        <v>0.5</v>
      </c>
    </row>
    <row r="16" spans="1:16" ht="9.75" customHeight="1">
      <c r="A16" s="18"/>
      <c r="B16" s="18" t="s">
        <v>103</v>
      </c>
      <c r="C16" s="18">
        <v>2</v>
      </c>
      <c r="D16" s="26">
        <v>2</v>
      </c>
      <c r="E16" s="2">
        <v>2</v>
      </c>
      <c r="F16" s="2">
        <v>2</v>
      </c>
      <c r="G16" s="2">
        <v>1</v>
      </c>
      <c r="H16" s="2">
        <v>1</v>
      </c>
      <c r="I16" s="2">
        <v>2</v>
      </c>
      <c r="J16" s="2">
        <v>2</v>
      </c>
      <c r="K16" s="2">
        <v>2</v>
      </c>
      <c r="L16" s="2">
        <v>2</v>
      </c>
      <c r="M16" s="27">
        <v>2</v>
      </c>
      <c r="N16" s="26">
        <f t="shared" si="0"/>
        <v>1</v>
      </c>
      <c r="O16" s="2">
        <f t="shared" si="1"/>
        <v>1</v>
      </c>
      <c r="P16" s="24">
        <f t="shared" si="2"/>
        <v>0.5</v>
      </c>
    </row>
    <row r="17" spans="1:16" ht="9.75" customHeight="1">
      <c r="A17" s="18"/>
      <c r="B17" s="18" t="s">
        <v>104</v>
      </c>
      <c r="C17" s="18"/>
      <c r="D17" s="26"/>
      <c r="E17" s="2"/>
      <c r="F17" s="2"/>
      <c r="G17" s="2"/>
      <c r="H17" s="2"/>
      <c r="I17" s="2"/>
      <c r="J17" s="2"/>
      <c r="K17" s="2"/>
      <c r="L17" s="2"/>
      <c r="M17" s="27"/>
      <c r="N17" s="26"/>
      <c r="O17" s="2"/>
      <c r="P17" s="24"/>
    </row>
    <row r="18" spans="1:16" ht="9.75" customHeight="1">
      <c r="A18" s="18"/>
      <c r="B18" s="18" t="s">
        <v>104</v>
      </c>
      <c r="C18" s="18"/>
      <c r="D18" s="26"/>
      <c r="E18" s="2"/>
      <c r="F18" s="2"/>
      <c r="G18" s="2"/>
      <c r="H18" s="2"/>
      <c r="I18" s="2"/>
      <c r="J18" s="2"/>
      <c r="K18" s="2"/>
      <c r="L18" s="2"/>
      <c r="M18" s="27"/>
      <c r="N18" s="26"/>
      <c r="O18" s="2"/>
      <c r="P18" s="24"/>
    </row>
    <row r="19" spans="1:16" ht="9.75" customHeight="1">
      <c r="A19" s="18"/>
      <c r="B19" s="18" t="s">
        <v>34</v>
      </c>
      <c r="C19" s="18">
        <v>1</v>
      </c>
      <c r="D19" s="26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7">
        <v>0</v>
      </c>
      <c r="N19" s="26">
        <f>MIN(D19:M19)</f>
        <v>0</v>
      </c>
      <c r="O19" s="2">
        <f>C19-N19</f>
        <v>1</v>
      </c>
      <c r="P19" s="24">
        <f>O19/C19</f>
        <v>1</v>
      </c>
    </row>
    <row r="20" spans="1:16" ht="9.75" customHeight="1">
      <c r="A20" s="18"/>
      <c r="B20" s="18" t="s">
        <v>35</v>
      </c>
      <c r="C20" s="18"/>
      <c r="D20" s="26"/>
      <c r="E20" s="2"/>
      <c r="F20" s="2"/>
      <c r="G20" s="2"/>
      <c r="H20" s="2"/>
      <c r="I20" s="2"/>
      <c r="J20" s="2"/>
      <c r="K20" s="2"/>
      <c r="L20" s="2"/>
      <c r="M20" s="27"/>
      <c r="N20" s="26"/>
      <c r="O20" s="2"/>
      <c r="P20" s="24"/>
    </row>
    <row r="21" spans="1:16" ht="9.75" customHeight="1">
      <c r="A21" s="18"/>
      <c r="B21" s="18" t="s">
        <v>36</v>
      </c>
      <c r="C21" s="18"/>
      <c r="D21" s="26"/>
      <c r="E21" s="2"/>
      <c r="F21" s="2"/>
      <c r="G21" s="2"/>
      <c r="H21" s="2"/>
      <c r="I21" s="2"/>
      <c r="J21" s="2"/>
      <c r="K21" s="2"/>
      <c r="L21" s="2"/>
      <c r="M21" s="27"/>
      <c r="N21" s="26"/>
      <c r="O21" s="2"/>
      <c r="P21" s="24"/>
    </row>
    <row r="22" spans="1:16" ht="9.75" customHeight="1">
      <c r="A22" s="18"/>
      <c r="B22" s="18" t="s">
        <v>37</v>
      </c>
      <c r="C22" s="18"/>
      <c r="D22" s="26"/>
      <c r="E22" s="2"/>
      <c r="F22" s="2"/>
      <c r="G22" s="2"/>
      <c r="H22" s="2"/>
      <c r="I22" s="2"/>
      <c r="J22" s="2"/>
      <c r="K22" s="2"/>
      <c r="L22" s="2"/>
      <c r="M22" s="27"/>
      <c r="N22" s="26"/>
      <c r="O22" s="2"/>
      <c r="P22" s="24"/>
    </row>
    <row r="23" spans="1:16" ht="9.75" customHeight="1">
      <c r="A23" s="32"/>
      <c r="B23" s="33" t="s">
        <v>38</v>
      </c>
      <c r="C23" s="33">
        <f t="shared" ref="C23:M23" si="3">SUM(C7:C22)</f>
        <v>11</v>
      </c>
      <c r="D23" s="70">
        <f t="shared" si="3"/>
        <v>10</v>
      </c>
      <c r="E23" s="71">
        <f t="shared" si="3"/>
        <v>10</v>
      </c>
      <c r="F23" s="71">
        <f t="shared" si="3"/>
        <v>10</v>
      </c>
      <c r="G23" s="71">
        <f t="shared" si="3"/>
        <v>8</v>
      </c>
      <c r="H23" s="71">
        <f t="shared" si="3"/>
        <v>9</v>
      </c>
      <c r="I23" s="71">
        <f t="shared" si="3"/>
        <v>10</v>
      </c>
      <c r="J23" s="71">
        <f t="shared" si="3"/>
        <v>8</v>
      </c>
      <c r="K23" s="71">
        <f t="shared" si="3"/>
        <v>8</v>
      </c>
      <c r="L23" s="71">
        <f t="shared" si="3"/>
        <v>8</v>
      </c>
      <c r="M23" s="93">
        <f t="shared" si="3"/>
        <v>10</v>
      </c>
      <c r="N23" s="70">
        <f>MIN(D23:M23)</f>
        <v>8</v>
      </c>
      <c r="O23" s="71">
        <f>C23-N23</f>
        <v>3</v>
      </c>
      <c r="P23" s="40">
        <f>O23/C23</f>
        <v>0.27272727272727271</v>
      </c>
    </row>
    <row r="24" spans="1:16" ht="9.75" customHeight="1">
      <c r="A24" s="66" t="s">
        <v>105</v>
      </c>
      <c r="B24" s="66" t="s">
        <v>23</v>
      </c>
      <c r="C24" s="66"/>
      <c r="D24" s="41"/>
      <c r="E24" s="72"/>
      <c r="F24" s="72"/>
      <c r="G24" s="72"/>
      <c r="H24" s="72"/>
      <c r="I24" s="72"/>
      <c r="J24" s="72"/>
      <c r="K24" s="72"/>
      <c r="L24" s="72"/>
      <c r="M24" s="73"/>
      <c r="N24" s="41"/>
      <c r="O24" s="72"/>
      <c r="P24" s="99"/>
    </row>
    <row r="25" spans="1:16" ht="9.75" customHeight="1">
      <c r="A25" s="18"/>
      <c r="B25" s="18" t="s">
        <v>25</v>
      </c>
      <c r="C25" s="18"/>
      <c r="D25" s="26"/>
      <c r="E25" s="2"/>
      <c r="F25" s="2"/>
      <c r="G25" s="2"/>
      <c r="H25" s="2"/>
      <c r="I25" s="2"/>
      <c r="J25" s="2"/>
      <c r="K25" s="2"/>
      <c r="L25" s="2"/>
      <c r="M25" s="27"/>
      <c r="N25" s="26"/>
      <c r="O25" s="2"/>
      <c r="P25" s="24"/>
    </row>
    <row r="26" spans="1:16" ht="9.75" customHeight="1">
      <c r="A26" s="18"/>
      <c r="B26" s="18" t="s">
        <v>27</v>
      </c>
      <c r="C26" s="18"/>
      <c r="D26" s="26"/>
      <c r="E26" s="2"/>
      <c r="F26" s="2"/>
      <c r="G26" s="2"/>
      <c r="H26" s="2"/>
      <c r="I26" s="2"/>
      <c r="J26" s="2"/>
      <c r="K26" s="2"/>
      <c r="L26" s="2"/>
      <c r="M26" s="27"/>
      <c r="N26" s="26"/>
      <c r="O26" s="2"/>
      <c r="P26" s="24"/>
    </row>
    <row r="27" spans="1:16" ht="9.75" customHeight="1">
      <c r="A27" s="18"/>
      <c r="B27" s="18" t="s">
        <v>99</v>
      </c>
      <c r="C27" s="18"/>
      <c r="D27" s="26"/>
      <c r="E27" s="2"/>
      <c r="F27" s="2"/>
      <c r="G27" s="2"/>
      <c r="H27" s="2"/>
      <c r="I27" s="2"/>
      <c r="J27" s="2"/>
      <c r="K27" s="2"/>
      <c r="L27" s="2"/>
      <c r="M27" s="27"/>
      <c r="N27" s="26"/>
      <c r="O27" s="2"/>
      <c r="P27" s="24"/>
    </row>
    <row r="28" spans="1:16" ht="9.75" customHeight="1">
      <c r="A28" s="18"/>
      <c r="B28" s="18" t="s">
        <v>99</v>
      </c>
      <c r="C28" s="18"/>
      <c r="D28" s="26"/>
      <c r="E28" s="2"/>
      <c r="F28" s="2"/>
      <c r="G28" s="2"/>
      <c r="H28" s="2"/>
      <c r="I28" s="2"/>
      <c r="J28" s="2"/>
      <c r="K28" s="2"/>
      <c r="L28" s="2"/>
      <c r="M28" s="27"/>
      <c r="N28" s="26"/>
      <c r="O28" s="2"/>
      <c r="P28" s="24"/>
    </row>
    <row r="29" spans="1:16" ht="9.75" customHeight="1">
      <c r="A29" s="18"/>
      <c r="B29" s="18" t="s">
        <v>32</v>
      </c>
      <c r="C29" s="18"/>
      <c r="D29" s="26"/>
      <c r="E29" s="2"/>
      <c r="F29" s="2"/>
      <c r="G29" s="2"/>
      <c r="H29" s="2"/>
      <c r="I29" s="2"/>
      <c r="J29" s="2"/>
      <c r="K29" s="2"/>
      <c r="L29" s="2"/>
      <c r="M29" s="27"/>
      <c r="N29" s="26"/>
      <c r="O29" s="2"/>
      <c r="P29" s="24"/>
    </row>
    <row r="30" spans="1:16" ht="9.75" customHeight="1">
      <c r="A30" s="18"/>
      <c r="B30" s="18" t="s">
        <v>103</v>
      </c>
      <c r="C30" s="18">
        <v>31</v>
      </c>
      <c r="D30" s="26">
        <f>31-3</f>
        <v>28</v>
      </c>
      <c r="E30" s="2">
        <f>31-5</f>
        <v>26</v>
      </c>
      <c r="F30" s="2">
        <f>31-7</f>
        <v>24</v>
      </c>
      <c r="G30" s="2">
        <f>31-10</f>
        <v>21</v>
      </c>
      <c r="H30" s="2">
        <f>31-13</f>
        <v>18</v>
      </c>
      <c r="I30" s="2">
        <f>C30-5</f>
        <v>26</v>
      </c>
      <c r="J30" s="2">
        <f>C30-11</f>
        <v>20</v>
      </c>
      <c r="K30" s="2">
        <f>C30-9</f>
        <v>22</v>
      </c>
      <c r="L30" s="2">
        <f>C30-7</f>
        <v>24</v>
      </c>
      <c r="M30" s="27">
        <f>C30-12</f>
        <v>19</v>
      </c>
      <c r="N30" s="26">
        <f>MIN(D30:M30)</f>
        <v>18</v>
      </c>
      <c r="O30" s="2">
        <f>C30-N30</f>
        <v>13</v>
      </c>
      <c r="P30" s="24">
        <f>O30/C30</f>
        <v>0.41935483870967744</v>
      </c>
    </row>
    <row r="31" spans="1:16" ht="9.75" customHeight="1">
      <c r="A31" s="18"/>
      <c r="B31" s="18" t="s">
        <v>104</v>
      </c>
      <c r="C31" s="18"/>
      <c r="D31" s="26"/>
      <c r="E31" s="2"/>
      <c r="F31" s="2"/>
      <c r="G31" s="2"/>
      <c r="H31" s="2"/>
      <c r="I31" s="2"/>
      <c r="J31" s="2"/>
      <c r="K31" s="2"/>
      <c r="L31" s="2"/>
      <c r="M31" s="27"/>
      <c r="N31" s="26"/>
      <c r="O31" s="2"/>
      <c r="P31" s="24"/>
    </row>
    <row r="32" spans="1:16" ht="9.75" customHeight="1">
      <c r="A32" s="18"/>
      <c r="B32" s="18" t="s">
        <v>104</v>
      </c>
      <c r="C32" s="18"/>
      <c r="D32" s="26"/>
      <c r="E32" s="2"/>
      <c r="F32" s="2"/>
      <c r="G32" s="2"/>
      <c r="H32" s="2"/>
      <c r="I32" s="2"/>
      <c r="J32" s="2"/>
      <c r="K32" s="2"/>
      <c r="L32" s="2"/>
      <c r="M32" s="27"/>
      <c r="N32" s="26"/>
      <c r="O32" s="2"/>
      <c r="P32" s="24"/>
    </row>
    <row r="33" spans="1:16" ht="9.75" customHeight="1">
      <c r="A33" s="18"/>
      <c r="B33" s="18" t="s">
        <v>104</v>
      </c>
      <c r="C33" s="18"/>
      <c r="D33" s="26"/>
      <c r="E33" s="2"/>
      <c r="F33" s="2"/>
      <c r="G33" s="2"/>
      <c r="H33" s="2"/>
      <c r="I33" s="2"/>
      <c r="J33" s="2"/>
      <c r="K33" s="2"/>
      <c r="L33" s="2"/>
      <c r="M33" s="27"/>
      <c r="N33" s="26"/>
      <c r="O33" s="2"/>
      <c r="P33" s="24"/>
    </row>
    <row r="34" spans="1:16" ht="9.75" customHeight="1">
      <c r="A34" s="18"/>
      <c r="B34" s="18" t="s">
        <v>104</v>
      </c>
      <c r="C34" s="18"/>
      <c r="D34" s="26"/>
      <c r="E34" s="2"/>
      <c r="F34" s="2"/>
      <c r="G34" s="2"/>
      <c r="H34" s="2"/>
      <c r="I34" s="2"/>
      <c r="J34" s="2"/>
      <c r="K34" s="2"/>
      <c r="L34" s="2"/>
      <c r="M34" s="27"/>
      <c r="N34" s="26"/>
      <c r="O34" s="2"/>
      <c r="P34" s="24"/>
    </row>
    <row r="35" spans="1:16" ht="9.75" customHeight="1">
      <c r="A35" s="18"/>
      <c r="B35" s="18" t="s">
        <v>104</v>
      </c>
      <c r="C35" s="18"/>
      <c r="D35" s="26"/>
      <c r="E35" s="2"/>
      <c r="F35" s="2"/>
      <c r="G35" s="2"/>
      <c r="H35" s="2"/>
      <c r="I35" s="2"/>
      <c r="J35" s="2"/>
      <c r="K35" s="2"/>
      <c r="L35" s="2"/>
      <c r="M35" s="27"/>
      <c r="N35" s="26"/>
      <c r="O35" s="2"/>
      <c r="P35" s="24"/>
    </row>
    <row r="36" spans="1:16" ht="9.75" customHeight="1">
      <c r="A36" s="18"/>
      <c r="B36" s="18" t="s">
        <v>34</v>
      </c>
      <c r="C36" s="18">
        <v>2</v>
      </c>
      <c r="D36" s="26">
        <v>2</v>
      </c>
      <c r="E36" s="2">
        <v>2</v>
      </c>
      <c r="F36" s="2">
        <v>2</v>
      </c>
      <c r="G36" s="2">
        <v>1</v>
      </c>
      <c r="H36" s="2">
        <v>1</v>
      </c>
      <c r="I36" s="2">
        <v>0</v>
      </c>
      <c r="J36" s="2">
        <v>1</v>
      </c>
      <c r="K36" s="2">
        <v>2</v>
      </c>
      <c r="L36" s="2">
        <v>2</v>
      </c>
      <c r="M36" s="27">
        <v>1</v>
      </c>
      <c r="N36" s="53">
        <f>MIN(D36:M36)</f>
        <v>0</v>
      </c>
      <c r="O36" s="52">
        <f>C36-N36</f>
        <v>2</v>
      </c>
      <c r="P36" s="54">
        <f>O36/C36</f>
        <v>1</v>
      </c>
    </row>
    <row r="37" spans="1:16" ht="9.75" customHeight="1">
      <c r="A37" s="18"/>
      <c r="B37" s="18" t="s">
        <v>35</v>
      </c>
      <c r="C37" s="18"/>
      <c r="D37" s="26"/>
      <c r="E37" s="2"/>
      <c r="F37" s="2"/>
      <c r="G37" s="2"/>
      <c r="H37" s="2"/>
      <c r="I37" s="2"/>
      <c r="J37" s="2"/>
      <c r="K37" s="2"/>
      <c r="L37" s="2"/>
      <c r="M37" s="27"/>
      <c r="N37" s="26"/>
      <c r="O37" s="2"/>
      <c r="P37" s="24"/>
    </row>
    <row r="38" spans="1:16" ht="9.75" customHeight="1">
      <c r="A38" s="18"/>
      <c r="B38" s="18" t="s">
        <v>36</v>
      </c>
      <c r="C38" s="18"/>
      <c r="D38" s="26"/>
      <c r="E38" s="2"/>
      <c r="F38" s="2"/>
      <c r="G38" s="2"/>
      <c r="H38" s="2"/>
      <c r="I38" s="2"/>
      <c r="J38" s="2"/>
      <c r="K38" s="2"/>
      <c r="L38" s="2"/>
      <c r="M38" s="27"/>
      <c r="N38" s="26"/>
      <c r="O38" s="2"/>
      <c r="P38" s="24"/>
    </row>
    <row r="39" spans="1:16" ht="9.75" customHeight="1">
      <c r="A39" s="18"/>
      <c r="B39" s="18" t="s">
        <v>37</v>
      </c>
      <c r="C39" s="18"/>
      <c r="D39" s="26"/>
      <c r="E39" s="2"/>
      <c r="F39" s="2"/>
      <c r="G39" s="2"/>
      <c r="H39" s="2"/>
      <c r="I39" s="2"/>
      <c r="J39" s="2"/>
      <c r="K39" s="2"/>
      <c r="L39" s="2"/>
      <c r="M39" s="27"/>
      <c r="N39" s="26"/>
      <c r="O39" s="2"/>
      <c r="P39" s="24"/>
    </row>
    <row r="40" spans="1:16" ht="9.75" customHeight="1">
      <c r="A40" s="32"/>
      <c r="B40" s="33" t="s">
        <v>38</v>
      </c>
      <c r="C40" s="33">
        <f t="shared" ref="C40:M40" si="4">SUM(C24:C39)</f>
        <v>33</v>
      </c>
      <c r="D40" s="70">
        <f t="shared" si="4"/>
        <v>30</v>
      </c>
      <c r="E40" s="71">
        <f t="shared" si="4"/>
        <v>28</v>
      </c>
      <c r="F40" s="71">
        <f t="shared" si="4"/>
        <v>26</v>
      </c>
      <c r="G40" s="71">
        <f t="shared" si="4"/>
        <v>22</v>
      </c>
      <c r="H40" s="71">
        <f t="shared" si="4"/>
        <v>19</v>
      </c>
      <c r="I40" s="71">
        <f t="shared" si="4"/>
        <v>26</v>
      </c>
      <c r="J40" s="71">
        <f t="shared" si="4"/>
        <v>21</v>
      </c>
      <c r="K40" s="71">
        <f t="shared" si="4"/>
        <v>24</v>
      </c>
      <c r="L40" s="71">
        <f t="shared" si="4"/>
        <v>26</v>
      </c>
      <c r="M40" s="93">
        <f t="shared" si="4"/>
        <v>20</v>
      </c>
      <c r="N40" s="70">
        <f>MIN(D40:M40)</f>
        <v>19</v>
      </c>
      <c r="O40" s="71">
        <f>C40-N40</f>
        <v>14</v>
      </c>
      <c r="P40" s="40">
        <f>O40/C40</f>
        <v>0.42424242424242425</v>
      </c>
    </row>
    <row r="41" spans="1:16" ht="9.75" customHeight="1">
      <c r="A41" s="66" t="s">
        <v>106</v>
      </c>
      <c r="B41" s="66" t="s">
        <v>23</v>
      </c>
      <c r="C41" s="66"/>
      <c r="D41" s="41"/>
      <c r="E41" s="72"/>
      <c r="F41" s="72"/>
      <c r="G41" s="72"/>
      <c r="H41" s="72"/>
      <c r="I41" s="72"/>
      <c r="J41" s="72"/>
      <c r="K41" s="72"/>
      <c r="L41" s="72"/>
      <c r="M41" s="73"/>
      <c r="N41" s="41"/>
      <c r="O41" s="72"/>
      <c r="P41" s="99"/>
    </row>
    <row r="42" spans="1:16" ht="9.75" customHeight="1">
      <c r="A42" s="18"/>
      <c r="B42" s="18" t="s">
        <v>25</v>
      </c>
      <c r="C42" s="18"/>
      <c r="D42" s="26"/>
      <c r="E42" s="2"/>
      <c r="F42" s="2"/>
      <c r="G42" s="2"/>
      <c r="H42" s="2"/>
      <c r="I42" s="2"/>
      <c r="J42" s="2"/>
      <c r="K42" s="2"/>
      <c r="L42" s="2"/>
      <c r="M42" s="27"/>
      <c r="N42" s="26"/>
      <c r="O42" s="2"/>
      <c r="P42" s="24"/>
    </row>
    <row r="43" spans="1:16" ht="9.75" customHeight="1">
      <c r="A43" s="18"/>
      <c r="B43" s="18" t="s">
        <v>27</v>
      </c>
      <c r="C43" s="18"/>
      <c r="D43" s="26"/>
      <c r="E43" s="2"/>
      <c r="F43" s="2"/>
      <c r="G43" s="2"/>
      <c r="H43" s="2"/>
      <c r="I43" s="2"/>
      <c r="J43" s="2"/>
      <c r="K43" s="2"/>
      <c r="L43" s="2"/>
      <c r="M43" s="27"/>
      <c r="N43" s="26"/>
      <c r="O43" s="2"/>
      <c r="P43" s="24"/>
    </row>
    <row r="44" spans="1:16" ht="9.75" customHeight="1">
      <c r="A44" s="18"/>
      <c r="B44" s="18" t="s">
        <v>99</v>
      </c>
      <c r="C44" s="18"/>
      <c r="D44" s="26"/>
      <c r="E44" s="2"/>
      <c r="F44" s="2"/>
      <c r="G44" s="2"/>
      <c r="H44" s="2"/>
      <c r="I44" s="2"/>
      <c r="J44" s="2"/>
      <c r="K44" s="2"/>
      <c r="L44" s="2"/>
      <c r="M44" s="27"/>
      <c r="N44" s="26"/>
      <c r="O44" s="2"/>
      <c r="P44" s="24"/>
    </row>
    <row r="45" spans="1:16" ht="9.75" customHeight="1">
      <c r="A45" s="18"/>
      <c r="B45" s="18" t="s">
        <v>99</v>
      </c>
      <c r="C45" s="18"/>
      <c r="D45" s="26"/>
      <c r="E45" s="2"/>
      <c r="F45" s="2"/>
      <c r="G45" s="2"/>
      <c r="H45" s="2"/>
      <c r="I45" s="2"/>
      <c r="J45" s="2"/>
      <c r="K45" s="2"/>
      <c r="L45" s="2"/>
      <c r="M45" s="27"/>
      <c r="N45" s="26"/>
      <c r="O45" s="2"/>
      <c r="P45" s="24"/>
    </row>
    <row r="46" spans="1:16" ht="9.75" customHeight="1">
      <c r="A46" s="18"/>
      <c r="B46" s="18" t="s">
        <v>32</v>
      </c>
      <c r="C46" s="18"/>
      <c r="D46" s="26"/>
      <c r="E46" s="2"/>
      <c r="F46" s="2"/>
      <c r="G46" s="2"/>
      <c r="H46" s="2"/>
      <c r="I46" s="2"/>
      <c r="J46" s="2"/>
      <c r="K46" s="2"/>
      <c r="L46" s="2"/>
      <c r="M46" s="27"/>
      <c r="N46" s="26"/>
      <c r="O46" s="2"/>
      <c r="P46" s="24"/>
    </row>
    <row r="47" spans="1:16" ht="9.75" customHeight="1">
      <c r="A47" s="18"/>
      <c r="B47" s="18" t="s">
        <v>107</v>
      </c>
      <c r="C47" s="18">
        <v>1</v>
      </c>
      <c r="D47" s="26">
        <v>1</v>
      </c>
      <c r="E47" s="2">
        <v>1</v>
      </c>
      <c r="F47" s="2">
        <v>1</v>
      </c>
      <c r="G47" s="2">
        <v>1</v>
      </c>
      <c r="H47" s="2">
        <v>1</v>
      </c>
      <c r="I47" s="2">
        <v>0</v>
      </c>
      <c r="J47" s="2">
        <v>1</v>
      </c>
      <c r="K47" s="2">
        <v>0</v>
      </c>
      <c r="L47" s="2">
        <v>0</v>
      </c>
      <c r="M47" s="27">
        <v>1</v>
      </c>
      <c r="N47" s="26">
        <f t="shared" ref="N47:N48" si="5">MIN(D47:M47)</f>
        <v>0</v>
      </c>
      <c r="O47" s="2">
        <f t="shared" ref="O47:O48" si="6">C47-N47</f>
        <v>1</v>
      </c>
      <c r="P47" s="24">
        <f t="shared" ref="P47:P48" si="7">O47/C47</f>
        <v>1</v>
      </c>
    </row>
    <row r="48" spans="1:16" ht="9.75" customHeight="1">
      <c r="A48" s="18"/>
      <c r="B48" s="18" t="s">
        <v>103</v>
      </c>
      <c r="C48" s="18">
        <v>64</v>
      </c>
      <c r="D48" s="26">
        <f>C48-8</f>
        <v>56</v>
      </c>
      <c r="E48" s="2">
        <v>56</v>
      </c>
      <c r="F48" s="2">
        <v>54</v>
      </c>
      <c r="G48" s="2">
        <f>C48-13</f>
        <v>51</v>
      </c>
      <c r="H48" s="2">
        <f>C48-16</f>
        <v>48</v>
      </c>
      <c r="I48" s="2">
        <f>C48-12</f>
        <v>52</v>
      </c>
      <c r="J48" s="2">
        <f>C48-10</f>
        <v>54</v>
      </c>
      <c r="K48" s="2">
        <f>C48-9</f>
        <v>55</v>
      </c>
      <c r="L48" s="2">
        <f>C48-9</f>
        <v>55</v>
      </c>
      <c r="M48" s="27">
        <f>C48-7</f>
        <v>57</v>
      </c>
      <c r="N48" s="26">
        <f t="shared" si="5"/>
        <v>48</v>
      </c>
      <c r="O48" s="2">
        <f t="shared" si="6"/>
        <v>16</v>
      </c>
      <c r="P48" s="24">
        <f t="shared" si="7"/>
        <v>0.25</v>
      </c>
    </row>
    <row r="49" spans="1:16" ht="9.75" customHeight="1">
      <c r="A49" s="18"/>
      <c r="B49" s="18" t="s">
        <v>104</v>
      </c>
      <c r="C49" s="18"/>
      <c r="D49" s="26"/>
      <c r="E49" s="2"/>
      <c r="F49" s="2"/>
      <c r="G49" s="2"/>
      <c r="H49" s="2"/>
      <c r="I49" s="2"/>
      <c r="J49" s="2"/>
      <c r="K49" s="2"/>
      <c r="L49" s="2"/>
      <c r="M49" s="27"/>
      <c r="N49" s="26"/>
      <c r="O49" s="2"/>
      <c r="P49" s="24"/>
    </row>
    <row r="50" spans="1:16" ht="9.75" customHeight="1">
      <c r="A50" s="18"/>
      <c r="B50" s="18" t="s">
        <v>104</v>
      </c>
      <c r="C50" s="18"/>
      <c r="D50" s="26"/>
      <c r="E50" s="2"/>
      <c r="F50" s="2"/>
      <c r="G50" s="2"/>
      <c r="H50" s="2"/>
      <c r="I50" s="2"/>
      <c r="J50" s="2"/>
      <c r="K50" s="2"/>
      <c r="L50" s="2"/>
      <c r="M50" s="27"/>
      <c r="N50" s="26"/>
      <c r="O50" s="2"/>
      <c r="P50" s="24"/>
    </row>
    <row r="51" spans="1:16" ht="9.75" customHeight="1">
      <c r="A51" s="18"/>
      <c r="B51" s="18" t="s">
        <v>104</v>
      </c>
      <c r="C51" s="18"/>
      <c r="D51" s="26"/>
      <c r="E51" s="2"/>
      <c r="F51" s="2"/>
      <c r="G51" s="2"/>
      <c r="H51" s="2"/>
      <c r="I51" s="2"/>
      <c r="J51" s="2"/>
      <c r="K51" s="2"/>
      <c r="L51" s="2"/>
      <c r="M51" s="27"/>
      <c r="N51" s="26"/>
      <c r="O51" s="2"/>
      <c r="P51" s="24"/>
    </row>
    <row r="52" spans="1:16" ht="9.75" customHeight="1">
      <c r="A52" s="18"/>
      <c r="B52" s="18" t="s">
        <v>104</v>
      </c>
      <c r="C52" s="18"/>
      <c r="D52" s="26"/>
      <c r="E52" s="2"/>
      <c r="F52" s="2"/>
      <c r="G52" s="2"/>
      <c r="H52" s="2"/>
      <c r="I52" s="2"/>
      <c r="J52" s="2"/>
      <c r="K52" s="2"/>
      <c r="L52" s="2"/>
      <c r="M52" s="27"/>
      <c r="N52" s="26"/>
      <c r="O52" s="2"/>
      <c r="P52" s="24"/>
    </row>
    <row r="53" spans="1:16" ht="9.75" customHeight="1">
      <c r="A53" s="18"/>
      <c r="B53" s="18" t="s">
        <v>34</v>
      </c>
      <c r="C53" s="18">
        <v>2</v>
      </c>
      <c r="D53" s="26">
        <v>1</v>
      </c>
      <c r="E53" s="2">
        <v>1</v>
      </c>
      <c r="F53" s="2">
        <v>1</v>
      </c>
      <c r="G53" s="2">
        <v>1</v>
      </c>
      <c r="H53" s="2">
        <v>1</v>
      </c>
      <c r="I53" s="2">
        <v>0</v>
      </c>
      <c r="J53" s="2">
        <v>1</v>
      </c>
      <c r="K53" s="2">
        <v>2</v>
      </c>
      <c r="L53" s="2">
        <v>2</v>
      </c>
      <c r="M53" s="27">
        <v>2</v>
      </c>
      <c r="N53" s="26">
        <f>MIN(D53:M53)</f>
        <v>0</v>
      </c>
      <c r="O53" s="2">
        <f>C53-N53</f>
        <v>2</v>
      </c>
      <c r="P53" s="24">
        <f>O53/C53</f>
        <v>1</v>
      </c>
    </row>
    <row r="54" spans="1:16" ht="9.75" customHeight="1">
      <c r="A54" s="18"/>
      <c r="B54" s="18" t="s">
        <v>35</v>
      </c>
      <c r="C54" s="18"/>
      <c r="D54" s="26"/>
      <c r="E54" s="2"/>
      <c r="F54" s="2"/>
      <c r="G54" s="2"/>
      <c r="H54" s="2"/>
      <c r="I54" s="2"/>
      <c r="J54" s="2"/>
      <c r="K54" s="2"/>
      <c r="L54" s="2"/>
      <c r="M54" s="27"/>
      <c r="N54" s="26"/>
      <c r="O54" s="2"/>
      <c r="P54" s="24"/>
    </row>
    <row r="55" spans="1:16" ht="9.75" customHeight="1">
      <c r="A55" s="18"/>
      <c r="B55" s="18" t="s">
        <v>36</v>
      </c>
      <c r="C55" s="18"/>
      <c r="D55" s="26"/>
      <c r="E55" s="2"/>
      <c r="F55" s="2"/>
      <c r="G55" s="2"/>
      <c r="H55" s="2"/>
      <c r="I55" s="2"/>
      <c r="J55" s="2"/>
      <c r="K55" s="2"/>
      <c r="L55" s="2"/>
      <c r="M55" s="27"/>
      <c r="N55" s="26"/>
      <c r="O55" s="2"/>
      <c r="P55" s="24"/>
    </row>
    <row r="56" spans="1:16" ht="9.75" customHeight="1">
      <c r="A56" s="18"/>
      <c r="B56" s="18" t="s">
        <v>37</v>
      </c>
      <c r="C56" s="18">
        <v>2</v>
      </c>
      <c r="D56" s="26"/>
      <c r="E56" s="2"/>
      <c r="F56" s="2"/>
      <c r="G56" s="2"/>
      <c r="H56" s="2"/>
      <c r="I56" s="2"/>
      <c r="J56" s="2"/>
      <c r="K56" s="2"/>
      <c r="L56" s="2"/>
      <c r="M56" s="27"/>
      <c r="N56" s="26">
        <f t="shared" ref="N56:N57" si="8">MIN(D56:M56)</f>
        <v>0</v>
      </c>
      <c r="O56" s="2">
        <f t="shared" ref="O56:O57" si="9">C56-N56</f>
        <v>2</v>
      </c>
      <c r="P56" s="24">
        <f t="shared" ref="P56:P57" si="10">O56/C56</f>
        <v>1</v>
      </c>
    </row>
    <row r="57" spans="1:16" ht="9.75" customHeight="1">
      <c r="A57" s="32"/>
      <c r="B57" s="33" t="s">
        <v>38</v>
      </c>
      <c r="C57" s="33">
        <f t="shared" ref="C57:M57" si="11">SUM(C41:C56)</f>
        <v>69</v>
      </c>
      <c r="D57" s="70">
        <f t="shared" si="11"/>
        <v>58</v>
      </c>
      <c r="E57" s="71">
        <f t="shared" si="11"/>
        <v>58</v>
      </c>
      <c r="F57" s="71">
        <f t="shared" si="11"/>
        <v>56</v>
      </c>
      <c r="G57" s="71">
        <f t="shared" si="11"/>
        <v>53</v>
      </c>
      <c r="H57" s="71">
        <f t="shared" si="11"/>
        <v>50</v>
      </c>
      <c r="I57" s="71">
        <f t="shared" si="11"/>
        <v>52</v>
      </c>
      <c r="J57" s="71">
        <f t="shared" si="11"/>
        <v>56</v>
      </c>
      <c r="K57" s="71">
        <f t="shared" si="11"/>
        <v>57</v>
      </c>
      <c r="L57" s="71">
        <f t="shared" si="11"/>
        <v>57</v>
      </c>
      <c r="M57" s="93">
        <f t="shared" si="11"/>
        <v>60</v>
      </c>
      <c r="N57" s="70">
        <f t="shared" si="8"/>
        <v>50</v>
      </c>
      <c r="O57" s="71">
        <f t="shared" si="9"/>
        <v>19</v>
      </c>
      <c r="P57" s="40">
        <f t="shared" si="10"/>
        <v>0.27536231884057971</v>
      </c>
    </row>
    <row r="58" spans="1:16" ht="9.75" customHeight="1">
      <c r="A58" s="66" t="s">
        <v>108</v>
      </c>
      <c r="B58" s="66" t="s">
        <v>23</v>
      </c>
      <c r="C58" s="66"/>
      <c r="D58" s="41"/>
      <c r="E58" s="72"/>
      <c r="F58" s="72"/>
      <c r="G58" s="72"/>
      <c r="H58" s="72"/>
      <c r="I58" s="72"/>
      <c r="J58" s="72"/>
      <c r="K58" s="72"/>
      <c r="L58" s="72"/>
      <c r="M58" s="73"/>
      <c r="N58" s="41"/>
      <c r="O58" s="72"/>
      <c r="P58" s="99"/>
    </row>
    <row r="59" spans="1:16" ht="9.75" customHeight="1">
      <c r="A59" s="18"/>
      <c r="B59" s="18" t="s">
        <v>25</v>
      </c>
      <c r="C59" s="18"/>
      <c r="D59" s="26"/>
      <c r="E59" s="2"/>
      <c r="F59" s="2"/>
      <c r="G59" s="2"/>
      <c r="H59" s="2"/>
      <c r="I59" s="2"/>
      <c r="J59" s="2"/>
      <c r="K59" s="2"/>
      <c r="L59" s="2"/>
      <c r="M59" s="27"/>
      <c r="N59" s="26"/>
      <c r="O59" s="2"/>
      <c r="P59" s="24"/>
    </row>
    <row r="60" spans="1:16" ht="9.75" customHeight="1">
      <c r="A60" s="18"/>
      <c r="B60" s="18" t="s">
        <v>27</v>
      </c>
      <c r="C60" s="18"/>
      <c r="D60" s="26"/>
      <c r="E60" s="2"/>
      <c r="F60" s="2"/>
      <c r="G60" s="2"/>
      <c r="H60" s="2"/>
      <c r="I60" s="2"/>
      <c r="J60" s="2"/>
      <c r="K60" s="2"/>
      <c r="L60" s="2"/>
      <c r="M60" s="27"/>
      <c r="N60" s="26"/>
      <c r="O60" s="2"/>
      <c r="P60" s="24"/>
    </row>
    <row r="61" spans="1:16" ht="9.75" customHeight="1">
      <c r="A61" s="18"/>
      <c r="B61" s="18" t="s">
        <v>99</v>
      </c>
      <c r="C61" s="18"/>
      <c r="D61" s="26"/>
      <c r="E61" s="2"/>
      <c r="F61" s="2"/>
      <c r="G61" s="2"/>
      <c r="H61" s="2"/>
      <c r="I61" s="2"/>
      <c r="J61" s="2"/>
      <c r="K61" s="2"/>
      <c r="L61" s="2"/>
      <c r="M61" s="27"/>
      <c r="N61" s="26"/>
      <c r="O61" s="2"/>
      <c r="P61" s="24"/>
    </row>
    <row r="62" spans="1:16" ht="9.75" customHeight="1">
      <c r="A62" s="18"/>
      <c r="B62" s="18" t="s">
        <v>99</v>
      </c>
      <c r="C62" s="18"/>
      <c r="D62" s="26"/>
      <c r="E62" s="2"/>
      <c r="F62" s="2"/>
      <c r="G62" s="2"/>
      <c r="H62" s="2"/>
      <c r="I62" s="2"/>
      <c r="J62" s="2"/>
      <c r="K62" s="2"/>
      <c r="L62" s="2"/>
      <c r="M62" s="27"/>
      <c r="N62" s="26"/>
      <c r="O62" s="2"/>
      <c r="P62" s="24"/>
    </row>
    <row r="63" spans="1:16" ht="9.75" customHeight="1">
      <c r="A63" s="18"/>
      <c r="B63" s="18" t="s">
        <v>32</v>
      </c>
      <c r="C63" s="18"/>
      <c r="D63" s="26"/>
      <c r="E63" s="2"/>
      <c r="F63" s="2"/>
      <c r="G63" s="2"/>
      <c r="H63" s="2"/>
      <c r="I63" s="2"/>
      <c r="J63" s="2"/>
      <c r="K63" s="2"/>
      <c r="L63" s="2"/>
      <c r="M63" s="27"/>
      <c r="N63" s="26"/>
      <c r="O63" s="2"/>
      <c r="P63" s="24"/>
    </row>
    <row r="64" spans="1:16" ht="9.75" customHeight="1">
      <c r="A64" s="18"/>
      <c r="B64" s="18" t="s">
        <v>102</v>
      </c>
      <c r="C64" s="18">
        <v>1</v>
      </c>
      <c r="D64" s="26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7">
        <v>1</v>
      </c>
      <c r="N64" s="26">
        <f t="shared" ref="N64:N65" si="12">MIN(D64:M64)</f>
        <v>1</v>
      </c>
      <c r="O64" s="2">
        <f t="shared" ref="O64:O65" si="13">C64-N64</f>
        <v>0</v>
      </c>
      <c r="P64" s="24">
        <f t="shared" ref="P64:P65" si="14">O64/C64</f>
        <v>0</v>
      </c>
    </row>
    <row r="65" spans="1:16" ht="9.75" customHeight="1">
      <c r="A65" s="18"/>
      <c r="B65" s="18" t="s">
        <v>109</v>
      </c>
      <c r="C65" s="18">
        <v>1</v>
      </c>
      <c r="D65" s="26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7">
        <v>0</v>
      </c>
      <c r="N65" s="26">
        <f t="shared" si="12"/>
        <v>0</v>
      </c>
      <c r="O65" s="2">
        <f t="shared" si="13"/>
        <v>1</v>
      </c>
      <c r="P65" s="24">
        <f t="shared" si="14"/>
        <v>1</v>
      </c>
    </row>
    <row r="66" spans="1:16" ht="9.75" customHeight="1">
      <c r="A66" s="18"/>
      <c r="B66" s="18" t="s">
        <v>104</v>
      </c>
      <c r="C66" s="18"/>
      <c r="D66" s="26"/>
      <c r="E66" s="2"/>
      <c r="F66" s="2"/>
      <c r="G66" s="2"/>
      <c r="H66" s="2"/>
      <c r="I66" s="2"/>
      <c r="J66" s="2"/>
      <c r="K66" s="2"/>
      <c r="L66" s="2"/>
      <c r="M66" s="27"/>
      <c r="N66" s="26"/>
      <c r="O66" s="2"/>
      <c r="P66" s="24"/>
    </row>
    <row r="67" spans="1:16" ht="9.75" customHeight="1">
      <c r="A67" s="18"/>
      <c r="B67" s="18" t="s">
        <v>104</v>
      </c>
      <c r="C67" s="18"/>
      <c r="D67" s="26"/>
      <c r="E67" s="2"/>
      <c r="F67" s="2"/>
      <c r="G67" s="2"/>
      <c r="H67" s="2"/>
      <c r="I67" s="2"/>
      <c r="J67" s="2"/>
      <c r="K67" s="2"/>
      <c r="L67" s="2"/>
      <c r="M67" s="27"/>
      <c r="N67" s="26"/>
      <c r="O67" s="2"/>
      <c r="P67" s="24"/>
    </row>
    <row r="68" spans="1:16" ht="9.75" customHeight="1">
      <c r="A68" s="18"/>
      <c r="B68" s="18" t="s">
        <v>104</v>
      </c>
      <c r="C68" s="18"/>
      <c r="D68" s="26"/>
      <c r="E68" s="2"/>
      <c r="F68" s="2"/>
      <c r="G68" s="2"/>
      <c r="H68" s="2"/>
      <c r="I68" s="2"/>
      <c r="J68" s="2"/>
      <c r="K68" s="2"/>
      <c r="L68" s="2"/>
      <c r="M68" s="27"/>
      <c r="N68" s="26"/>
      <c r="O68" s="2"/>
      <c r="P68" s="24"/>
    </row>
    <row r="69" spans="1:16" ht="9.75" customHeight="1">
      <c r="A69" s="18"/>
      <c r="B69" s="18" t="s">
        <v>104</v>
      </c>
      <c r="C69" s="18"/>
      <c r="D69" s="26"/>
      <c r="E69" s="2"/>
      <c r="F69" s="2"/>
      <c r="G69" s="2"/>
      <c r="H69" s="2"/>
      <c r="I69" s="2"/>
      <c r="J69" s="2"/>
      <c r="K69" s="2"/>
      <c r="L69" s="2"/>
      <c r="M69" s="27"/>
      <c r="N69" s="26"/>
      <c r="O69" s="2"/>
      <c r="P69" s="24"/>
    </row>
    <row r="70" spans="1:16" ht="9.75" customHeight="1">
      <c r="A70" s="18"/>
      <c r="B70" s="18" t="s">
        <v>34</v>
      </c>
      <c r="C70" s="18"/>
      <c r="D70" s="26"/>
      <c r="E70" s="2"/>
      <c r="F70" s="2"/>
      <c r="G70" s="2"/>
      <c r="H70" s="2"/>
      <c r="I70" s="2"/>
      <c r="J70" s="2"/>
      <c r="K70" s="2"/>
      <c r="L70" s="2"/>
      <c r="M70" s="27"/>
      <c r="N70" s="26"/>
      <c r="O70" s="2"/>
      <c r="P70" s="24"/>
    </row>
    <row r="71" spans="1:16" ht="9.75" customHeight="1">
      <c r="A71" s="18"/>
      <c r="B71" s="18" t="s">
        <v>35</v>
      </c>
      <c r="C71" s="18">
        <v>5</v>
      </c>
      <c r="D71" s="26">
        <v>1</v>
      </c>
      <c r="E71" s="2">
        <v>1</v>
      </c>
      <c r="F71" s="2">
        <v>0</v>
      </c>
      <c r="G71" s="2">
        <v>0</v>
      </c>
      <c r="H71" s="2">
        <v>0</v>
      </c>
      <c r="I71" s="2">
        <v>2</v>
      </c>
      <c r="J71" s="2">
        <v>1</v>
      </c>
      <c r="K71" s="2">
        <v>1</v>
      </c>
      <c r="L71" s="2">
        <v>1</v>
      </c>
      <c r="M71" s="27">
        <v>1</v>
      </c>
      <c r="N71" s="26">
        <f t="shared" ref="N71:N75" si="15">MIN(D71:M71)</f>
        <v>0</v>
      </c>
      <c r="O71" s="2">
        <f t="shared" ref="O71:O75" si="16">C71-N71</f>
        <v>5</v>
      </c>
      <c r="P71" s="24">
        <f t="shared" ref="P71:P75" si="17">O71/C71</f>
        <v>1</v>
      </c>
    </row>
    <row r="72" spans="1:16" ht="9.75" customHeight="1">
      <c r="A72" s="18"/>
      <c r="B72" s="18" t="s">
        <v>36</v>
      </c>
      <c r="C72" s="18">
        <v>1</v>
      </c>
      <c r="D72" s="26">
        <v>1</v>
      </c>
      <c r="E72" s="2">
        <v>1</v>
      </c>
      <c r="F72" s="2">
        <v>0</v>
      </c>
      <c r="G72" s="2">
        <v>0</v>
      </c>
      <c r="H72" s="2">
        <v>0</v>
      </c>
      <c r="I72" s="2">
        <v>1</v>
      </c>
      <c r="J72" s="2">
        <v>1</v>
      </c>
      <c r="K72" s="2">
        <v>0</v>
      </c>
      <c r="L72" s="2">
        <v>0</v>
      </c>
      <c r="M72" s="27">
        <v>0</v>
      </c>
      <c r="N72" s="26">
        <f t="shared" si="15"/>
        <v>0</v>
      </c>
      <c r="O72" s="2">
        <f t="shared" si="16"/>
        <v>1</v>
      </c>
      <c r="P72" s="24">
        <f t="shared" si="17"/>
        <v>1</v>
      </c>
    </row>
    <row r="73" spans="1:16" ht="9.75" customHeight="1">
      <c r="A73" s="18"/>
      <c r="B73" s="18" t="s">
        <v>110</v>
      </c>
      <c r="C73" s="18">
        <v>2</v>
      </c>
      <c r="D73" s="26">
        <v>0</v>
      </c>
      <c r="E73" s="2">
        <v>2</v>
      </c>
      <c r="F73" s="2">
        <v>2</v>
      </c>
      <c r="G73" s="2">
        <v>2</v>
      </c>
      <c r="H73" s="2">
        <v>2</v>
      </c>
      <c r="I73" s="2">
        <v>1</v>
      </c>
      <c r="J73" s="2">
        <v>1</v>
      </c>
      <c r="K73" s="2">
        <v>1</v>
      </c>
      <c r="L73" s="2">
        <v>1</v>
      </c>
      <c r="M73" s="27">
        <v>0</v>
      </c>
      <c r="N73" s="26">
        <f t="shared" si="15"/>
        <v>0</v>
      </c>
      <c r="O73" s="2">
        <f t="shared" si="16"/>
        <v>2</v>
      </c>
      <c r="P73" s="24">
        <f t="shared" si="17"/>
        <v>1</v>
      </c>
    </row>
    <row r="74" spans="1:16" ht="9.75" customHeight="1">
      <c r="A74" s="18"/>
      <c r="B74" s="18" t="s">
        <v>37</v>
      </c>
      <c r="C74" s="18">
        <v>4</v>
      </c>
      <c r="D74" s="26">
        <v>2</v>
      </c>
      <c r="E74" s="2">
        <v>2</v>
      </c>
      <c r="F74" s="2">
        <v>0</v>
      </c>
      <c r="G74" s="2">
        <v>1</v>
      </c>
      <c r="H74" s="2">
        <v>1</v>
      </c>
      <c r="I74" s="2">
        <v>2</v>
      </c>
      <c r="J74" s="2">
        <v>2</v>
      </c>
      <c r="K74" s="2">
        <v>0</v>
      </c>
      <c r="L74" s="2">
        <v>2</v>
      </c>
      <c r="M74" s="27">
        <v>2</v>
      </c>
      <c r="N74" s="26">
        <f t="shared" si="15"/>
        <v>0</v>
      </c>
      <c r="O74" s="2">
        <f t="shared" si="16"/>
        <v>4</v>
      </c>
      <c r="P74" s="24">
        <f t="shared" si="17"/>
        <v>1</v>
      </c>
    </row>
    <row r="75" spans="1:16" ht="9.75" customHeight="1">
      <c r="A75" s="32"/>
      <c r="B75" s="33" t="s">
        <v>38</v>
      </c>
      <c r="C75" s="33">
        <f t="shared" ref="C75:M75" si="18">SUM(C58:C74)</f>
        <v>14</v>
      </c>
      <c r="D75" s="70">
        <f t="shared" si="18"/>
        <v>5</v>
      </c>
      <c r="E75" s="71">
        <f t="shared" si="18"/>
        <v>7</v>
      </c>
      <c r="F75" s="71">
        <f t="shared" si="18"/>
        <v>3</v>
      </c>
      <c r="G75" s="71">
        <f t="shared" si="18"/>
        <v>4</v>
      </c>
      <c r="H75" s="71">
        <f t="shared" si="18"/>
        <v>4</v>
      </c>
      <c r="I75" s="71">
        <f t="shared" si="18"/>
        <v>7</v>
      </c>
      <c r="J75" s="71">
        <f t="shared" si="18"/>
        <v>6</v>
      </c>
      <c r="K75" s="71">
        <f t="shared" si="18"/>
        <v>3</v>
      </c>
      <c r="L75" s="71">
        <f t="shared" si="18"/>
        <v>5</v>
      </c>
      <c r="M75" s="93">
        <f t="shared" si="18"/>
        <v>4</v>
      </c>
      <c r="N75" s="70">
        <f t="shared" si="15"/>
        <v>3</v>
      </c>
      <c r="O75" s="71">
        <f t="shared" si="16"/>
        <v>11</v>
      </c>
      <c r="P75" s="40">
        <f t="shared" si="17"/>
        <v>0.7857142857142857</v>
      </c>
    </row>
    <row r="76" spans="1:16" ht="9.75" customHeight="1">
      <c r="A76" s="66" t="s">
        <v>111</v>
      </c>
      <c r="B76" s="66" t="s">
        <v>23</v>
      </c>
      <c r="C76" s="66"/>
      <c r="D76" s="41"/>
      <c r="E76" s="72"/>
      <c r="F76" s="72"/>
      <c r="G76" s="72"/>
      <c r="H76" s="72"/>
      <c r="I76" s="72"/>
      <c r="J76" s="72"/>
      <c r="K76" s="72"/>
      <c r="L76" s="72"/>
      <c r="M76" s="73"/>
      <c r="N76" s="41"/>
      <c r="O76" s="72"/>
      <c r="P76" s="99"/>
    </row>
    <row r="77" spans="1:16" ht="9.75" customHeight="1">
      <c r="A77" s="18"/>
      <c r="B77" s="18" t="s">
        <v>25</v>
      </c>
      <c r="C77" s="18"/>
      <c r="D77" s="26"/>
      <c r="E77" s="2"/>
      <c r="F77" s="2"/>
      <c r="G77" s="2"/>
      <c r="H77" s="2"/>
      <c r="I77" s="2"/>
      <c r="J77" s="2"/>
      <c r="K77" s="2"/>
      <c r="L77" s="2"/>
      <c r="M77" s="27"/>
      <c r="N77" s="26"/>
      <c r="O77" s="2"/>
      <c r="P77" s="24"/>
    </row>
    <row r="78" spans="1:16" ht="9.75" customHeight="1">
      <c r="A78" s="18"/>
      <c r="B78" s="18" t="s">
        <v>27</v>
      </c>
      <c r="C78" s="18"/>
      <c r="D78" s="26"/>
      <c r="E78" s="2"/>
      <c r="F78" s="2"/>
      <c r="G78" s="2"/>
      <c r="H78" s="2"/>
      <c r="I78" s="2"/>
      <c r="J78" s="2"/>
      <c r="K78" s="2"/>
      <c r="L78" s="2"/>
      <c r="M78" s="27"/>
      <c r="N78" s="26"/>
      <c r="O78" s="2"/>
      <c r="P78" s="24"/>
    </row>
    <row r="79" spans="1:16" ht="9.75" customHeight="1">
      <c r="A79" s="18"/>
      <c r="B79" s="18" t="s">
        <v>99</v>
      </c>
      <c r="C79" s="18"/>
      <c r="D79" s="26"/>
      <c r="E79" s="2"/>
      <c r="F79" s="2"/>
      <c r="G79" s="2"/>
      <c r="H79" s="2"/>
      <c r="I79" s="2"/>
      <c r="J79" s="2"/>
      <c r="K79" s="2"/>
      <c r="L79" s="2"/>
      <c r="M79" s="27"/>
      <c r="N79" s="26"/>
      <c r="O79" s="2"/>
      <c r="P79" s="24"/>
    </row>
    <row r="80" spans="1:16" ht="9.75" customHeight="1">
      <c r="A80" s="18"/>
      <c r="B80" s="18" t="s">
        <v>99</v>
      </c>
      <c r="C80" s="18"/>
      <c r="D80" s="26"/>
      <c r="E80" s="2"/>
      <c r="F80" s="2"/>
      <c r="G80" s="2"/>
      <c r="H80" s="2"/>
      <c r="I80" s="2"/>
      <c r="J80" s="2"/>
      <c r="K80" s="2"/>
      <c r="L80" s="2"/>
      <c r="M80" s="27"/>
      <c r="N80" s="26"/>
      <c r="O80" s="2"/>
      <c r="P80" s="24"/>
    </row>
    <row r="81" spans="1:16" ht="9.75" customHeight="1">
      <c r="A81" s="18"/>
      <c r="B81" s="18" t="s">
        <v>32</v>
      </c>
      <c r="C81" s="18"/>
      <c r="D81" s="26"/>
      <c r="E81" s="2"/>
      <c r="F81" s="2"/>
      <c r="G81" s="2"/>
      <c r="H81" s="2"/>
      <c r="I81" s="2"/>
      <c r="J81" s="2"/>
      <c r="K81" s="2"/>
      <c r="L81" s="2"/>
      <c r="M81" s="27"/>
      <c r="N81" s="26"/>
      <c r="O81" s="2"/>
      <c r="P81" s="24"/>
    </row>
    <row r="82" spans="1:16" ht="9.75" customHeight="1">
      <c r="A82" s="18"/>
      <c r="B82" s="18" t="s">
        <v>104</v>
      </c>
      <c r="C82" s="18"/>
      <c r="D82" s="26"/>
      <c r="E82" s="2"/>
      <c r="F82" s="2"/>
      <c r="G82" s="2"/>
      <c r="H82" s="2"/>
      <c r="I82" s="2"/>
      <c r="J82" s="2"/>
      <c r="K82" s="2"/>
      <c r="L82" s="2"/>
      <c r="M82" s="27"/>
      <c r="N82" s="26"/>
      <c r="O82" s="2"/>
      <c r="P82" s="24"/>
    </row>
    <row r="83" spans="1:16" ht="9.75" customHeight="1">
      <c r="A83" s="18"/>
      <c r="B83" s="18" t="s">
        <v>104</v>
      </c>
      <c r="C83" s="18"/>
      <c r="D83" s="26"/>
      <c r="E83" s="2"/>
      <c r="F83" s="2"/>
      <c r="G83" s="2"/>
      <c r="H83" s="2"/>
      <c r="I83" s="2"/>
      <c r="J83" s="2"/>
      <c r="K83" s="2"/>
      <c r="L83" s="2"/>
      <c r="M83" s="27"/>
      <c r="N83" s="26"/>
      <c r="O83" s="2"/>
      <c r="P83" s="24"/>
    </row>
    <row r="84" spans="1:16" ht="9.75" customHeight="1">
      <c r="A84" s="18"/>
      <c r="B84" s="18" t="s">
        <v>104</v>
      </c>
      <c r="C84" s="18"/>
      <c r="D84" s="26"/>
      <c r="E84" s="2"/>
      <c r="F84" s="2"/>
      <c r="G84" s="2"/>
      <c r="H84" s="2"/>
      <c r="I84" s="2"/>
      <c r="J84" s="2"/>
      <c r="K84" s="2"/>
      <c r="L84" s="2"/>
      <c r="M84" s="27"/>
      <c r="N84" s="26"/>
      <c r="O84" s="2"/>
      <c r="P84" s="24"/>
    </row>
    <row r="85" spans="1:16" ht="9.75" customHeight="1">
      <c r="A85" s="18"/>
      <c r="B85" s="18" t="s">
        <v>104</v>
      </c>
      <c r="C85" s="18"/>
      <c r="D85" s="26"/>
      <c r="E85" s="2"/>
      <c r="F85" s="2"/>
      <c r="G85" s="2"/>
      <c r="H85" s="2"/>
      <c r="I85" s="2"/>
      <c r="J85" s="2"/>
      <c r="K85" s="2"/>
      <c r="L85" s="2"/>
      <c r="M85" s="27"/>
      <c r="N85" s="26"/>
      <c r="O85" s="2"/>
      <c r="P85" s="24"/>
    </row>
    <row r="86" spans="1:16" ht="9.75" customHeight="1">
      <c r="A86" s="18"/>
      <c r="B86" s="18" t="s">
        <v>104</v>
      </c>
      <c r="C86" s="18"/>
      <c r="D86" s="26"/>
      <c r="E86" s="2"/>
      <c r="F86" s="2"/>
      <c r="G86" s="2"/>
      <c r="H86" s="2"/>
      <c r="I86" s="2"/>
      <c r="J86" s="2"/>
      <c r="K86" s="2"/>
      <c r="L86" s="2"/>
      <c r="M86" s="27"/>
      <c r="N86" s="26"/>
      <c r="O86" s="2"/>
      <c r="P86" s="24"/>
    </row>
    <row r="87" spans="1:16" ht="9.75" customHeight="1">
      <c r="A87" s="18"/>
      <c r="B87" s="18" t="s">
        <v>104</v>
      </c>
      <c r="C87" s="18"/>
      <c r="D87" s="26"/>
      <c r="E87" s="2"/>
      <c r="F87" s="2"/>
      <c r="G87" s="2"/>
      <c r="H87" s="2"/>
      <c r="I87" s="2"/>
      <c r="J87" s="2"/>
      <c r="K87" s="2"/>
      <c r="L87" s="2"/>
      <c r="M87" s="27"/>
      <c r="N87" s="26"/>
      <c r="O87" s="2"/>
      <c r="P87" s="24"/>
    </row>
    <row r="88" spans="1:16" ht="9.75" customHeight="1">
      <c r="A88" s="18"/>
      <c r="B88" s="18" t="s">
        <v>34</v>
      </c>
      <c r="C88" s="18"/>
      <c r="D88" s="26"/>
      <c r="E88" s="2"/>
      <c r="F88" s="2"/>
      <c r="G88" s="2"/>
      <c r="H88" s="2"/>
      <c r="I88" s="52"/>
      <c r="J88" s="52"/>
      <c r="K88" s="52"/>
      <c r="L88" s="52"/>
      <c r="M88" s="87"/>
      <c r="N88" s="26"/>
      <c r="O88" s="2"/>
      <c r="P88" s="24"/>
    </row>
    <row r="89" spans="1:16" ht="9.75" customHeight="1">
      <c r="A89" s="18"/>
      <c r="B89" s="18" t="s">
        <v>35</v>
      </c>
      <c r="C89" s="18"/>
      <c r="D89" s="26"/>
      <c r="E89" s="2"/>
      <c r="F89" s="2"/>
      <c r="G89" s="2"/>
      <c r="H89" s="2"/>
      <c r="I89" s="2"/>
      <c r="J89" s="2"/>
      <c r="K89" s="2"/>
      <c r="L89" s="2"/>
      <c r="M89" s="27"/>
      <c r="N89" s="26"/>
      <c r="O89" s="2"/>
      <c r="P89" s="24"/>
    </row>
    <row r="90" spans="1:16" ht="9.75" customHeight="1">
      <c r="A90" s="18"/>
      <c r="B90" s="18" t="s">
        <v>36</v>
      </c>
      <c r="C90" s="18"/>
      <c r="D90" s="26"/>
      <c r="E90" s="2"/>
      <c r="F90" s="2"/>
      <c r="G90" s="2"/>
      <c r="H90" s="2"/>
      <c r="I90" s="2"/>
      <c r="J90" s="2"/>
      <c r="K90" s="2"/>
      <c r="L90" s="2"/>
      <c r="M90" s="27"/>
      <c r="N90" s="26"/>
      <c r="O90" s="2"/>
      <c r="P90" s="24"/>
    </row>
    <row r="91" spans="1:16" ht="9.75" customHeight="1">
      <c r="A91" s="18"/>
      <c r="B91" s="18" t="s">
        <v>112</v>
      </c>
      <c r="C91" s="18"/>
      <c r="D91" s="26"/>
      <c r="E91" s="2"/>
      <c r="F91" s="2"/>
      <c r="G91" s="2"/>
      <c r="H91" s="2"/>
      <c r="I91" s="2"/>
      <c r="J91" s="2"/>
      <c r="K91" s="2"/>
      <c r="L91" s="2"/>
      <c r="M91" s="27"/>
      <c r="N91" s="26"/>
      <c r="O91" s="2"/>
      <c r="P91" s="24"/>
    </row>
    <row r="92" spans="1:16" ht="9.75" customHeight="1">
      <c r="A92" s="32"/>
      <c r="B92" s="33" t="s">
        <v>38</v>
      </c>
      <c r="C92" s="33">
        <f t="shared" ref="C92:M92" si="19">SUM(C75:C91)</f>
        <v>14</v>
      </c>
      <c r="D92" s="70">
        <f t="shared" si="19"/>
        <v>5</v>
      </c>
      <c r="E92" s="71">
        <f t="shared" si="19"/>
        <v>7</v>
      </c>
      <c r="F92" s="71">
        <f t="shared" si="19"/>
        <v>3</v>
      </c>
      <c r="G92" s="71">
        <f t="shared" si="19"/>
        <v>4</v>
      </c>
      <c r="H92" s="71">
        <f t="shared" si="19"/>
        <v>4</v>
      </c>
      <c r="I92" s="71">
        <f t="shared" si="19"/>
        <v>7</v>
      </c>
      <c r="J92" s="71">
        <f t="shared" si="19"/>
        <v>6</v>
      </c>
      <c r="K92" s="71">
        <f t="shared" si="19"/>
        <v>3</v>
      </c>
      <c r="L92" s="71">
        <f t="shared" si="19"/>
        <v>5</v>
      </c>
      <c r="M92" s="93">
        <f t="shared" si="19"/>
        <v>4</v>
      </c>
      <c r="N92" s="70">
        <f>MIN(D92:M92)</f>
        <v>3</v>
      </c>
      <c r="O92" s="71">
        <f>C92-N92</f>
        <v>11</v>
      </c>
      <c r="P92" s="40">
        <f>O92/C92</f>
        <v>0.7857142857142857</v>
      </c>
    </row>
    <row r="93" spans="1:16" ht="9.75" customHeight="1">
      <c r="A93" s="100" t="s">
        <v>113</v>
      </c>
      <c r="B93" s="100" t="s">
        <v>23</v>
      </c>
      <c r="C93" s="100"/>
      <c r="D93" s="101"/>
      <c r="E93" s="102"/>
      <c r="F93" s="102"/>
      <c r="G93" s="102"/>
      <c r="H93" s="102"/>
      <c r="I93" s="102"/>
      <c r="J93" s="102"/>
      <c r="K93" s="102"/>
      <c r="L93" s="102"/>
      <c r="M93" s="103"/>
      <c r="N93" s="101"/>
      <c r="O93" s="102"/>
      <c r="P93" s="104"/>
    </row>
    <row r="94" spans="1:16" ht="9.75" customHeight="1">
      <c r="A94" s="105" t="s">
        <v>114</v>
      </c>
      <c r="B94" s="105" t="s">
        <v>25</v>
      </c>
      <c r="C94" s="105"/>
      <c r="D94" s="106"/>
      <c r="E94" s="107"/>
      <c r="F94" s="107"/>
      <c r="G94" s="107"/>
      <c r="H94" s="107"/>
      <c r="I94" s="107"/>
      <c r="J94" s="107"/>
      <c r="K94" s="107"/>
      <c r="L94" s="107"/>
      <c r="M94" s="108"/>
      <c r="N94" s="106"/>
      <c r="O94" s="107"/>
      <c r="P94" s="109"/>
    </row>
    <row r="95" spans="1:16" ht="9.75" customHeight="1">
      <c r="A95" s="105" t="s">
        <v>115</v>
      </c>
      <c r="B95" s="105" t="s">
        <v>27</v>
      </c>
      <c r="C95" s="105"/>
      <c r="D95" s="106"/>
      <c r="E95" s="107"/>
      <c r="F95" s="107"/>
      <c r="G95" s="107"/>
      <c r="H95" s="107"/>
      <c r="I95" s="107"/>
      <c r="J95" s="107"/>
      <c r="K95" s="107"/>
      <c r="L95" s="107"/>
      <c r="M95" s="108"/>
      <c r="N95" s="106"/>
      <c r="O95" s="107"/>
      <c r="P95" s="109"/>
    </row>
    <row r="96" spans="1:16" ht="9.75" customHeight="1">
      <c r="A96" s="105"/>
      <c r="B96" s="105" t="s">
        <v>99</v>
      </c>
      <c r="C96" s="105"/>
      <c r="D96" s="106"/>
      <c r="E96" s="107"/>
      <c r="F96" s="107"/>
      <c r="G96" s="107"/>
      <c r="H96" s="107"/>
      <c r="I96" s="107"/>
      <c r="J96" s="107"/>
      <c r="K96" s="107"/>
      <c r="L96" s="107"/>
      <c r="M96" s="108"/>
      <c r="N96" s="106"/>
      <c r="O96" s="107"/>
      <c r="P96" s="109"/>
    </row>
    <row r="97" spans="1:16" ht="9.75" customHeight="1">
      <c r="A97" s="105"/>
      <c r="B97" s="105" t="s">
        <v>99</v>
      </c>
      <c r="C97" s="105"/>
      <c r="D97" s="106"/>
      <c r="E97" s="107"/>
      <c r="F97" s="107"/>
      <c r="G97" s="107"/>
      <c r="H97" s="107"/>
      <c r="I97" s="107"/>
      <c r="J97" s="107"/>
      <c r="K97" s="107"/>
      <c r="L97" s="107"/>
      <c r="M97" s="108"/>
      <c r="N97" s="106"/>
      <c r="O97" s="107"/>
      <c r="P97" s="109"/>
    </row>
    <row r="98" spans="1:16" ht="9.75" customHeight="1">
      <c r="A98" s="105"/>
      <c r="B98" s="105" t="s">
        <v>32</v>
      </c>
      <c r="C98" s="105"/>
      <c r="D98" s="106"/>
      <c r="E98" s="107"/>
      <c r="F98" s="107"/>
      <c r="G98" s="107"/>
      <c r="H98" s="107"/>
      <c r="I98" s="107"/>
      <c r="J98" s="107"/>
      <c r="K98" s="107"/>
      <c r="L98" s="107"/>
      <c r="M98" s="108"/>
      <c r="N98" s="106"/>
      <c r="O98" s="107"/>
      <c r="P98" s="109"/>
    </row>
    <row r="99" spans="1:16" ht="9.75" customHeight="1">
      <c r="A99" s="105"/>
      <c r="B99" s="105" t="s">
        <v>103</v>
      </c>
      <c r="C99" s="105"/>
      <c r="D99" s="106"/>
      <c r="E99" s="107"/>
      <c r="F99" s="107"/>
      <c r="G99" s="107"/>
      <c r="H99" s="107"/>
      <c r="I99" s="107"/>
      <c r="J99" s="107"/>
      <c r="K99" s="107"/>
      <c r="L99" s="107"/>
      <c r="M99" s="108"/>
      <c r="N99" s="106"/>
      <c r="O99" s="107"/>
      <c r="P99" s="109"/>
    </row>
    <row r="100" spans="1:16" ht="9.75" customHeight="1">
      <c r="A100" s="105"/>
      <c r="B100" s="105" t="s">
        <v>104</v>
      </c>
      <c r="C100" s="105"/>
      <c r="D100" s="106"/>
      <c r="E100" s="107"/>
      <c r="F100" s="107"/>
      <c r="G100" s="107"/>
      <c r="H100" s="107"/>
      <c r="I100" s="107"/>
      <c r="J100" s="107"/>
      <c r="K100" s="107"/>
      <c r="L100" s="107"/>
      <c r="M100" s="108"/>
      <c r="N100" s="106"/>
      <c r="O100" s="107"/>
      <c r="P100" s="109"/>
    </row>
    <row r="101" spans="1:16" ht="9.75" customHeight="1">
      <c r="A101" s="105"/>
      <c r="B101" s="105" t="s">
        <v>104</v>
      </c>
      <c r="C101" s="105"/>
      <c r="D101" s="106"/>
      <c r="E101" s="107"/>
      <c r="F101" s="107"/>
      <c r="G101" s="107"/>
      <c r="H101" s="107"/>
      <c r="I101" s="107"/>
      <c r="J101" s="107"/>
      <c r="K101" s="107"/>
      <c r="L101" s="107"/>
      <c r="M101" s="108"/>
      <c r="N101" s="106"/>
      <c r="O101" s="107"/>
      <c r="P101" s="109"/>
    </row>
    <row r="102" spans="1:16" ht="9.75" customHeight="1">
      <c r="A102" s="105"/>
      <c r="B102" s="105" t="s">
        <v>104</v>
      </c>
      <c r="C102" s="105"/>
      <c r="D102" s="106"/>
      <c r="E102" s="107"/>
      <c r="F102" s="107"/>
      <c r="G102" s="107"/>
      <c r="H102" s="107"/>
      <c r="I102" s="107"/>
      <c r="J102" s="107"/>
      <c r="K102" s="107"/>
      <c r="L102" s="107"/>
      <c r="M102" s="108"/>
      <c r="N102" s="106"/>
      <c r="O102" s="107"/>
      <c r="P102" s="109"/>
    </row>
    <row r="103" spans="1:16" ht="9.75" customHeight="1">
      <c r="A103" s="105"/>
      <c r="B103" s="105" t="s">
        <v>104</v>
      </c>
      <c r="C103" s="105"/>
      <c r="D103" s="106"/>
      <c r="E103" s="107"/>
      <c r="F103" s="107"/>
      <c r="G103" s="107"/>
      <c r="H103" s="107"/>
      <c r="I103" s="107"/>
      <c r="J103" s="107"/>
      <c r="K103" s="107"/>
      <c r="L103" s="107"/>
      <c r="M103" s="108"/>
      <c r="N103" s="106"/>
      <c r="O103" s="107"/>
      <c r="P103" s="109"/>
    </row>
    <row r="104" spans="1:16" ht="9.75" customHeight="1">
      <c r="A104" s="105"/>
      <c r="B104" s="105" t="s">
        <v>104</v>
      </c>
      <c r="C104" s="105"/>
      <c r="D104" s="106"/>
      <c r="E104" s="107"/>
      <c r="F104" s="107"/>
      <c r="G104" s="107"/>
      <c r="H104" s="107"/>
      <c r="I104" s="107"/>
      <c r="J104" s="107"/>
      <c r="K104" s="107"/>
      <c r="L104" s="107"/>
      <c r="M104" s="108"/>
      <c r="N104" s="106"/>
      <c r="O104" s="107"/>
      <c r="P104" s="109"/>
    </row>
    <row r="105" spans="1:16" ht="9.75" customHeight="1">
      <c r="A105" s="105"/>
      <c r="B105" s="105" t="s">
        <v>34</v>
      </c>
      <c r="C105" s="105"/>
      <c r="D105" s="106"/>
      <c r="E105" s="107"/>
      <c r="F105" s="107"/>
      <c r="G105" s="107"/>
      <c r="H105" s="107"/>
      <c r="I105" s="107"/>
      <c r="J105" s="107"/>
      <c r="K105" s="107"/>
      <c r="L105" s="107"/>
      <c r="M105" s="108"/>
      <c r="N105" s="106"/>
      <c r="O105" s="107"/>
      <c r="P105" s="109"/>
    </row>
    <row r="106" spans="1:16" ht="9.75" customHeight="1">
      <c r="A106" s="105"/>
      <c r="B106" s="105" t="s">
        <v>35</v>
      </c>
      <c r="C106" s="105"/>
      <c r="D106" s="106"/>
      <c r="E106" s="107"/>
      <c r="F106" s="107"/>
      <c r="G106" s="107"/>
      <c r="H106" s="107"/>
      <c r="I106" s="107"/>
      <c r="J106" s="107"/>
      <c r="K106" s="107"/>
      <c r="L106" s="107"/>
      <c r="M106" s="108"/>
      <c r="N106" s="106"/>
      <c r="O106" s="107"/>
      <c r="P106" s="109"/>
    </row>
    <row r="107" spans="1:16" ht="9.75" customHeight="1">
      <c r="A107" s="105"/>
      <c r="B107" s="105" t="s">
        <v>36</v>
      </c>
      <c r="C107" s="105"/>
      <c r="D107" s="106"/>
      <c r="E107" s="107"/>
      <c r="F107" s="107"/>
      <c r="G107" s="107"/>
      <c r="H107" s="107"/>
      <c r="I107" s="107"/>
      <c r="J107" s="107"/>
      <c r="K107" s="107"/>
      <c r="L107" s="107"/>
      <c r="M107" s="108"/>
      <c r="N107" s="106"/>
      <c r="O107" s="107"/>
      <c r="P107" s="109"/>
    </row>
    <row r="108" spans="1:16" ht="9.75" customHeight="1">
      <c r="A108" s="105"/>
      <c r="B108" s="105" t="s">
        <v>37</v>
      </c>
      <c r="C108" s="105"/>
      <c r="D108" s="106"/>
      <c r="E108" s="107"/>
      <c r="F108" s="107"/>
      <c r="G108" s="107"/>
      <c r="H108" s="107"/>
      <c r="I108" s="107"/>
      <c r="J108" s="107"/>
      <c r="K108" s="107"/>
      <c r="L108" s="107"/>
      <c r="M108" s="108"/>
      <c r="N108" s="106"/>
      <c r="O108" s="107"/>
      <c r="P108" s="109"/>
    </row>
    <row r="109" spans="1:16" ht="9.75" customHeight="1">
      <c r="A109" s="110"/>
      <c r="B109" s="33" t="s">
        <v>38</v>
      </c>
      <c r="C109" s="33"/>
      <c r="D109" s="70"/>
      <c r="E109" s="71"/>
      <c r="F109" s="71"/>
      <c r="G109" s="71"/>
      <c r="H109" s="71"/>
      <c r="I109" s="71"/>
      <c r="J109" s="71"/>
      <c r="K109" s="71"/>
      <c r="L109" s="71"/>
      <c r="M109" s="93"/>
      <c r="N109" s="70"/>
      <c r="O109" s="71"/>
      <c r="P109" s="40"/>
    </row>
    <row r="110" spans="1:16" ht="9.75" customHeight="1">
      <c r="A110" s="66" t="s">
        <v>116</v>
      </c>
      <c r="B110" s="66" t="s">
        <v>23</v>
      </c>
      <c r="C110" s="66"/>
      <c r="D110" s="41"/>
      <c r="E110" s="72"/>
      <c r="F110" s="72"/>
      <c r="G110" s="72"/>
      <c r="H110" s="72"/>
      <c r="I110" s="72"/>
      <c r="J110" s="72"/>
      <c r="K110" s="72"/>
      <c r="L110" s="72"/>
      <c r="M110" s="73"/>
      <c r="N110" s="41"/>
      <c r="O110" s="72"/>
      <c r="P110" s="99"/>
    </row>
    <row r="111" spans="1:16" ht="9.75" customHeight="1">
      <c r="A111" s="18"/>
      <c r="B111" s="18" t="s">
        <v>25</v>
      </c>
      <c r="C111" s="18"/>
      <c r="D111" s="26"/>
      <c r="E111" s="2"/>
      <c r="F111" s="2"/>
      <c r="G111" s="2"/>
      <c r="H111" s="2"/>
      <c r="I111" s="2"/>
      <c r="J111" s="2"/>
      <c r="K111" s="2"/>
      <c r="L111" s="2"/>
      <c r="M111" s="27"/>
      <c r="N111" s="26"/>
      <c r="O111" s="2"/>
      <c r="P111" s="24"/>
    </row>
    <row r="112" spans="1:16" ht="9.75" customHeight="1">
      <c r="A112" s="18"/>
      <c r="B112" s="18" t="s">
        <v>27</v>
      </c>
      <c r="C112" s="18"/>
      <c r="D112" s="26"/>
      <c r="E112" s="2"/>
      <c r="F112" s="2"/>
      <c r="G112" s="2"/>
      <c r="H112" s="2"/>
      <c r="I112" s="2"/>
      <c r="J112" s="2"/>
      <c r="K112" s="2"/>
      <c r="L112" s="2"/>
      <c r="M112" s="27"/>
      <c r="N112" s="26"/>
      <c r="O112" s="2"/>
      <c r="P112" s="24"/>
    </row>
    <row r="113" spans="1:16" ht="9.75" customHeight="1">
      <c r="A113" s="18"/>
      <c r="B113" s="18" t="s">
        <v>99</v>
      </c>
      <c r="C113" s="18"/>
      <c r="D113" s="26"/>
      <c r="E113" s="2"/>
      <c r="F113" s="2"/>
      <c r="G113" s="2"/>
      <c r="H113" s="2"/>
      <c r="I113" s="2"/>
      <c r="J113" s="2"/>
      <c r="K113" s="2"/>
      <c r="L113" s="2"/>
      <c r="M113" s="27"/>
      <c r="N113" s="26"/>
      <c r="O113" s="2"/>
      <c r="P113" s="24"/>
    </row>
    <row r="114" spans="1:16" ht="9.75" customHeight="1">
      <c r="A114" s="18"/>
      <c r="B114" s="18" t="s">
        <v>99</v>
      </c>
      <c r="C114" s="18"/>
      <c r="D114" s="26"/>
      <c r="E114" s="2"/>
      <c r="F114" s="2"/>
      <c r="G114" s="2"/>
      <c r="H114" s="2"/>
      <c r="I114" s="2"/>
      <c r="J114" s="2"/>
      <c r="K114" s="2"/>
      <c r="L114" s="2"/>
      <c r="M114" s="27"/>
      <c r="N114" s="26"/>
      <c r="O114" s="2"/>
      <c r="P114" s="24"/>
    </row>
    <row r="115" spans="1:16" ht="9.75" customHeight="1">
      <c r="A115" s="18"/>
      <c r="B115" s="18" t="s">
        <v>32</v>
      </c>
      <c r="C115" s="18"/>
      <c r="D115" s="26"/>
      <c r="E115" s="2"/>
      <c r="F115" s="2"/>
      <c r="G115" s="2"/>
      <c r="H115" s="2"/>
      <c r="I115" s="2"/>
      <c r="J115" s="2"/>
      <c r="K115" s="2"/>
      <c r="L115" s="2"/>
      <c r="M115" s="27"/>
      <c r="N115" s="26"/>
      <c r="O115" s="2"/>
      <c r="P115" s="24"/>
    </row>
    <row r="116" spans="1:16" ht="9.75" customHeight="1">
      <c r="A116" s="18"/>
      <c r="B116" s="18" t="s">
        <v>103</v>
      </c>
      <c r="C116" s="18">
        <f>19+10</f>
        <v>29</v>
      </c>
      <c r="D116" s="26">
        <v>18</v>
      </c>
      <c r="E116" s="2">
        <f>28-13</f>
        <v>15</v>
      </c>
      <c r="F116" s="2">
        <f>28-12</f>
        <v>16</v>
      </c>
      <c r="G116" s="2">
        <v>20</v>
      </c>
      <c r="H116" s="2">
        <v>19</v>
      </c>
      <c r="I116" s="52">
        <v>15</v>
      </c>
      <c r="J116" s="52">
        <v>14</v>
      </c>
      <c r="K116" s="52">
        <v>17</v>
      </c>
      <c r="L116" s="52">
        <v>16</v>
      </c>
      <c r="M116" s="87">
        <v>14</v>
      </c>
      <c r="N116" s="26">
        <f>MIN(D116:M116)</f>
        <v>14</v>
      </c>
      <c r="O116" s="2">
        <f>C116-N116</f>
        <v>15</v>
      </c>
      <c r="P116" s="24">
        <f>O116/C116</f>
        <v>0.51724137931034486</v>
      </c>
    </row>
    <row r="117" spans="1:16" ht="9.75" customHeight="1">
      <c r="A117" s="18"/>
      <c r="B117" s="18" t="s">
        <v>117</v>
      </c>
      <c r="C117" s="18"/>
      <c r="D117" s="26"/>
      <c r="E117" s="2"/>
      <c r="F117" s="2"/>
      <c r="G117" s="2"/>
      <c r="H117" s="2"/>
      <c r="I117" s="52"/>
      <c r="J117" s="52"/>
      <c r="K117" s="52"/>
      <c r="L117" s="52"/>
      <c r="M117" s="87"/>
      <c r="N117" s="26"/>
      <c r="O117" s="2"/>
      <c r="P117" s="24"/>
    </row>
    <row r="118" spans="1:16" ht="9.75" customHeight="1">
      <c r="A118" s="18"/>
      <c r="B118" s="18" t="s">
        <v>102</v>
      </c>
      <c r="C118" s="18">
        <v>4</v>
      </c>
      <c r="D118" s="26">
        <v>0</v>
      </c>
      <c r="E118" s="2">
        <v>0</v>
      </c>
      <c r="F118" s="2">
        <v>0</v>
      </c>
      <c r="G118" s="2">
        <v>0</v>
      </c>
      <c r="H118" s="2">
        <v>0</v>
      </c>
      <c r="I118" s="23">
        <v>2</v>
      </c>
      <c r="J118" s="23">
        <v>2</v>
      </c>
      <c r="K118" s="23">
        <v>2</v>
      </c>
      <c r="L118" s="23">
        <v>2</v>
      </c>
      <c r="M118" s="25">
        <v>3</v>
      </c>
      <c r="N118" s="26">
        <f>MIN(D118:M118)</f>
        <v>0</v>
      </c>
      <c r="O118" s="2">
        <f>C118-N118</f>
        <v>4</v>
      </c>
      <c r="P118" s="24">
        <f>O118/C118</f>
        <v>1</v>
      </c>
    </row>
    <row r="119" spans="1:16" ht="9.75" customHeight="1">
      <c r="A119" s="18"/>
      <c r="B119" s="18" t="s">
        <v>104</v>
      </c>
      <c r="C119" s="18"/>
      <c r="D119" s="26"/>
      <c r="E119" s="2"/>
      <c r="F119" s="2"/>
      <c r="G119" s="2"/>
      <c r="H119" s="2"/>
      <c r="I119" s="111"/>
      <c r="J119" s="111"/>
      <c r="K119" s="111"/>
      <c r="L119" s="111"/>
      <c r="M119" s="112"/>
      <c r="N119" s="26"/>
      <c r="O119" s="2"/>
      <c r="P119" s="24"/>
    </row>
    <row r="120" spans="1:16" ht="9.75" customHeight="1">
      <c r="A120" s="18"/>
      <c r="B120" s="18" t="s">
        <v>104</v>
      </c>
      <c r="C120" s="18"/>
      <c r="D120" s="26"/>
      <c r="E120" s="2"/>
      <c r="F120" s="2"/>
      <c r="G120" s="2"/>
      <c r="H120" s="2"/>
      <c r="I120" s="111"/>
      <c r="J120" s="111"/>
      <c r="K120" s="111"/>
      <c r="L120" s="111"/>
      <c r="M120" s="112"/>
      <c r="N120" s="26"/>
      <c r="O120" s="2"/>
      <c r="P120" s="24"/>
    </row>
    <row r="121" spans="1:16" ht="9.75" customHeight="1">
      <c r="A121" s="18"/>
      <c r="B121" s="18" t="s">
        <v>104</v>
      </c>
      <c r="C121" s="18"/>
      <c r="D121" s="26"/>
      <c r="E121" s="2"/>
      <c r="F121" s="2"/>
      <c r="G121" s="2"/>
      <c r="H121" s="2"/>
      <c r="I121" s="111"/>
      <c r="J121" s="111"/>
      <c r="K121" s="111"/>
      <c r="L121" s="111"/>
      <c r="M121" s="112"/>
      <c r="N121" s="26"/>
      <c r="O121" s="2"/>
      <c r="P121" s="24"/>
    </row>
    <row r="122" spans="1:16" ht="9.75" customHeight="1">
      <c r="A122" s="18"/>
      <c r="B122" s="18" t="s">
        <v>34</v>
      </c>
      <c r="C122" s="18"/>
      <c r="D122" s="26"/>
      <c r="E122" s="2"/>
      <c r="F122" s="2"/>
      <c r="G122" s="2"/>
      <c r="H122" s="2"/>
      <c r="I122" s="111"/>
      <c r="J122" s="111"/>
      <c r="K122" s="111"/>
      <c r="L122" s="111"/>
      <c r="M122" s="112"/>
      <c r="N122" s="26"/>
      <c r="O122" s="2"/>
      <c r="P122" s="24"/>
    </row>
    <row r="123" spans="1:16" ht="9.75" customHeight="1">
      <c r="A123" s="18"/>
      <c r="B123" s="18" t="s">
        <v>35</v>
      </c>
      <c r="C123" s="18">
        <v>2</v>
      </c>
      <c r="D123" s="26">
        <v>0</v>
      </c>
      <c r="E123" s="2">
        <v>0</v>
      </c>
      <c r="F123" s="2">
        <v>0</v>
      </c>
      <c r="G123" s="2">
        <v>0</v>
      </c>
      <c r="H123" s="2">
        <v>0</v>
      </c>
      <c r="I123" s="52">
        <v>0</v>
      </c>
      <c r="J123" s="52">
        <v>0</v>
      </c>
      <c r="K123" s="52">
        <v>1</v>
      </c>
      <c r="L123" s="52">
        <v>1</v>
      </c>
      <c r="M123" s="87">
        <v>1</v>
      </c>
      <c r="N123" s="26">
        <f>MIN(D123:M123)</f>
        <v>0</v>
      </c>
      <c r="O123" s="2">
        <f>C123-N123</f>
        <v>2</v>
      </c>
      <c r="P123" s="24">
        <f>O123/C123</f>
        <v>1</v>
      </c>
    </row>
    <row r="124" spans="1:16" ht="9.75" customHeight="1">
      <c r="A124" s="18"/>
      <c r="B124" s="18" t="s">
        <v>36</v>
      </c>
      <c r="C124" s="18"/>
      <c r="D124" s="26"/>
      <c r="E124" s="2"/>
      <c r="F124" s="2"/>
      <c r="G124" s="2"/>
      <c r="H124" s="2"/>
      <c r="I124" s="111"/>
      <c r="J124" s="111"/>
      <c r="K124" s="111"/>
      <c r="L124" s="111"/>
      <c r="M124" s="112"/>
      <c r="N124" s="26"/>
      <c r="O124" s="2"/>
      <c r="P124" s="24"/>
    </row>
    <row r="125" spans="1:16" ht="9.75" customHeight="1">
      <c r="A125" s="18"/>
      <c r="B125" s="18" t="s">
        <v>37</v>
      </c>
      <c r="C125" s="18">
        <v>1</v>
      </c>
      <c r="D125" s="53">
        <v>1</v>
      </c>
      <c r="E125" s="52">
        <v>1</v>
      </c>
      <c r="F125" s="52">
        <v>1</v>
      </c>
      <c r="G125" s="52">
        <v>1</v>
      </c>
      <c r="H125" s="52">
        <v>1</v>
      </c>
      <c r="I125" s="52">
        <v>1</v>
      </c>
      <c r="J125" s="52">
        <v>1</v>
      </c>
      <c r="K125" s="52">
        <v>1</v>
      </c>
      <c r="L125" s="52">
        <v>1</v>
      </c>
      <c r="M125" s="87">
        <v>1</v>
      </c>
      <c r="N125" s="19">
        <f>MIN(D125:M125)</f>
        <v>1</v>
      </c>
      <c r="O125" s="23">
        <f>C125-N125</f>
        <v>0</v>
      </c>
      <c r="P125" s="24">
        <f>O125/C125</f>
        <v>0</v>
      </c>
    </row>
    <row r="126" spans="1:16" ht="9.75" customHeight="1">
      <c r="A126" s="18"/>
      <c r="B126" s="18" t="s">
        <v>118</v>
      </c>
      <c r="C126" s="18"/>
      <c r="D126" s="26"/>
      <c r="E126" s="2"/>
      <c r="F126" s="2"/>
      <c r="G126" s="2"/>
      <c r="H126" s="2"/>
      <c r="I126" s="2"/>
      <c r="J126" s="2"/>
      <c r="K126" s="2"/>
      <c r="L126" s="2"/>
      <c r="M126" s="27"/>
      <c r="N126" s="26"/>
      <c r="O126" s="2"/>
      <c r="P126" s="24"/>
    </row>
    <row r="127" spans="1:16" ht="9.75" customHeight="1">
      <c r="A127" s="32"/>
      <c r="B127" s="33" t="s">
        <v>38</v>
      </c>
      <c r="C127" s="33">
        <f>SUM(C110:C126)</f>
        <v>36</v>
      </c>
      <c r="D127" s="70">
        <f t="shared" ref="D127:M127" si="20">SUM(D110:D125)</f>
        <v>19</v>
      </c>
      <c r="E127" s="71">
        <f t="shared" si="20"/>
        <v>16</v>
      </c>
      <c r="F127" s="71">
        <f t="shared" si="20"/>
        <v>17</v>
      </c>
      <c r="G127" s="71">
        <f t="shared" si="20"/>
        <v>21</v>
      </c>
      <c r="H127" s="71">
        <f t="shared" si="20"/>
        <v>20</v>
      </c>
      <c r="I127" s="71">
        <f t="shared" si="20"/>
        <v>18</v>
      </c>
      <c r="J127" s="71">
        <f t="shared" si="20"/>
        <v>17</v>
      </c>
      <c r="K127" s="71">
        <f t="shared" si="20"/>
        <v>21</v>
      </c>
      <c r="L127" s="71">
        <f t="shared" si="20"/>
        <v>20</v>
      </c>
      <c r="M127" s="93">
        <f t="shared" si="20"/>
        <v>19</v>
      </c>
      <c r="N127" s="70">
        <f>MIN(D127:M127)</f>
        <v>16</v>
      </c>
      <c r="O127" s="71">
        <f>C127-N127</f>
        <v>20</v>
      </c>
      <c r="P127" s="40">
        <f>O127/C127</f>
        <v>0.55555555555555558</v>
      </c>
    </row>
    <row r="128" spans="1:16" ht="9.75" customHeight="1">
      <c r="A128" s="66" t="s">
        <v>119</v>
      </c>
      <c r="B128" s="66" t="s">
        <v>23</v>
      </c>
      <c r="C128" s="66"/>
      <c r="D128" s="41"/>
      <c r="E128" s="72"/>
      <c r="F128" s="72"/>
      <c r="G128" s="72"/>
      <c r="H128" s="72"/>
      <c r="I128" s="72"/>
      <c r="J128" s="72"/>
      <c r="K128" s="72"/>
      <c r="L128" s="72"/>
      <c r="M128" s="73"/>
      <c r="N128" s="41"/>
      <c r="O128" s="72"/>
      <c r="P128" s="99"/>
    </row>
    <row r="129" spans="1:16" ht="9.75" customHeight="1">
      <c r="A129" s="18"/>
      <c r="B129" s="18" t="s">
        <v>25</v>
      </c>
      <c r="C129" s="18"/>
      <c r="D129" s="26"/>
      <c r="E129" s="2"/>
      <c r="F129" s="2"/>
      <c r="G129" s="2"/>
      <c r="H129" s="2"/>
      <c r="I129" s="2"/>
      <c r="J129" s="2"/>
      <c r="K129" s="2"/>
      <c r="L129" s="2"/>
      <c r="M129" s="27"/>
      <c r="N129" s="26"/>
      <c r="O129" s="2"/>
      <c r="P129" s="24"/>
    </row>
    <row r="130" spans="1:16" ht="9.75" customHeight="1">
      <c r="A130" s="18"/>
      <c r="B130" s="18" t="s">
        <v>27</v>
      </c>
      <c r="C130" s="18"/>
      <c r="D130" s="26"/>
      <c r="E130" s="2"/>
      <c r="F130" s="2"/>
      <c r="G130" s="2"/>
      <c r="H130" s="2"/>
      <c r="I130" s="2"/>
      <c r="J130" s="2"/>
      <c r="K130" s="2"/>
      <c r="L130" s="2"/>
      <c r="M130" s="27"/>
      <c r="N130" s="26"/>
      <c r="O130" s="2"/>
      <c r="P130" s="24"/>
    </row>
    <row r="131" spans="1:16" ht="9.75" customHeight="1">
      <c r="A131" s="18"/>
      <c r="B131" s="18" t="s">
        <v>99</v>
      </c>
      <c r="C131" s="18"/>
      <c r="D131" s="26"/>
      <c r="E131" s="2"/>
      <c r="F131" s="2"/>
      <c r="G131" s="2"/>
      <c r="H131" s="2"/>
      <c r="I131" s="2"/>
      <c r="J131" s="2"/>
      <c r="K131" s="2"/>
      <c r="L131" s="2"/>
      <c r="M131" s="27"/>
      <c r="N131" s="26"/>
      <c r="O131" s="2"/>
      <c r="P131" s="24"/>
    </row>
    <row r="132" spans="1:16" ht="9.75" customHeight="1">
      <c r="A132" s="18"/>
      <c r="B132" s="18" t="s">
        <v>99</v>
      </c>
      <c r="C132" s="18"/>
      <c r="D132" s="26"/>
      <c r="E132" s="2"/>
      <c r="F132" s="2"/>
      <c r="G132" s="2"/>
      <c r="H132" s="2"/>
      <c r="I132" s="2"/>
      <c r="J132" s="2"/>
      <c r="K132" s="2"/>
      <c r="L132" s="2"/>
      <c r="M132" s="27"/>
      <c r="N132" s="26"/>
      <c r="O132" s="2"/>
      <c r="P132" s="24"/>
    </row>
    <row r="133" spans="1:16" ht="9.75" customHeight="1">
      <c r="A133" s="18"/>
      <c r="B133" s="18" t="s">
        <v>32</v>
      </c>
      <c r="C133" s="18"/>
      <c r="D133" s="26"/>
      <c r="E133" s="2"/>
      <c r="F133" s="2"/>
      <c r="G133" s="2"/>
      <c r="H133" s="2"/>
      <c r="I133" s="2"/>
      <c r="J133" s="2"/>
      <c r="K133" s="2"/>
      <c r="L133" s="2"/>
      <c r="M133" s="27"/>
      <c r="N133" s="26"/>
      <c r="O133" s="2"/>
      <c r="P133" s="24"/>
    </row>
    <row r="134" spans="1:16" ht="9.75" customHeight="1">
      <c r="A134" s="18"/>
      <c r="B134" s="18" t="s">
        <v>103</v>
      </c>
      <c r="C134" s="18">
        <v>26</v>
      </c>
      <c r="D134" s="26">
        <v>21</v>
      </c>
      <c r="E134" s="2">
        <v>19</v>
      </c>
      <c r="F134" s="2">
        <v>16</v>
      </c>
      <c r="G134" s="2">
        <f>26-12</f>
        <v>14</v>
      </c>
      <c r="H134" s="2">
        <f>26-15</f>
        <v>11</v>
      </c>
      <c r="I134" s="52">
        <f>C134-12</f>
        <v>14</v>
      </c>
      <c r="J134" s="52">
        <f>C134-8</f>
        <v>18</v>
      </c>
      <c r="K134" s="52">
        <f>C134-9</f>
        <v>17</v>
      </c>
      <c r="L134" s="52">
        <f>C134-7</f>
        <v>19</v>
      </c>
      <c r="M134" s="87">
        <v>22</v>
      </c>
      <c r="N134" s="26">
        <f>MIN(D134:M134)</f>
        <v>11</v>
      </c>
      <c r="O134" s="2">
        <f>C134-N134</f>
        <v>15</v>
      </c>
      <c r="P134" s="24">
        <f>O134/C134</f>
        <v>0.57692307692307687</v>
      </c>
    </row>
    <row r="135" spans="1:16" ht="9.75" customHeight="1">
      <c r="A135" s="18"/>
      <c r="B135" s="18" t="s">
        <v>104</v>
      </c>
      <c r="C135" s="18"/>
      <c r="D135" s="26"/>
      <c r="E135" s="2"/>
      <c r="F135" s="2"/>
      <c r="G135" s="2"/>
      <c r="H135" s="2"/>
      <c r="I135" s="111"/>
      <c r="J135" s="111"/>
      <c r="K135" s="111"/>
      <c r="L135" s="111"/>
      <c r="M135" s="112"/>
      <c r="N135" s="26"/>
      <c r="O135" s="2"/>
      <c r="P135" s="24"/>
    </row>
    <row r="136" spans="1:16" ht="9.75" customHeight="1">
      <c r="A136" s="18"/>
      <c r="B136" s="18" t="s">
        <v>104</v>
      </c>
      <c r="C136" s="18"/>
      <c r="D136" s="26"/>
      <c r="E136" s="2"/>
      <c r="F136" s="2"/>
      <c r="G136" s="2"/>
      <c r="H136" s="2"/>
      <c r="I136" s="111"/>
      <c r="J136" s="111"/>
      <c r="K136" s="111"/>
      <c r="L136" s="111"/>
      <c r="M136" s="112"/>
      <c r="N136" s="26"/>
      <c r="O136" s="2"/>
      <c r="P136" s="24"/>
    </row>
    <row r="137" spans="1:16" ht="9.75" customHeight="1">
      <c r="A137" s="18"/>
      <c r="B137" s="18" t="s">
        <v>104</v>
      </c>
      <c r="C137" s="18"/>
      <c r="D137" s="26"/>
      <c r="E137" s="2"/>
      <c r="F137" s="2"/>
      <c r="G137" s="2"/>
      <c r="H137" s="2"/>
      <c r="I137" s="111"/>
      <c r="J137" s="111"/>
      <c r="K137" s="111"/>
      <c r="L137" s="111"/>
      <c r="M137" s="112"/>
      <c r="N137" s="26"/>
      <c r="O137" s="2"/>
      <c r="P137" s="24"/>
    </row>
    <row r="138" spans="1:16" ht="9.75" customHeight="1">
      <c r="A138" s="18"/>
      <c r="B138" s="18" t="s">
        <v>104</v>
      </c>
      <c r="C138" s="18"/>
      <c r="D138" s="26"/>
      <c r="E138" s="2"/>
      <c r="F138" s="2"/>
      <c r="G138" s="2"/>
      <c r="H138" s="2"/>
      <c r="I138" s="111"/>
      <c r="J138" s="111"/>
      <c r="K138" s="111"/>
      <c r="L138" s="111"/>
      <c r="M138" s="112"/>
      <c r="N138" s="26"/>
      <c r="O138" s="2"/>
      <c r="P138" s="24"/>
    </row>
    <row r="139" spans="1:16" ht="9.75" customHeight="1">
      <c r="A139" s="18"/>
      <c r="B139" s="18" t="s">
        <v>104</v>
      </c>
      <c r="C139" s="18"/>
      <c r="D139" s="26"/>
      <c r="E139" s="2"/>
      <c r="F139" s="2"/>
      <c r="G139" s="2"/>
      <c r="H139" s="2"/>
      <c r="I139" s="111"/>
      <c r="J139" s="111"/>
      <c r="K139" s="111"/>
      <c r="L139" s="111"/>
      <c r="M139" s="112"/>
      <c r="N139" s="26"/>
      <c r="O139" s="2"/>
      <c r="P139" s="24"/>
    </row>
    <row r="140" spans="1:16" ht="9.75" customHeight="1">
      <c r="A140" s="18"/>
      <c r="B140" s="18" t="s">
        <v>34</v>
      </c>
      <c r="C140" s="18">
        <v>3</v>
      </c>
      <c r="D140" s="26">
        <v>2</v>
      </c>
      <c r="E140" s="2">
        <v>2</v>
      </c>
      <c r="F140" s="2">
        <v>2</v>
      </c>
      <c r="G140" s="2">
        <v>2</v>
      </c>
      <c r="H140" s="2">
        <v>2</v>
      </c>
      <c r="I140" s="2">
        <v>3</v>
      </c>
      <c r="J140" s="2">
        <v>3</v>
      </c>
      <c r="K140" s="2">
        <v>3</v>
      </c>
      <c r="L140" s="2">
        <v>3</v>
      </c>
      <c r="M140" s="87">
        <v>3</v>
      </c>
      <c r="N140" s="26">
        <f>MIN(D140:M140)</f>
        <v>2</v>
      </c>
      <c r="O140" s="2">
        <f>C140-N140</f>
        <v>1</v>
      </c>
      <c r="P140" s="24">
        <f>O140/C140</f>
        <v>0.33333333333333331</v>
      </c>
    </row>
    <row r="141" spans="1:16" ht="9.75" customHeight="1">
      <c r="A141" s="18"/>
      <c r="B141" s="18" t="s">
        <v>35</v>
      </c>
      <c r="C141" s="18"/>
      <c r="D141" s="26"/>
      <c r="E141" s="2"/>
      <c r="F141" s="2"/>
      <c r="G141" s="2"/>
      <c r="H141" s="2"/>
      <c r="I141" s="111"/>
      <c r="J141" s="111"/>
      <c r="K141" s="111"/>
      <c r="L141" s="111"/>
      <c r="M141" s="112"/>
      <c r="N141" s="26"/>
      <c r="O141" s="2"/>
      <c r="P141" s="24"/>
    </row>
    <row r="142" spans="1:16" ht="9.75" customHeight="1">
      <c r="A142" s="18"/>
      <c r="B142" s="18" t="s">
        <v>36</v>
      </c>
      <c r="C142" s="18"/>
      <c r="D142" s="26"/>
      <c r="E142" s="2"/>
      <c r="F142" s="2"/>
      <c r="G142" s="2"/>
      <c r="H142" s="2"/>
      <c r="I142" s="111"/>
      <c r="J142" s="111"/>
      <c r="K142" s="111"/>
      <c r="L142" s="111"/>
      <c r="M142" s="112"/>
      <c r="N142" s="26"/>
      <c r="O142" s="2"/>
      <c r="P142" s="24"/>
    </row>
    <row r="143" spans="1:16" ht="9.75" customHeight="1">
      <c r="A143" s="18"/>
      <c r="B143" s="18" t="s">
        <v>37</v>
      </c>
      <c r="C143" s="18">
        <v>1</v>
      </c>
      <c r="D143" s="26">
        <v>1</v>
      </c>
      <c r="E143" s="2">
        <v>1</v>
      </c>
      <c r="F143" s="2">
        <v>1</v>
      </c>
      <c r="G143" s="2">
        <v>1</v>
      </c>
      <c r="H143" s="2">
        <v>1</v>
      </c>
      <c r="I143" s="113">
        <v>0</v>
      </c>
      <c r="J143" s="113">
        <v>0</v>
      </c>
      <c r="K143" s="113">
        <v>0</v>
      </c>
      <c r="L143" s="113">
        <v>0</v>
      </c>
      <c r="M143" s="114">
        <v>0</v>
      </c>
      <c r="N143" s="26">
        <f t="shared" ref="N143:N144" si="21">MIN(D143:M143)</f>
        <v>0</v>
      </c>
      <c r="O143" s="2">
        <f t="shared" ref="O143:O144" si="22">C143-N143</f>
        <v>1</v>
      </c>
      <c r="P143" s="24">
        <f t="shared" ref="P143:P144" si="23">O143/C143</f>
        <v>1</v>
      </c>
    </row>
    <row r="144" spans="1:16" ht="9.75" customHeight="1">
      <c r="A144" s="32"/>
      <c r="B144" s="33" t="s">
        <v>38</v>
      </c>
      <c r="C144" s="33">
        <f t="shared" ref="C144:M144" si="24">SUM(C128:C143)</f>
        <v>30</v>
      </c>
      <c r="D144" s="70">
        <f t="shared" si="24"/>
        <v>24</v>
      </c>
      <c r="E144" s="71">
        <f t="shared" si="24"/>
        <v>22</v>
      </c>
      <c r="F144" s="71">
        <f t="shared" si="24"/>
        <v>19</v>
      </c>
      <c r="G144" s="71">
        <f t="shared" si="24"/>
        <v>17</v>
      </c>
      <c r="H144" s="71">
        <f t="shared" si="24"/>
        <v>14</v>
      </c>
      <c r="I144" s="71">
        <f t="shared" si="24"/>
        <v>17</v>
      </c>
      <c r="J144" s="71">
        <f t="shared" si="24"/>
        <v>21</v>
      </c>
      <c r="K144" s="71">
        <f t="shared" si="24"/>
        <v>20</v>
      </c>
      <c r="L144" s="71">
        <f t="shared" si="24"/>
        <v>22</v>
      </c>
      <c r="M144" s="93">
        <f t="shared" si="24"/>
        <v>25</v>
      </c>
      <c r="N144" s="70">
        <f t="shared" si="21"/>
        <v>14</v>
      </c>
      <c r="O144" s="71">
        <f t="shared" si="22"/>
        <v>16</v>
      </c>
      <c r="P144" s="40">
        <f t="shared" si="23"/>
        <v>0.53333333333333333</v>
      </c>
    </row>
    <row r="145" spans="1:16" ht="9.75" customHeight="1">
      <c r="A145" s="66" t="s">
        <v>120</v>
      </c>
      <c r="B145" s="66" t="s">
        <v>23</v>
      </c>
      <c r="C145" s="66"/>
      <c r="D145" s="41"/>
      <c r="E145" s="72"/>
      <c r="F145" s="72"/>
      <c r="G145" s="72"/>
      <c r="H145" s="72"/>
      <c r="I145" s="72"/>
      <c r="J145" s="72"/>
      <c r="K145" s="72"/>
      <c r="L145" s="72"/>
      <c r="M145" s="73"/>
      <c r="N145" s="41"/>
      <c r="O145" s="72"/>
      <c r="P145" s="99"/>
    </row>
    <row r="146" spans="1:16" ht="9.75" customHeight="1">
      <c r="A146" s="18"/>
      <c r="B146" s="18" t="s">
        <v>25</v>
      </c>
      <c r="C146" s="18"/>
      <c r="D146" s="26"/>
      <c r="E146" s="2"/>
      <c r="F146" s="2"/>
      <c r="G146" s="2"/>
      <c r="H146" s="2"/>
      <c r="I146" s="2"/>
      <c r="J146" s="2"/>
      <c r="K146" s="2"/>
      <c r="L146" s="2"/>
      <c r="M146" s="27"/>
      <c r="N146" s="26"/>
      <c r="O146" s="2"/>
      <c r="P146" s="24"/>
    </row>
    <row r="147" spans="1:16" ht="9.75" customHeight="1">
      <c r="A147" s="18"/>
      <c r="B147" s="18" t="s">
        <v>27</v>
      </c>
      <c r="C147" s="18"/>
      <c r="D147" s="26"/>
      <c r="E147" s="2"/>
      <c r="F147" s="2"/>
      <c r="G147" s="2"/>
      <c r="H147" s="2"/>
      <c r="I147" s="2"/>
      <c r="J147" s="2"/>
      <c r="K147" s="2"/>
      <c r="L147" s="2"/>
      <c r="M147" s="27"/>
      <c r="N147" s="26"/>
      <c r="O147" s="2"/>
      <c r="P147" s="24"/>
    </row>
    <row r="148" spans="1:16" ht="9.75" customHeight="1">
      <c r="A148" s="18"/>
      <c r="B148" s="18" t="s">
        <v>99</v>
      </c>
      <c r="C148" s="18"/>
      <c r="D148" s="26"/>
      <c r="E148" s="2"/>
      <c r="F148" s="2"/>
      <c r="G148" s="2"/>
      <c r="H148" s="2"/>
      <c r="I148" s="2"/>
      <c r="J148" s="2"/>
      <c r="K148" s="2"/>
      <c r="L148" s="2"/>
      <c r="M148" s="27"/>
      <c r="N148" s="26"/>
      <c r="O148" s="2"/>
      <c r="P148" s="24"/>
    </row>
    <row r="149" spans="1:16" ht="9.75" customHeight="1">
      <c r="A149" s="18"/>
      <c r="B149" s="18" t="s">
        <v>99</v>
      </c>
      <c r="C149" s="18"/>
      <c r="D149" s="26"/>
      <c r="E149" s="2"/>
      <c r="F149" s="2"/>
      <c r="G149" s="2"/>
      <c r="H149" s="2"/>
      <c r="I149" s="2"/>
      <c r="J149" s="2"/>
      <c r="K149" s="2"/>
      <c r="L149" s="2"/>
      <c r="M149" s="27"/>
      <c r="N149" s="26"/>
      <c r="O149" s="2"/>
      <c r="P149" s="24"/>
    </row>
    <row r="150" spans="1:16" ht="9.75" customHeight="1">
      <c r="A150" s="18"/>
      <c r="B150" s="18" t="s">
        <v>32</v>
      </c>
      <c r="C150" s="18"/>
      <c r="D150" s="26"/>
      <c r="E150" s="2"/>
      <c r="F150" s="2"/>
      <c r="G150" s="2"/>
      <c r="H150" s="2"/>
      <c r="I150" s="2"/>
      <c r="J150" s="2"/>
      <c r="K150" s="2"/>
      <c r="L150" s="2"/>
      <c r="M150" s="27"/>
      <c r="N150" s="26"/>
      <c r="O150" s="2"/>
      <c r="P150" s="24"/>
    </row>
    <row r="151" spans="1:16" ht="9.75" customHeight="1">
      <c r="A151" s="18"/>
      <c r="B151" s="18" t="s">
        <v>104</v>
      </c>
      <c r="C151" s="18"/>
      <c r="D151" s="26"/>
      <c r="E151" s="2"/>
      <c r="F151" s="2"/>
      <c r="G151" s="2"/>
      <c r="H151" s="2"/>
      <c r="I151" s="2"/>
      <c r="J151" s="2"/>
      <c r="K151" s="2"/>
      <c r="L151" s="2"/>
      <c r="M151" s="27"/>
      <c r="N151" s="26"/>
      <c r="O151" s="2"/>
      <c r="P151" s="24"/>
    </row>
    <row r="152" spans="1:16" ht="9.75" customHeight="1">
      <c r="A152" s="18"/>
      <c r="B152" s="18" t="s">
        <v>104</v>
      </c>
      <c r="C152" s="18"/>
      <c r="D152" s="26"/>
      <c r="E152" s="2"/>
      <c r="F152" s="2"/>
      <c r="G152" s="2"/>
      <c r="H152" s="2"/>
      <c r="I152" s="2"/>
      <c r="J152" s="2"/>
      <c r="K152" s="2"/>
      <c r="L152" s="2"/>
      <c r="M152" s="27"/>
      <c r="N152" s="26"/>
      <c r="O152" s="2"/>
      <c r="P152" s="24"/>
    </row>
    <row r="153" spans="1:16" ht="9.75" customHeight="1">
      <c r="A153" s="18"/>
      <c r="B153" s="18" t="s">
        <v>104</v>
      </c>
      <c r="C153" s="18"/>
      <c r="D153" s="26"/>
      <c r="E153" s="2"/>
      <c r="F153" s="2"/>
      <c r="G153" s="2"/>
      <c r="H153" s="2"/>
      <c r="I153" s="2"/>
      <c r="J153" s="2"/>
      <c r="K153" s="2"/>
      <c r="L153" s="2"/>
      <c r="M153" s="27"/>
      <c r="N153" s="26"/>
      <c r="O153" s="2"/>
      <c r="P153" s="24"/>
    </row>
    <row r="154" spans="1:16" ht="9.75" customHeight="1">
      <c r="A154" s="18"/>
      <c r="B154" s="18" t="s">
        <v>104</v>
      </c>
      <c r="C154" s="18"/>
      <c r="D154" s="26"/>
      <c r="E154" s="2"/>
      <c r="F154" s="2"/>
      <c r="G154" s="2"/>
      <c r="H154" s="2"/>
      <c r="I154" s="2"/>
      <c r="J154" s="2"/>
      <c r="K154" s="2"/>
      <c r="L154" s="2"/>
      <c r="M154" s="27"/>
      <c r="N154" s="26"/>
      <c r="O154" s="2"/>
      <c r="P154" s="24"/>
    </row>
    <row r="155" spans="1:16" ht="9.75" customHeight="1">
      <c r="A155" s="18"/>
      <c r="B155" s="18" t="s">
        <v>104</v>
      </c>
      <c r="C155" s="18"/>
      <c r="D155" s="26"/>
      <c r="E155" s="2"/>
      <c r="F155" s="2"/>
      <c r="G155" s="2"/>
      <c r="H155" s="2"/>
      <c r="I155" s="2"/>
      <c r="J155" s="2"/>
      <c r="K155" s="2"/>
      <c r="L155" s="2"/>
      <c r="M155" s="27"/>
      <c r="N155" s="26"/>
      <c r="O155" s="2"/>
      <c r="P155" s="24"/>
    </row>
    <row r="156" spans="1:16" ht="9.75" customHeight="1">
      <c r="A156" s="18"/>
      <c r="B156" s="18" t="s">
        <v>104</v>
      </c>
      <c r="C156" s="18"/>
      <c r="D156" s="26"/>
      <c r="E156" s="2"/>
      <c r="F156" s="2"/>
      <c r="G156" s="2"/>
      <c r="H156" s="2"/>
      <c r="I156" s="2"/>
      <c r="J156" s="2"/>
      <c r="K156" s="2"/>
      <c r="L156" s="2"/>
      <c r="M156" s="27"/>
      <c r="N156" s="26"/>
      <c r="O156" s="2"/>
      <c r="P156" s="24"/>
    </row>
    <row r="157" spans="1:16" ht="9.75" customHeight="1">
      <c r="A157" s="18"/>
      <c r="B157" s="18" t="s">
        <v>34</v>
      </c>
      <c r="C157" s="18"/>
      <c r="D157" s="26"/>
      <c r="E157" s="2"/>
      <c r="F157" s="2"/>
      <c r="G157" s="2"/>
      <c r="H157" s="2"/>
      <c r="I157" s="2"/>
      <c r="J157" s="2"/>
      <c r="K157" s="2"/>
      <c r="L157" s="2"/>
      <c r="M157" s="27"/>
      <c r="N157" s="26"/>
      <c r="O157" s="2"/>
      <c r="P157" s="24"/>
    </row>
    <row r="158" spans="1:16" ht="9.75" customHeight="1">
      <c r="A158" s="18"/>
      <c r="B158" s="18" t="s">
        <v>35</v>
      </c>
      <c r="C158" s="18"/>
      <c r="D158" s="26"/>
      <c r="E158" s="2"/>
      <c r="F158" s="2"/>
      <c r="G158" s="2"/>
      <c r="H158" s="2"/>
      <c r="I158" s="2"/>
      <c r="J158" s="2"/>
      <c r="K158" s="2"/>
      <c r="L158" s="2"/>
      <c r="M158" s="27"/>
      <c r="N158" s="26"/>
      <c r="O158" s="2"/>
      <c r="P158" s="24"/>
    </row>
    <row r="159" spans="1:16" ht="9.75" customHeight="1">
      <c r="A159" s="18"/>
      <c r="B159" s="18" t="s">
        <v>36</v>
      </c>
      <c r="C159" s="18">
        <v>2</v>
      </c>
      <c r="D159" s="26">
        <v>2</v>
      </c>
      <c r="E159" s="2">
        <v>2</v>
      </c>
      <c r="F159" s="2">
        <v>1</v>
      </c>
      <c r="G159" s="2">
        <v>0</v>
      </c>
      <c r="H159" s="2">
        <v>0</v>
      </c>
      <c r="I159" s="52">
        <v>1</v>
      </c>
      <c r="J159" s="52">
        <v>1</v>
      </c>
      <c r="K159" s="52">
        <v>1</v>
      </c>
      <c r="L159" s="52">
        <v>1</v>
      </c>
      <c r="M159" s="87">
        <v>1</v>
      </c>
      <c r="N159" s="26">
        <f>MIN(D159:M159)</f>
        <v>0</v>
      </c>
      <c r="O159" s="2">
        <f>C159-N159</f>
        <v>2</v>
      </c>
      <c r="P159" s="24">
        <f>O159/C159</f>
        <v>1</v>
      </c>
    </row>
    <row r="160" spans="1:16" ht="9.75" customHeight="1">
      <c r="A160" s="18"/>
      <c r="B160" s="18" t="s">
        <v>37</v>
      </c>
      <c r="C160" s="18"/>
      <c r="D160" s="26"/>
      <c r="E160" s="2"/>
      <c r="F160" s="2"/>
      <c r="G160" s="2"/>
      <c r="H160" s="2"/>
      <c r="I160" s="2"/>
      <c r="J160" s="2"/>
      <c r="K160" s="2"/>
      <c r="L160" s="2"/>
      <c r="M160" s="27"/>
      <c r="N160" s="26"/>
      <c r="O160" s="2"/>
      <c r="P160" s="24"/>
    </row>
    <row r="161" spans="1:16" ht="9.75" customHeight="1">
      <c r="A161" s="32"/>
      <c r="B161" s="33" t="s">
        <v>38</v>
      </c>
      <c r="C161" s="33">
        <f t="shared" ref="C161:M161" si="25">SUM(C145:C160)</f>
        <v>2</v>
      </c>
      <c r="D161" s="70">
        <f t="shared" si="25"/>
        <v>2</v>
      </c>
      <c r="E161" s="71">
        <f t="shared" si="25"/>
        <v>2</v>
      </c>
      <c r="F161" s="71">
        <f t="shared" si="25"/>
        <v>1</v>
      </c>
      <c r="G161" s="71">
        <f t="shared" si="25"/>
        <v>0</v>
      </c>
      <c r="H161" s="71">
        <f t="shared" si="25"/>
        <v>0</v>
      </c>
      <c r="I161" s="71">
        <f t="shared" si="25"/>
        <v>1</v>
      </c>
      <c r="J161" s="71">
        <f t="shared" si="25"/>
        <v>1</v>
      </c>
      <c r="K161" s="71">
        <f t="shared" si="25"/>
        <v>1</v>
      </c>
      <c r="L161" s="71">
        <f t="shared" si="25"/>
        <v>1</v>
      </c>
      <c r="M161" s="93">
        <f t="shared" si="25"/>
        <v>1</v>
      </c>
      <c r="N161" s="70">
        <f>MIN(D161:M161)</f>
        <v>0</v>
      </c>
      <c r="O161" s="71">
        <f>C161-N161</f>
        <v>2</v>
      </c>
      <c r="P161" s="40">
        <f>O161/C161</f>
        <v>1</v>
      </c>
    </row>
    <row r="162" spans="1:16" ht="9.75" customHeight="1">
      <c r="A162" s="66" t="s">
        <v>121</v>
      </c>
      <c r="B162" s="66" t="s">
        <v>23</v>
      </c>
      <c r="C162" s="66"/>
      <c r="D162" s="41"/>
      <c r="E162" s="72"/>
      <c r="F162" s="72"/>
      <c r="G162" s="72"/>
      <c r="H162" s="72"/>
      <c r="I162" s="72"/>
      <c r="J162" s="72"/>
      <c r="K162" s="72"/>
      <c r="L162" s="72"/>
      <c r="M162" s="73"/>
      <c r="N162" s="41"/>
      <c r="O162" s="72"/>
      <c r="P162" s="99"/>
    </row>
    <row r="163" spans="1:16" ht="9.75" customHeight="1">
      <c r="A163" s="18"/>
      <c r="B163" s="18" t="s">
        <v>25</v>
      </c>
      <c r="C163" s="18"/>
      <c r="D163" s="26"/>
      <c r="E163" s="2"/>
      <c r="F163" s="2"/>
      <c r="G163" s="2"/>
      <c r="H163" s="2"/>
      <c r="I163" s="2"/>
      <c r="J163" s="2"/>
      <c r="K163" s="2"/>
      <c r="L163" s="2"/>
      <c r="M163" s="27"/>
      <c r="N163" s="26"/>
      <c r="O163" s="2"/>
      <c r="P163" s="24"/>
    </row>
    <row r="164" spans="1:16" ht="9.75" customHeight="1">
      <c r="A164" s="18"/>
      <c r="B164" s="18" t="s">
        <v>27</v>
      </c>
      <c r="C164" s="18"/>
      <c r="D164" s="26"/>
      <c r="E164" s="2"/>
      <c r="F164" s="2"/>
      <c r="G164" s="2"/>
      <c r="H164" s="2"/>
      <c r="I164" s="2"/>
      <c r="J164" s="2"/>
      <c r="K164" s="2"/>
      <c r="L164" s="2"/>
      <c r="M164" s="27"/>
      <c r="N164" s="26"/>
      <c r="O164" s="2"/>
      <c r="P164" s="24"/>
    </row>
    <row r="165" spans="1:16" ht="9.75" customHeight="1">
      <c r="A165" s="18"/>
      <c r="B165" s="18" t="s">
        <v>99</v>
      </c>
      <c r="C165" s="18"/>
      <c r="D165" s="26"/>
      <c r="E165" s="2"/>
      <c r="F165" s="2"/>
      <c r="G165" s="2"/>
      <c r="H165" s="2"/>
      <c r="I165" s="2"/>
      <c r="J165" s="2"/>
      <c r="K165" s="2"/>
      <c r="L165" s="2"/>
      <c r="M165" s="27"/>
      <c r="N165" s="26"/>
      <c r="O165" s="2"/>
      <c r="P165" s="24"/>
    </row>
    <row r="166" spans="1:16" ht="9.75" customHeight="1">
      <c r="A166" s="18"/>
      <c r="B166" s="18" t="s">
        <v>99</v>
      </c>
      <c r="C166" s="18"/>
      <c r="D166" s="26"/>
      <c r="E166" s="2"/>
      <c r="F166" s="2"/>
      <c r="G166" s="2"/>
      <c r="H166" s="2"/>
      <c r="I166" s="2"/>
      <c r="J166" s="2"/>
      <c r="K166" s="2"/>
      <c r="L166" s="2"/>
      <c r="M166" s="27"/>
      <c r="N166" s="26"/>
      <c r="O166" s="2"/>
      <c r="P166" s="24"/>
    </row>
    <row r="167" spans="1:16" ht="9.75" customHeight="1">
      <c r="A167" s="18"/>
      <c r="B167" s="18" t="s">
        <v>32</v>
      </c>
      <c r="C167" s="18"/>
      <c r="D167" s="26"/>
      <c r="E167" s="2"/>
      <c r="F167" s="2"/>
      <c r="G167" s="2"/>
      <c r="H167" s="2"/>
      <c r="I167" s="2"/>
      <c r="J167" s="2"/>
      <c r="K167" s="2"/>
      <c r="L167" s="2"/>
      <c r="M167" s="27"/>
      <c r="N167" s="26"/>
      <c r="O167" s="2"/>
      <c r="P167" s="24"/>
    </row>
    <row r="168" spans="1:16" ht="9.75" customHeight="1">
      <c r="A168" s="18"/>
      <c r="B168" s="18" t="s">
        <v>103</v>
      </c>
      <c r="C168" s="18">
        <v>20</v>
      </c>
      <c r="D168" s="26">
        <v>16</v>
      </c>
      <c r="E168" s="2">
        <v>17</v>
      </c>
      <c r="F168" s="2">
        <f>20-7</f>
        <v>13</v>
      </c>
      <c r="G168" s="2">
        <f>20-6</f>
        <v>14</v>
      </c>
      <c r="H168" s="2">
        <v>14</v>
      </c>
      <c r="I168" s="52">
        <v>15</v>
      </c>
      <c r="J168" s="52">
        <f>C168-7</f>
        <v>13</v>
      </c>
      <c r="K168" s="52">
        <f>C168-8</f>
        <v>12</v>
      </c>
      <c r="L168" s="52">
        <f>C168-7</f>
        <v>13</v>
      </c>
      <c r="M168" s="87">
        <f>C168-7</f>
        <v>13</v>
      </c>
      <c r="N168" s="26">
        <f>MIN(D168:M168)</f>
        <v>12</v>
      </c>
      <c r="O168" s="2">
        <f>C168-N168</f>
        <v>8</v>
      </c>
      <c r="P168" s="24">
        <f>O168/C168</f>
        <v>0.4</v>
      </c>
    </row>
    <row r="169" spans="1:16" ht="9.75" customHeight="1">
      <c r="A169" s="18"/>
      <c r="B169" s="18" t="s">
        <v>104</v>
      </c>
      <c r="C169" s="18"/>
      <c r="D169" s="26"/>
      <c r="E169" s="2"/>
      <c r="F169" s="2"/>
      <c r="G169" s="2"/>
      <c r="H169" s="2"/>
      <c r="I169" s="111"/>
      <c r="J169" s="111"/>
      <c r="K169" s="111"/>
      <c r="L169" s="111"/>
      <c r="M169" s="112"/>
      <c r="N169" s="26"/>
      <c r="O169" s="2"/>
      <c r="P169" s="24"/>
    </row>
    <row r="170" spans="1:16" ht="9.75" customHeight="1">
      <c r="A170" s="18"/>
      <c r="B170" s="18" t="s">
        <v>104</v>
      </c>
      <c r="C170" s="18"/>
      <c r="D170" s="26"/>
      <c r="E170" s="2"/>
      <c r="F170" s="2"/>
      <c r="G170" s="2"/>
      <c r="H170" s="2"/>
      <c r="I170" s="111"/>
      <c r="J170" s="111"/>
      <c r="K170" s="111"/>
      <c r="L170" s="111"/>
      <c r="M170" s="112"/>
      <c r="N170" s="26"/>
      <c r="O170" s="2"/>
      <c r="P170" s="24"/>
    </row>
    <row r="171" spans="1:16" ht="9.75" customHeight="1">
      <c r="A171" s="18"/>
      <c r="B171" s="18" t="s">
        <v>104</v>
      </c>
      <c r="C171" s="18"/>
      <c r="D171" s="26"/>
      <c r="E171" s="2"/>
      <c r="F171" s="2"/>
      <c r="G171" s="2"/>
      <c r="H171" s="2"/>
      <c r="I171" s="111"/>
      <c r="J171" s="111"/>
      <c r="K171" s="111"/>
      <c r="L171" s="111"/>
      <c r="M171" s="112"/>
      <c r="N171" s="26"/>
      <c r="O171" s="2"/>
      <c r="P171" s="24"/>
    </row>
    <row r="172" spans="1:16" ht="9.75" customHeight="1">
      <c r="A172" s="18"/>
      <c r="B172" s="18" t="s">
        <v>104</v>
      </c>
      <c r="C172" s="18"/>
      <c r="D172" s="26"/>
      <c r="E172" s="2"/>
      <c r="F172" s="2"/>
      <c r="G172" s="2"/>
      <c r="H172" s="2"/>
      <c r="I172" s="111"/>
      <c r="J172" s="111"/>
      <c r="K172" s="111"/>
      <c r="L172" s="111"/>
      <c r="M172" s="112"/>
      <c r="N172" s="26"/>
      <c r="O172" s="2"/>
      <c r="P172" s="24"/>
    </row>
    <row r="173" spans="1:16" ht="9.75" customHeight="1">
      <c r="A173" s="18"/>
      <c r="B173" s="18" t="s">
        <v>104</v>
      </c>
      <c r="C173" s="18"/>
      <c r="D173" s="26"/>
      <c r="E173" s="2"/>
      <c r="F173" s="2"/>
      <c r="G173" s="2"/>
      <c r="H173" s="2"/>
      <c r="I173" s="111"/>
      <c r="J173" s="111"/>
      <c r="K173" s="111"/>
      <c r="L173" s="111"/>
      <c r="M173" s="112"/>
      <c r="N173" s="26"/>
      <c r="O173" s="2"/>
      <c r="P173" s="24"/>
    </row>
    <row r="174" spans="1:16" ht="9.75" customHeight="1">
      <c r="A174" s="18"/>
      <c r="B174" s="18" t="s">
        <v>34</v>
      </c>
      <c r="C174" s="18">
        <v>1</v>
      </c>
      <c r="D174" s="115">
        <v>1</v>
      </c>
      <c r="E174" s="116">
        <v>1</v>
      </c>
      <c r="F174" s="116">
        <v>1</v>
      </c>
      <c r="G174" s="116">
        <v>1</v>
      </c>
      <c r="H174" s="116">
        <v>1</v>
      </c>
      <c r="I174" s="2">
        <v>1</v>
      </c>
      <c r="J174" s="2">
        <v>1</v>
      </c>
      <c r="K174" s="2">
        <v>1</v>
      </c>
      <c r="L174" s="2">
        <v>1</v>
      </c>
      <c r="M174" s="87">
        <v>1</v>
      </c>
      <c r="N174" s="26">
        <f>MIN(D174:M174)</f>
        <v>1</v>
      </c>
      <c r="O174" s="2">
        <f>C174-N174</f>
        <v>0</v>
      </c>
      <c r="P174" s="24">
        <f>O174/C174</f>
        <v>0</v>
      </c>
    </row>
    <row r="175" spans="1:16" ht="9.75" customHeight="1">
      <c r="A175" s="18"/>
      <c r="B175" s="18" t="s">
        <v>35</v>
      </c>
      <c r="C175" s="18"/>
      <c r="D175" s="26"/>
      <c r="E175" s="2"/>
      <c r="F175" s="2"/>
      <c r="G175" s="2"/>
      <c r="H175" s="2"/>
      <c r="I175" s="2"/>
      <c r="J175" s="2"/>
      <c r="K175" s="2"/>
      <c r="L175" s="2"/>
      <c r="M175" s="27"/>
      <c r="N175" s="26"/>
      <c r="O175" s="2"/>
      <c r="P175" s="24"/>
    </row>
    <row r="176" spans="1:16" ht="9.75" customHeight="1">
      <c r="A176" s="18"/>
      <c r="B176" s="18" t="s">
        <v>36</v>
      </c>
      <c r="C176" s="18"/>
      <c r="D176" s="26"/>
      <c r="E176" s="2"/>
      <c r="F176" s="2"/>
      <c r="G176" s="2"/>
      <c r="H176" s="2"/>
      <c r="I176" s="2"/>
      <c r="J176" s="2"/>
      <c r="K176" s="2"/>
      <c r="L176" s="2"/>
      <c r="M176" s="27"/>
      <c r="N176" s="26"/>
      <c r="O176" s="2"/>
      <c r="P176" s="24"/>
    </row>
    <row r="177" spans="1:16" ht="9.75" customHeight="1">
      <c r="A177" s="18"/>
      <c r="B177" s="18" t="s">
        <v>37</v>
      </c>
      <c r="C177" s="18"/>
      <c r="D177" s="26"/>
      <c r="E177" s="2"/>
      <c r="F177" s="2"/>
      <c r="G177" s="2"/>
      <c r="H177" s="2"/>
      <c r="I177" s="2"/>
      <c r="J177" s="2"/>
      <c r="K177" s="2"/>
      <c r="L177" s="2"/>
      <c r="M177" s="27"/>
      <c r="N177" s="26"/>
      <c r="O177" s="2"/>
      <c r="P177" s="24"/>
    </row>
    <row r="178" spans="1:16" ht="9.75" customHeight="1">
      <c r="A178" s="32"/>
      <c r="B178" s="33" t="s">
        <v>38</v>
      </c>
      <c r="C178" s="33">
        <f t="shared" ref="C178:M178" si="26">SUM(C162:C177)</f>
        <v>21</v>
      </c>
      <c r="D178" s="70">
        <f t="shared" si="26"/>
        <v>17</v>
      </c>
      <c r="E178" s="71">
        <f t="shared" si="26"/>
        <v>18</v>
      </c>
      <c r="F178" s="71">
        <f t="shared" si="26"/>
        <v>14</v>
      </c>
      <c r="G178" s="71">
        <f t="shared" si="26"/>
        <v>15</v>
      </c>
      <c r="H178" s="71">
        <f t="shared" si="26"/>
        <v>15</v>
      </c>
      <c r="I178" s="71">
        <f t="shared" si="26"/>
        <v>16</v>
      </c>
      <c r="J178" s="71">
        <f t="shared" si="26"/>
        <v>14</v>
      </c>
      <c r="K178" s="71">
        <f t="shared" si="26"/>
        <v>13</v>
      </c>
      <c r="L178" s="71">
        <f t="shared" si="26"/>
        <v>14</v>
      </c>
      <c r="M178" s="93">
        <f t="shared" si="26"/>
        <v>14</v>
      </c>
      <c r="N178" s="70">
        <f>MIN(D178:M178)</f>
        <v>13</v>
      </c>
      <c r="O178" s="71">
        <f>C178-N178</f>
        <v>8</v>
      </c>
      <c r="P178" s="40">
        <f>O178/C178</f>
        <v>0.38095238095238093</v>
      </c>
    </row>
    <row r="179" spans="1:16" ht="9.75" customHeight="1">
      <c r="A179" s="117" t="s">
        <v>122</v>
      </c>
      <c r="B179" s="66" t="s">
        <v>23</v>
      </c>
      <c r="C179" s="66"/>
      <c r="D179" s="41"/>
      <c r="E179" s="72"/>
      <c r="F179" s="72"/>
      <c r="G179" s="72"/>
      <c r="H179" s="72"/>
      <c r="I179" s="72"/>
      <c r="J179" s="72"/>
      <c r="K179" s="72"/>
      <c r="L179" s="72"/>
      <c r="M179" s="73"/>
      <c r="N179" s="41"/>
      <c r="O179" s="72"/>
      <c r="P179" s="99"/>
    </row>
    <row r="180" spans="1:16" ht="9.75" customHeight="1">
      <c r="A180" s="118" t="s">
        <v>123</v>
      </c>
      <c r="B180" s="18" t="s">
        <v>25</v>
      </c>
      <c r="C180" s="18">
        <v>16</v>
      </c>
      <c r="D180" s="26">
        <v>13</v>
      </c>
      <c r="E180" s="2">
        <v>13</v>
      </c>
      <c r="F180" s="2">
        <v>13</v>
      </c>
      <c r="G180" s="2">
        <v>13</v>
      </c>
      <c r="H180" s="2">
        <v>11</v>
      </c>
      <c r="I180" s="52">
        <v>12</v>
      </c>
      <c r="J180" s="52">
        <v>11</v>
      </c>
      <c r="K180" s="52">
        <v>12</v>
      </c>
      <c r="L180" s="52">
        <v>12</v>
      </c>
      <c r="M180" s="87">
        <v>14</v>
      </c>
      <c r="N180" s="26">
        <f>MIN(D180:M180)</f>
        <v>11</v>
      </c>
      <c r="O180" s="2">
        <f>C180-N180</f>
        <v>5</v>
      </c>
      <c r="P180" s="24">
        <f>O180/C180</f>
        <v>0.3125</v>
      </c>
    </row>
    <row r="181" spans="1:16" ht="9.75" customHeight="1">
      <c r="A181" s="118" t="s">
        <v>115</v>
      </c>
      <c r="B181" s="18" t="s">
        <v>27</v>
      </c>
      <c r="C181" s="18"/>
      <c r="D181" s="26"/>
      <c r="E181" s="2"/>
      <c r="F181" s="2"/>
      <c r="G181" s="2"/>
      <c r="H181" s="2"/>
      <c r="I181" s="111"/>
      <c r="J181" s="111"/>
      <c r="K181" s="111"/>
      <c r="L181" s="111"/>
      <c r="M181" s="112"/>
      <c r="N181" s="26"/>
      <c r="O181" s="2"/>
      <c r="P181" s="24"/>
    </row>
    <row r="182" spans="1:16" ht="9.75" customHeight="1">
      <c r="A182" s="18"/>
      <c r="B182" s="18" t="s">
        <v>99</v>
      </c>
      <c r="C182" s="18"/>
      <c r="D182" s="26"/>
      <c r="E182" s="2"/>
      <c r="F182" s="2"/>
      <c r="G182" s="2"/>
      <c r="H182" s="2"/>
      <c r="I182" s="111"/>
      <c r="J182" s="111"/>
      <c r="K182" s="111"/>
      <c r="L182" s="111"/>
      <c r="M182" s="112"/>
      <c r="N182" s="26"/>
      <c r="O182" s="2"/>
      <c r="P182" s="24"/>
    </row>
    <row r="183" spans="1:16" ht="9.75" customHeight="1">
      <c r="A183" s="18"/>
      <c r="B183" s="18" t="s">
        <v>99</v>
      </c>
      <c r="C183" s="18"/>
      <c r="D183" s="26"/>
      <c r="E183" s="2"/>
      <c r="F183" s="2"/>
      <c r="G183" s="2"/>
      <c r="H183" s="2"/>
      <c r="I183" s="111"/>
      <c r="J183" s="111"/>
      <c r="K183" s="111"/>
      <c r="L183" s="111"/>
      <c r="M183" s="112"/>
      <c r="N183" s="26"/>
      <c r="O183" s="2"/>
      <c r="P183" s="24"/>
    </row>
    <row r="184" spans="1:16" ht="9.75" customHeight="1">
      <c r="A184" s="18"/>
      <c r="B184" s="18" t="s">
        <v>32</v>
      </c>
      <c r="C184" s="18"/>
      <c r="D184" s="26"/>
      <c r="E184" s="2"/>
      <c r="F184" s="2"/>
      <c r="G184" s="2"/>
      <c r="H184" s="2"/>
      <c r="I184" s="111"/>
      <c r="J184" s="111"/>
      <c r="K184" s="111"/>
      <c r="L184" s="111"/>
      <c r="M184" s="112"/>
      <c r="N184" s="26"/>
      <c r="O184" s="2"/>
      <c r="P184" s="24"/>
    </row>
    <row r="185" spans="1:16" ht="9.75" customHeight="1">
      <c r="A185" s="18"/>
      <c r="B185" s="18" t="s">
        <v>124</v>
      </c>
      <c r="C185" s="18">
        <v>4</v>
      </c>
      <c r="D185" s="26">
        <v>4</v>
      </c>
      <c r="E185" s="2">
        <v>3</v>
      </c>
      <c r="F185" s="2">
        <v>3</v>
      </c>
      <c r="G185" s="2">
        <v>3</v>
      </c>
      <c r="H185" s="2">
        <v>3</v>
      </c>
      <c r="I185" s="52">
        <v>0</v>
      </c>
      <c r="J185" s="52">
        <v>2</v>
      </c>
      <c r="K185" s="52">
        <v>1</v>
      </c>
      <c r="L185" s="52">
        <v>1</v>
      </c>
      <c r="M185" s="87">
        <v>1</v>
      </c>
      <c r="N185" s="26">
        <f>MIN(D185:M185)</f>
        <v>0</v>
      </c>
      <c r="O185" s="2">
        <f>C185-N185</f>
        <v>4</v>
      </c>
      <c r="P185" s="24">
        <f>O185/C185</f>
        <v>1</v>
      </c>
    </row>
    <row r="186" spans="1:16" ht="9.75" customHeight="1">
      <c r="A186" s="18"/>
      <c r="B186" s="18" t="s">
        <v>104</v>
      </c>
      <c r="C186" s="18"/>
      <c r="D186" s="26"/>
      <c r="E186" s="2"/>
      <c r="F186" s="2"/>
      <c r="G186" s="2"/>
      <c r="H186" s="2"/>
      <c r="I186" s="111"/>
      <c r="J186" s="111"/>
      <c r="K186" s="111"/>
      <c r="L186" s="111"/>
      <c r="M186" s="112"/>
      <c r="N186" s="26"/>
      <c r="O186" s="2"/>
      <c r="P186" s="24"/>
    </row>
    <row r="187" spans="1:16" ht="9.75" customHeight="1">
      <c r="A187" s="18"/>
      <c r="B187" s="18" t="s">
        <v>104</v>
      </c>
      <c r="C187" s="18"/>
      <c r="D187" s="26"/>
      <c r="E187" s="2"/>
      <c r="F187" s="2"/>
      <c r="G187" s="2"/>
      <c r="H187" s="2"/>
      <c r="I187" s="111"/>
      <c r="J187" s="111"/>
      <c r="K187" s="111"/>
      <c r="L187" s="111"/>
      <c r="M187" s="112"/>
      <c r="N187" s="26"/>
      <c r="O187" s="2"/>
      <c r="P187" s="24"/>
    </row>
    <row r="188" spans="1:16" ht="9.75" customHeight="1">
      <c r="A188" s="18"/>
      <c r="B188" s="18" t="s">
        <v>104</v>
      </c>
      <c r="C188" s="18"/>
      <c r="D188" s="26"/>
      <c r="E188" s="2"/>
      <c r="F188" s="2"/>
      <c r="G188" s="2"/>
      <c r="H188" s="2"/>
      <c r="I188" s="111"/>
      <c r="J188" s="111"/>
      <c r="K188" s="111"/>
      <c r="L188" s="111"/>
      <c r="M188" s="112"/>
      <c r="N188" s="26"/>
      <c r="O188" s="2"/>
      <c r="P188" s="24"/>
    </row>
    <row r="189" spans="1:16" ht="9.75" customHeight="1">
      <c r="A189" s="18"/>
      <c r="B189" s="18" t="s">
        <v>104</v>
      </c>
      <c r="C189" s="18"/>
      <c r="D189" s="26"/>
      <c r="E189" s="2"/>
      <c r="F189" s="2"/>
      <c r="G189" s="2"/>
      <c r="H189" s="2"/>
      <c r="I189" s="111"/>
      <c r="J189" s="111"/>
      <c r="K189" s="111"/>
      <c r="L189" s="111"/>
      <c r="M189" s="112"/>
      <c r="N189" s="26"/>
      <c r="O189" s="2"/>
      <c r="P189" s="24"/>
    </row>
    <row r="190" spans="1:16" ht="9.75" customHeight="1">
      <c r="A190" s="18"/>
      <c r="B190" s="18" t="s">
        <v>104</v>
      </c>
      <c r="C190" s="18"/>
      <c r="D190" s="26"/>
      <c r="E190" s="2"/>
      <c r="F190" s="2"/>
      <c r="G190" s="2"/>
      <c r="H190" s="2"/>
      <c r="I190" s="111"/>
      <c r="J190" s="111"/>
      <c r="K190" s="111"/>
      <c r="L190" s="111"/>
      <c r="M190" s="112"/>
      <c r="N190" s="26"/>
      <c r="O190" s="2"/>
      <c r="P190" s="24"/>
    </row>
    <row r="191" spans="1:16" ht="9.75" customHeight="1">
      <c r="A191" s="18"/>
      <c r="B191" s="18" t="s">
        <v>34</v>
      </c>
      <c r="C191" s="18">
        <v>2</v>
      </c>
      <c r="D191" s="26">
        <v>2</v>
      </c>
      <c r="E191" s="2">
        <v>2</v>
      </c>
      <c r="F191" s="2">
        <v>2</v>
      </c>
      <c r="G191" s="2">
        <v>2</v>
      </c>
      <c r="H191" s="2">
        <v>2</v>
      </c>
      <c r="I191" s="52">
        <v>2</v>
      </c>
      <c r="J191" s="52">
        <v>2</v>
      </c>
      <c r="K191" s="52">
        <v>2</v>
      </c>
      <c r="L191" s="52">
        <v>2</v>
      </c>
      <c r="M191" s="87">
        <v>1</v>
      </c>
      <c r="N191" s="26">
        <f>MIN(D191:M191)</f>
        <v>1</v>
      </c>
      <c r="O191" s="2">
        <f>C191-N191</f>
        <v>1</v>
      </c>
      <c r="P191" s="24">
        <f>O191/C191</f>
        <v>0.5</v>
      </c>
    </row>
    <row r="192" spans="1:16" ht="9.75" customHeight="1">
      <c r="A192" s="18"/>
      <c r="B192" s="18" t="s">
        <v>35</v>
      </c>
      <c r="C192" s="18"/>
      <c r="D192" s="26"/>
      <c r="E192" s="2"/>
      <c r="F192" s="2"/>
      <c r="G192" s="2"/>
      <c r="H192" s="2"/>
      <c r="I192" s="111"/>
      <c r="J192" s="111"/>
      <c r="K192" s="111"/>
      <c r="L192" s="111"/>
      <c r="M192" s="112"/>
      <c r="N192" s="26"/>
      <c r="O192" s="2"/>
      <c r="P192" s="24"/>
    </row>
    <row r="193" spans="1:16" ht="9.75" customHeight="1">
      <c r="A193" s="18"/>
      <c r="B193" s="18" t="s">
        <v>36</v>
      </c>
      <c r="C193" s="18"/>
      <c r="D193" s="26"/>
      <c r="E193" s="2"/>
      <c r="F193" s="2"/>
      <c r="G193" s="2"/>
      <c r="H193" s="2"/>
      <c r="I193" s="111"/>
      <c r="J193" s="111"/>
      <c r="K193" s="111"/>
      <c r="L193" s="111"/>
      <c r="M193" s="112"/>
      <c r="N193" s="26"/>
      <c r="O193" s="2"/>
      <c r="P193" s="24"/>
    </row>
    <row r="194" spans="1:16" ht="9.75" customHeight="1">
      <c r="A194" s="18"/>
      <c r="B194" s="18" t="s">
        <v>37</v>
      </c>
      <c r="C194" s="18">
        <v>1</v>
      </c>
      <c r="D194" s="26">
        <v>1</v>
      </c>
      <c r="E194" s="2">
        <v>1</v>
      </c>
      <c r="F194" s="2">
        <v>1</v>
      </c>
      <c r="G194" s="2">
        <v>1</v>
      </c>
      <c r="H194" s="2">
        <v>1</v>
      </c>
      <c r="I194" s="113">
        <v>1</v>
      </c>
      <c r="J194" s="113">
        <v>1</v>
      </c>
      <c r="K194" s="113">
        <v>1</v>
      </c>
      <c r="L194" s="113">
        <v>1</v>
      </c>
      <c r="M194" s="114">
        <v>1</v>
      </c>
      <c r="N194" s="26">
        <f t="shared" ref="N194:N195" si="27">MIN(D194:M194)</f>
        <v>1</v>
      </c>
      <c r="O194" s="2">
        <f t="shared" ref="O194:O195" si="28">C194-N194</f>
        <v>0</v>
      </c>
      <c r="P194" s="24">
        <f t="shared" ref="P194:P195" si="29">O194/C194</f>
        <v>0</v>
      </c>
    </row>
    <row r="195" spans="1:16" ht="9.75" customHeight="1">
      <c r="A195" s="32"/>
      <c r="B195" s="33" t="s">
        <v>38</v>
      </c>
      <c r="C195" s="33">
        <f t="shared" ref="C195:M195" si="30">SUM(C179:C194)</f>
        <v>23</v>
      </c>
      <c r="D195" s="70">
        <f t="shared" si="30"/>
        <v>20</v>
      </c>
      <c r="E195" s="71">
        <f t="shared" si="30"/>
        <v>19</v>
      </c>
      <c r="F195" s="71">
        <f t="shared" si="30"/>
        <v>19</v>
      </c>
      <c r="G195" s="71">
        <f t="shared" si="30"/>
        <v>19</v>
      </c>
      <c r="H195" s="71">
        <f t="shared" si="30"/>
        <v>17</v>
      </c>
      <c r="I195" s="71">
        <f t="shared" si="30"/>
        <v>15</v>
      </c>
      <c r="J195" s="71">
        <f t="shared" si="30"/>
        <v>16</v>
      </c>
      <c r="K195" s="71">
        <f t="shared" si="30"/>
        <v>16</v>
      </c>
      <c r="L195" s="71">
        <f t="shared" si="30"/>
        <v>16</v>
      </c>
      <c r="M195" s="93">
        <f t="shared" si="30"/>
        <v>17</v>
      </c>
      <c r="N195" s="70">
        <f t="shared" si="27"/>
        <v>15</v>
      </c>
      <c r="O195" s="71">
        <f t="shared" si="28"/>
        <v>8</v>
      </c>
      <c r="P195" s="40">
        <f t="shared" si="29"/>
        <v>0.34782608695652173</v>
      </c>
    </row>
    <row r="196" spans="1:16" ht="9.75" customHeight="1">
      <c r="A196" s="66" t="s">
        <v>125</v>
      </c>
      <c r="B196" s="66" t="s">
        <v>23</v>
      </c>
      <c r="C196" s="66"/>
      <c r="D196" s="41"/>
      <c r="E196" s="72"/>
      <c r="F196" s="72"/>
      <c r="G196" s="72"/>
      <c r="H196" s="72"/>
      <c r="I196" s="72"/>
      <c r="J196" s="72"/>
      <c r="K196" s="72"/>
      <c r="L196" s="72"/>
      <c r="M196" s="73"/>
      <c r="N196" s="41"/>
      <c r="O196" s="72"/>
      <c r="P196" s="99"/>
    </row>
    <row r="197" spans="1:16" ht="9.75" customHeight="1">
      <c r="A197" s="18"/>
      <c r="B197" s="18" t="s">
        <v>25</v>
      </c>
      <c r="C197" s="18">
        <v>12</v>
      </c>
      <c r="D197" s="115">
        <v>7</v>
      </c>
      <c r="E197" s="116">
        <v>7</v>
      </c>
      <c r="F197" s="116">
        <v>7</v>
      </c>
      <c r="G197" s="116">
        <v>7</v>
      </c>
      <c r="H197" s="116">
        <v>7</v>
      </c>
      <c r="I197" s="52">
        <v>3</v>
      </c>
      <c r="J197" s="52">
        <v>5</v>
      </c>
      <c r="K197" s="52">
        <v>3</v>
      </c>
      <c r="L197" s="52">
        <v>4</v>
      </c>
      <c r="M197" s="87">
        <v>6</v>
      </c>
      <c r="N197" s="26">
        <f>MIN(D197:M197)</f>
        <v>3</v>
      </c>
      <c r="O197" s="2">
        <f>C197-N197</f>
        <v>9</v>
      </c>
      <c r="P197" s="24">
        <f>O197/C197</f>
        <v>0.75</v>
      </c>
    </row>
    <row r="198" spans="1:16" ht="9.75" customHeight="1">
      <c r="A198" s="18"/>
      <c r="B198" s="18" t="s">
        <v>27</v>
      </c>
      <c r="C198" s="18"/>
      <c r="D198" s="115"/>
      <c r="E198" s="2"/>
      <c r="F198" s="2"/>
      <c r="G198" s="2"/>
      <c r="H198" s="2"/>
      <c r="I198" s="111"/>
      <c r="J198" s="111"/>
      <c r="K198" s="111"/>
      <c r="L198" s="111"/>
      <c r="M198" s="112"/>
      <c r="N198" s="26"/>
      <c r="O198" s="2"/>
      <c r="P198" s="24"/>
    </row>
    <row r="199" spans="1:16" ht="9.75" customHeight="1">
      <c r="A199" s="18"/>
      <c r="B199" s="18" t="s">
        <v>99</v>
      </c>
      <c r="C199" s="18"/>
      <c r="D199" s="115"/>
      <c r="E199" s="2"/>
      <c r="F199" s="2"/>
      <c r="G199" s="2"/>
      <c r="H199" s="2"/>
      <c r="I199" s="111"/>
      <c r="J199" s="111"/>
      <c r="K199" s="111"/>
      <c r="L199" s="111"/>
      <c r="M199" s="112"/>
      <c r="N199" s="26"/>
      <c r="O199" s="2"/>
      <c r="P199" s="24"/>
    </row>
    <row r="200" spans="1:16" ht="9.75" customHeight="1">
      <c r="A200" s="18"/>
      <c r="B200" s="18" t="s">
        <v>99</v>
      </c>
      <c r="C200" s="18"/>
      <c r="D200" s="26"/>
      <c r="E200" s="2"/>
      <c r="F200" s="2"/>
      <c r="G200" s="2"/>
      <c r="H200" s="2"/>
      <c r="I200" s="111"/>
      <c r="J200" s="111"/>
      <c r="K200" s="111"/>
      <c r="L200" s="111"/>
      <c r="M200" s="112"/>
      <c r="N200" s="26"/>
      <c r="O200" s="2"/>
      <c r="P200" s="24"/>
    </row>
    <row r="201" spans="1:16" ht="9.75" customHeight="1">
      <c r="A201" s="18"/>
      <c r="B201" s="18" t="s">
        <v>32</v>
      </c>
      <c r="C201" s="18"/>
      <c r="D201" s="26"/>
      <c r="E201" s="2"/>
      <c r="F201" s="2"/>
      <c r="G201" s="2"/>
      <c r="H201" s="2"/>
      <c r="I201" s="111"/>
      <c r="J201" s="111"/>
      <c r="K201" s="111"/>
      <c r="L201" s="111"/>
      <c r="M201" s="112"/>
      <c r="N201" s="26"/>
      <c r="O201" s="2"/>
      <c r="P201" s="24"/>
    </row>
    <row r="202" spans="1:16" ht="9.75" customHeight="1">
      <c r="A202" s="18"/>
      <c r="B202" s="18" t="s">
        <v>104</v>
      </c>
      <c r="C202" s="18"/>
      <c r="D202" s="26"/>
      <c r="E202" s="2"/>
      <c r="F202" s="2"/>
      <c r="G202" s="2"/>
      <c r="H202" s="2"/>
      <c r="I202" s="111"/>
      <c r="J202" s="111"/>
      <c r="K202" s="111"/>
      <c r="L202" s="111"/>
      <c r="M202" s="112"/>
      <c r="N202" s="26"/>
      <c r="O202" s="2"/>
      <c r="P202" s="24"/>
    </row>
    <row r="203" spans="1:16" ht="9.75" customHeight="1">
      <c r="A203" s="18"/>
      <c r="B203" s="18" t="s">
        <v>104</v>
      </c>
      <c r="C203" s="18"/>
      <c r="D203" s="26"/>
      <c r="E203" s="2"/>
      <c r="F203" s="2"/>
      <c r="G203" s="2"/>
      <c r="H203" s="2"/>
      <c r="I203" s="111"/>
      <c r="J203" s="111"/>
      <c r="K203" s="111"/>
      <c r="L203" s="111"/>
      <c r="M203" s="112"/>
      <c r="N203" s="26"/>
      <c r="O203" s="2"/>
      <c r="P203" s="24"/>
    </row>
    <row r="204" spans="1:16" ht="9.75" customHeight="1">
      <c r="A204" s="18"/>
      <c r="B204" s="18" t="s">
        <v>104</v>
      </c>
      <c r="C204" s="18"/>
      <c r="D204" s="26"/>
      <c r="E204" s="2"/>
      <c r="F204" s="2"/>
      <c r="G204" s="2"/>
      <c r="H204" s="2"/>
      <c r="I204" s="111"/>
      <c r="J204" s="111"/>
      <c r="K204" s="111"/>
      <c r="L204" s="111"/>
      <c r="M204" s="112"/>
      <c r="N204" s="26"/>
      <c r="O204" s="2"/>
      <c r="P204" s="24"/>
    </row>
    <row r="205" spans="1:16" ht="9.75" customHeight="1">
      <c r="A205" s="18"/>
      <c r="B205" s="18" t="s">
        <v>104</v>
      </c>
      <c r="C205" s="18"/>
      <c r="D205" s="26"/>
      <c r="E205" s="2"/>
      <c r="F205" s="2"/>
      <c r="G205" s="2"/>
      <c r="H205" s="2"/>
      <c r="I205" s="111"/>
      <c r="J205" s="111"/>
      <c r="K205" s="111"/>
      <c r="L205" s="111"/>
      <c r="M205" s="112"/>
      <c r="N205" s="26"/>
      <c r="O205" s="2"/>
      <c r="P205" s="24"/>
    </row>
    <row r="206" spans="1:16" ht="9.75" customHeight="1">
      <c r="A206" s="18"/>
      <c r="B206" s="18" t="s">
        <v>104</v>
      </c>
      <c r="C206" s="18"/>
      <c r="D206" s="26"/>
      <c r="E206" s="2"/>
      <c r="F206" s="2"/>
      <c r="G206" s="2"/>
      <c r="H206" s="2"/>
      <c r="I206" s="111"/>
      <c r="J206" s="111"/>
      <c r="K206" s="111"/>
      <c r="L206" s="111"/>
      <c r="M206" s="112"/>
      <c r="N206" s="26"/>
      <c r="O206" s="2"/>
      <c r="P206" s="24"/>
    </row>
    <row r="207" spans="1:16" ht="9.75" customHeight="1">
      <c r="A207" s="18"/>
      <c r="B207" s="18" t="s">
        <v>104</v>
      </c>
      <c r="C207" s="18"/>
      <c r="D207" s="26"/>
      <c r="E207" s="2"/>
      <c r="F207" s="2"/>
      <c r="G207" s="2"/>
      <c r="H207" s="2"/>
      <c r="I207" s="111"/>
      <c r="J207" s="111"/>
      <c r="K207" s="111"/>
      <c r="L207" s="111"/>
      <c r="M207" s="112"/>
      <c r="N207" s="26"/>
      <c r="O207" s="2"/>
      <c r="P207" s="24"/>
    </row>
    <row r="208" spans="1:16" ht="9.75" customHeight="1">
      <c r="A208" s="18"/>
      <c r="B208" s="18" t="s">
        <v>34</v>
      </c>
      <c r="C208" s="18">
        <v>1</v>
      </c>
      <c r="D208" s="115">
        <v>1</v>
      </c>
      <c r="E208" s="116">
        <v>0</v>
      </c>
      <c r="F208" s="116">
        <v>0</v>
      </c>
      <c r="G208" s="116">
        <v>0</v>
      </c>
      <c r="H208" s="116">
        <v>0</v>
      </c>
      <c r="I208" s="2">
        <v>0</v>
      </c>
      <c r="J208" s="2">
        <v>0</v>
      </c>
      <c r="K208" s="2">
        <v>1</v>
      </c>
      <c r="L208" s="2">
        <v>1</v>
      </c>
      <c r="M208" s="87">
        <v>1</v>
      </c>
      <c r="N208" s="26">
        <f>MIN(D208:M208)</f>
        <v>0</v>
      </c>
      <c r="O208" s="2">
        <f>C208-N208</f>
        <v>1</v>
      </c>
      <c r="P208" s="24">
        <f>O208/C208</f>
        <v>1</v>
      </c>
    </row>
    <row r="209" spans="1:16" ht="9.75" customHeight="1">
      <c r="A209" s="18"/>
      <c r="B209" s="18" t="s">
        <v>35</v>
      </c>
      <c r="C209" s="18"/>
      <c r="D209" s="26"/>
      <c r="E209" s="2"/>
      <c r="F209" s="2"/>
      <c r="G209" s="2"/>
      <c r="H209" s="2"/>
      <c r="I209" s="2"/>
      <c r="J209" s="2"/>
      <c r="K209" s="2"/>
      <c r="L209" s="2"/>
      <c r="M209" s="27"/>
      <c r="N209" s="26"/>
      <c r="O209" s="2"/>
      <c r="P209" s="24"/>
    </row>
    <row r="210" spans="1:16" ht="9.75" customHeight="1">
      <c r="A210" s="18"/>
      <c r="B210" s="18" t="s">
        <v>36</v>
      </c>
      <c r="C210" s="18"/>
      <c r="D210" s="26"/>
      <c r="E210" s="2"/>
      <c r="F210" s="2"/>
      <c r="G210" s="2"/>
      <c r="H210" s="2"/>
      <c r="I210" s="2"/>
      <c r="J210" s="2"/>
      <c r="K210" s="2"/>
      <c r="L210" s="2"/>
      <c r="M210" s="27"/>
      <c r="N210" s="26"/>
      <c r="O210" s="2"/>
      <c r="P210" s="24"/>
    </row>
    <row r="211" spans="1:16" ht="9.75" customHeight="1">
      <c r="A211" s="18"/>
      <c r="B211" s="18" t="s">
        <v>37</v>
      </c>
      <c r="C211" s="18"/>
      <c r="D211" s="26"/>
      <c r="E211" s="2"/>
      <c r="F211" s="2"/>
      <c r="G211" s="2"/>
      <c r="H211" s="2"/>
      <c r="I211" s="2"/>
      <c r="J211" s="2"/>
      <c r="K211" s="2"/>
      <c r="L211" s="2"/>
      <c r="M211" s="27"/>
      <c r="N211" s="26"/>
      <c r="O211" s="2"/>
      <c r="P211" s="24"/>
    </row>
    <row r="212" spans="1:16" ht="9.75" customHeight="1">
      <c r="A212" s="32"/>
      <c r="B212" s="33" t="s">
        <v>38</v>
      </c>
      <c r="C212" s="33">
        <f t="shared" ref="C212:M212" si="31">SUM(C196:C211)</f>
        <v>13</v>
      </c>
      <c r="D212" s="70">
        <f t="shared" si="31"/>
        <v>8</v>
      </c>
      <c r="E212" s="71">
        <f t="shared" si="31"/>
        <v>7</v>
      </c>
      <c r="F212" s="71">
        <f t="shared" si="31"/>
        <v>7</v>
      </c>
      <c r="G212" s="71">
        <f t="shared" si="31"/>
        <v>7</v>
      </c>
      <c r="H212" s="71">
        <f t="shared" si="31"/>
        <v>7</v>
      </c>
      <c r="I212" s="71">
        <f t="shared" si="31"/>
        <v>3</v>
      </c>
      <c r="J212" s="71">
        <f t="shared" si="31"/>
        <v>5</v>
      </c>
      <c r="K212" s="71">
        <f t="shared" si="31"/>
        <v>4</v>
      </c>
      <c r="L212" s="71">
        <f t="shared" si="31"/>
        <v>5</v>
      </c>
      <c r="M212" s="93">
        <f t="shared" si="31"/>
        <v>7</v>
      </c>
      <c r="N212" s="70">
        <f>MIN(D212:M212)</f>
        <v>3</v>
      </c>
      <c r="O212" s="71">
        <f>C212-N212</f>
        <v>10</v>
      </c>
      <c r="P212" s="40">
        <f>O212/C212</f>
        <v>0.76923076923076927</v>
      </c>
    </row>
    <row r="213" spans="1:16" ht="9.75" customHeight="1">
      <c r="A213" s="66" t="s">
        <v>126</v>
      </c>
      <c r="B213" s="66" t="s">
        <v>23</v>
      </c>
      <c r="C213" s="66"/>
      <c r="D213" s="41"/>
      <c r="E213" s="72"/>
      <c r="F213" s="72"/>
      <c r="G213" s="72"/>
      <c r="H213" s="72"/>
      <c r="I213" s="72"/>
      <c r="J213" s="72"/>
      <c r="K213" s="72"/>
      <c r="L213" s="72"/>
      <c r="M213" s="73"/>
      <c r="N213" s="41"/>
      <c r="O213" s="72"/>
      <c r="P213" s="99"/>
    </row>
    <row r="214" spans="1:16" ht="9.75" customHeight="1">
      <c r="A214" s="18"/>
      <c r="B214" s="18" t="s">
        <v>25</v>
      </c>
      <c r="C214" s="18">
        <v>12</v>
      </c>
      <c r="D214" s="115">
        <v>11</v>
      </c>
      <c r="E214" s="116">
        <v>11</v>
      </c>
      <c r="F214" s="116">
        <v>10</v>
      </c>
      <c r="G214" s="116">
        <v>9</v>
      </c>
      <c r="H214" s="116">
        <v>8</v>
      </c>
      <c r="I214" s="52">
        <v>10</v>
      </c>
      <c r="J214" s="52">
        <v>10</v>
      </c>
      <c r="K214" s="52">
        <v>11</v>
      </c>
      <c r="L214" s="52">
        <v>11</v>
      </c>
      <c r="M214" s="87">
        <v>10</v>
      </c>
      <c r="N214" s="26">
        <f>MIN(D214:M214)</f>
        <v>8</v>
      </c>
      <c r="O214" s="2">
        <f>C214-N214</f>
        <v>4</v>
      </c>
      <c r="P214" s="24">
        <f>O214/C214</f>
        <v>0.33333333333333331</v>
      </c>
    </row>
    <row r="215" spans="1:16" ht="9.75" customHeight="1">
      <c r="A215" s="18"/>
      <c r="B215" s="18" t="s">
        <v>27</v>
      </c>
      <c r="C215" s="18"/>
      <c r="D215" s="26"/>
      <c r="E215" s="2"/>
      <c r="F215" s="2"/>
      <c r="G215" s="2"/>
      <c r="H215" s="2"/>
      <c r="I215" s="111"/>
      <c r="J215" s="111"/>
      <c r="K215" s="111"/>
      <c r="L215" s="111"/>
      <c r="M215" s="112"/>
      <c r="N215" s="26"/>
      <c r="O215" s="2"/>
      <c r="P215" s="24"/>
    </row>
    <row r="216" spans="1:16" ht="9.75" customHeight="1">
      <c r="A216" s="18"/>
      <c r="B216" s="18" t="s">
        <v>99</v>
      </c>
      <c r="C216" s="18"/>
      <c r="D216" s="26"/>
      <c r="E216" s="2"/>
      <c r="F216" s="2"/>
      <c r="G216" s="2"/>
      <c r="H216" s="2"/>
      <c r="I216" s="111"/>
      <c r="J216" s="111"/>
      <c r="K216" s="111"/>
      <c r="L216" s="111"/>
      <c r="M216" s="112"/>
      <c r="N216" s="26"/>
      <c r="O216" s="2"/>
      <c r="P216" s="24"/>
    </row>
    <row r="217" spans="1:16" ht="9.75" customHeight="1">
      <c r="A217" s="18"/>
      <c r="B217" s="18" t="s">
        <v>99</v>
      </c>
      <c r="C217" s="18"/>
      <c r="D217" s="26"/>
      <c r="E217" s="2"/>
      <c r="F217" s="2"/>
      <c r="G217" s="2"/>
      <c r="H217" s="2"/>
      <c r="I217" s="111"/>
      <c r="J217" s="111"/>
      <c r="K217" s="111"/>
      <c r="L217" s="111"/>
      <c r="M217" s="112"/>
      <c r="N217" s="26"/>
      <c r="O217" s="2"/>
      <c r="P217" s="24"/>
    </row>
    <row r="218" spans="1:16" ht="9.75" customHeight="1">
      <c r="A218" s="18"/>
      <c r="B218" s="18" t="s">
        <v>32</v>
      </c>
      <c r="C218" s="18"/>
      <c r="D218" s="26"/>
      <c r="E218" s="2"/>
      <c r="F218" s="2"/>
      <c r="G218" s="2"/>
      <c r="H218" s="2"/>
      <c r="I218" s="111"/>
      <c r="J218" s="111"/>
      <c r="K218" s="111"/>
      <c r="L218" s="111"/>
      <c r="M218" s="112"/>
      <c r="N218" s="26"/>
      <c r="O218" s="2"/>
      <c r="P218" s="24"/>
    </row>
    <row r="219" spans="1:16" ht="9.75" customHeight="1">
      <c r="A219" s="18"/>
      <c r="B219" s="18" t="s">
        <v>102</v>
      </c>
      <c r="C219" s="18">
        <v>2</v>
      </c>
      <c r="D219" s="115">
        <v>2</v>
      </c>
      <c r="E219" s="116">
        <v>2</v>
      </c>
      <c r="F219" s="116">
        <v>2</v>
      </c>
      <c r="G219" s="116">
        <v>2</v>
      </c>
      <c r="H219" s="116">
        <v>2</v>
      </c>
      <c r="I219" s="52">
        <v>2</v>
      </c>
      <c r="J219" s="52">
        <v>2</v>
      </c>
      <c r="K219" s="52">
        <v>2</v>
      </c>
      <c r="L219" s="52">
        <v>2</v>
      </c>
      <c r="M219" s="87">
        <v>2</v>
      </c>
      <c r="N219" s="26">
        <f>MIN(D219:M219)</f>
        <v>2</v>
      </c>
      <c r="O219" s="2">
        <f>C219-N219</f>
        <v>0</v>
      </c>
      <c r="P219" s="24">
        <f>O219/C219</f>
        <v>0</v>
      </c>
    </row>
    <row r="220" spans="1:16" ht="9.75" customHeight="1">
      <c r="A220" s="18"/>
      <c r="B220" s="18" t="s">
        <v>104</v>
      </c>
      <c r="C220" s="18"/>
      <c r="D220" s="26"/>
      <c r="E220" s="2"/>
      <c r="F220" s="2"/>
      <c r="G220" s="2"/>
      <c r="H220" s="2"/>
      <c r="I220" s="111"/>
      <c r="J220" s="111"/>
      <c r="K220" s="111"/>
      <c r="L220" s="111"/>
      <c r="M220" s="112"/>
      <c r="N220" s="26"/>
      <c r="O220" s="2"/>
      <c r="P220" s="24"/>
    </row>
    <row r="221" spans="1:16" ht="9.75" customHeight="1">
      <c r="A221" s="18"/>
      <c r="B221" s="18" t="s">
        <v>104</v>
      </c>
      <c r="C221" s="18"/>
      <c r="D221" s="26"/>
      <c r="E221" s="2"/>
      <c r="F221" s="2"/>
      <c r="G221" s="2"/>
      <c r="H221" s="2"/>
      <c r="I221" s="111"/>
      <c r="J221" s="111"/>
      <c r="K221" s="111"/>
      <c r="L221" s="111"/>
      <c r="M221" s="112"/>
      <c r="N221" s="26"/>
      <c r="O221" s="2"/>
      <c r="P221" s="24"/>
    </row>
    <row r="222" spans="1:16" ht="9.75" customHeight="1">
      <c r="A222" s="18"/>
      <c r="B222" s="18" t="s">
        <v>104</v>
      </c>
      <c r="C222" s="18"/>
      <c r="D222" s="26"/>
      <c r="E222" s="2"/>
      <c r="F222" s="2"/>
      <c r="G222" s="2"/>
      <c r="H222" s="2"/>
      <c r="I222" s="111"/>
      <c r="J222" s="111"/>
      <c r="K222" s="111"/>
      <c r="L222" s="111"/>
      <c r="M222" s="112"/>
      <c r="N222" s="26"/>
      <c r="O222" s="2"/>
      <c r="P222" s="24"/>
    </row>
    <row r="223" spans="1:16" ht="9.75" customHeight="1">
      <c r="A223" s="18"/>
      <c r="B223" s="18" t="s">
        <v>104</v>
      </c>
      <c r="C223" s="18"/>
      <c r="D223" s="26"/>
      <c r="E223" s="2"/>
      <c r="F223" s="2"/>
      <c r="G223" s="2"/>
      <c r="H223" s="2"/>
      <c r="I223" s="111"/>
      <c r="J223" s="111"/>
      <c r="K223" s="111"/>
      <c r="L223" s="111"/>
      <c r="M223" s="112"/>
      <c r="N223" s="26"/>
      <c r="O223" s="2"/>
      <c r="P223" s="24"/>
    </row>
    <row r="224" spans="1:16" ht="9.75" customHeight="1">
      <c r="A224" s="18"/>
      <c r="B224" s="18" t="s">
        <v>104</v>
      </c>
      <c r="C224" s="18"/>
      <c r="D224" s="26"/>
      <c r="E224" s="2"/>
      <c r="F224" s="2"/>
      <c r="G224" s="2"/>
      <c r="H224" s="2"/>
      <c r="I224" s="111"/>
      <c r="J224" s="111"/>
      <c r="K224" s="111"/>
      <c r="L224" s="111"/>
      <c r="M224" s="112"/>
      <c r="N224" s="26"/>
      <c r="O224" s="2"/>
      <c r="P224" s="24"/>
    </row>
    <row r="225" spans="1:16" ht="9.75" customHeight="1">
      <c r="A225" s="18"/>
      <c r="B225" s="18" t="s">
        <v>34</v>
      </c>
      <c r="C225" s="18">
        <v>1</v>
      </c>
      <c r="D225" s="115">
        <v>1</v>
      </c>
      <c r="E225" s="116">
        <v>1</v>
      </c>
      <c r="F225" s="116">
        <v>1</v>
      </c>
      <c r="G225" s="116">
        <v>1</v>
      </c>
      <c r="H225" s="116">
        <v>1</v>
      </c>
      <c r="I225" s="52">
        <v>1</v>
      </c>
      <c r="J225" s="52">
        <v>1</v>
      </c>
      <c r="K225" s="52">
        <v>1</v>
      </c>
      <c r="L225" s="52">
        <v>1</v>
      </c>
      <c r="M225" s="87">
        <v>1</v>
      </c>
      <c r="N225" s="26">
        <f>MIN(D225:M225)</f>
        <v>1</v>
      </c>
      <c r="O225" s="2">
        <f>C225-N225</f>
        <v>0</v>
      </c>
      <c r="P225" s="24">
        <f>O225/C225</f>
        <v>0</v>
      </c>
    </row>
    <row r="226" spans="1:16" ht="9.75" customHeight="1">
      <c r="A226" s="18"/>
      <c r="B226" s="18" t="s">
        <v>35</v>
      </c>
      <c r="C226" s="18"/>
      <c r="D226" s="26"/>
      <c r="E226" s="2"/>
      <c r="F226" s="2"/>
      <c r="G226" s="2"/>
      <c r="H226" s="2"/>
      <c r="I226" s="2"/>
      <c r="J226" s="2"/>
      <c r="K226" s="2"/>
      <c r="L226" s="2"/>
      <c r="M226" s="27"/>
      <c r="N226" s="26"/>
      <c r="O226" s="2"/>
      <c r="P226" s="24"/>
    </row>
    <row r="227" spans="1:16" ht="9.75" customHeight="1">
      <c r="A227" s="18"/>
      <c r="B227" s="18" t="s">
        <v>36</v>
      </c>
      <c r="C227" s="18"/>
      <c r="D227" s="26"/>
      <c r="E227" s="2"/>
      <c r="F227" s="2"/>
      <c r="G227" s="2"/>
      <c r="H227" s="2"/>
      <c r="I227" s="2"/>
      <c r="J227" s="2"/>
      <c r="K227" s="2"/>
      <c r="L227" s="2"/>
      <c r="M227" s="27"/>
      <c r="N227" s="26"/>
      <c r="O227" s="2"/>
      <c r="P227" s="24"/>
    </row>
    <row r="228" spans="1:16" ht="9.75" customHeight="1">
      <c r="A228" s="18"/>
      <c r="B228" s="18" t="s">
        <v>37</v>
      </c>
      <c r="C228" s="18"/>
      <c r="D228" s="26"/>
      <c r="E228" s="2"/>
      <c r="F228" s="2"/>
      <c r="G228" s="2"/>
      <c r="H228" s="2"/>
      <c r="I228" s="2"/>
      <c r="J228" s="2"/>
      <c r="K228" s="2"/>
      <c r="L228" s="2"/>
      <c r="M228" s="27"/>
      <c r="N228" s="26"/>
      <c r="O228" s="2"/>
      <c r="P228" s="24"/>
    </row>
    <row r="229" spans="1:16" ht="9.75" customHeight="1">
      <c r="A229" s="32"/>
      <c r="B229" s="33" t="s">
        <v>38</v>
      </c>
      <c r="C229" s="33">
        <f t="shared" ref="C229:M229" si="32">SUM(C213:C228)</f>
        <v>15</v>
      </c>
      <c r="D229" s="70">
        <f t="shared" si="32"/>
        <v>14</v>
      </c>
      <c r="E229" s="71">
        <f t="shared" si="32"/>
        <v>14</v>
      </c>
      <c r="F229" s="71">
        <f t="shared" si="32"/>
        <v>13</v>
      </c>
      <c r="G229" s="71">
        <f t="shared" si="32"/>
        <v>12</v>
      </c>
      <c r="H229" s="71">
        <f t="shared" si="32"/>
        <v>11</v>
      </c>
      <c r="I229" s="71">
        <f t="shared" si="32"/>
        <v>13</v>
      </c>
      <c r="J229" s="71">
        <f t="shared" si="32"/>
        <v>13</v>
      </c>
      <c r="K229" s="71">
        <f t="shared" si="32"/>
        <v>14</v>
      </c>
      <c r="L229" s="71">
        <f t="shared" si="32"/>
        <v>14</v>
      </c>
      <c r="M229" s="93">
        <f t="shared" si="32"/>
        <v>13</v>
      </c>
      <c r="N229" s="70">
        <f>MIN(D229:M229)</f>
        <v>11</v>
      </c>
      <c r="O229" s="71">
        <f>C229-N229</f>
        <v>4</v>
      </c>
      <c r="P229" s="40">
        <f>O229/C229</f>
        <v>0.26666666666666666</v>
      </c>
    </row>
    <row r="230" spans="1:16" ht="9.75" customHeight="1">
      <c r="A230" s="66" t="s">
        <v>127</v>
      </c>
      <c r="B230" s="66" t="s">
        <v>23</v>
      </c>
      <c r="C230" s="66"/>
      <c r="D230" s="41"/>
      <c r="E230" s="72"/>
      <c r="F230" s="72"/>
      <c r="G230" s="72"/>
      <c r="H230" s="72"/>
      <c r="I230" s="72"/>
      <c r="J230" s="72"/>
      <c r="K230" s="72"/>
      <c r="L230" s="72"/>
      <c r="M230" s="73"/>
      <c r="N230" s="41"/>
      <c r="O230" s="72"/>
      <c r="P230" s="99"/>
    </row>
    <row r="231" spans="1:16" ht="9.75" customHeight="1">
      <c r="A231" s="18"/>
      <c r="B231" s="18" t="s">
        <v>25</v>
      </c>
      <c r="C231" s="18">
        <v>69</v>
      </c>
      <c r="D231" s="115">
        <v>63</v>
      </c>
      <c r="E231" s="116">
        <v>62</v>
      </c>
      <c r="F231" s="116">
        <v>59</v>
      </c>
      <c r="G231" s="116">
        <v>61</v>
      </c>
      <c r="H231" s="116">
        <v>63</v>
      </c>
      <c r="I231" s="52">
        <f>C231-13</f>
        <v>56</v>
      </c>
      <c r="J231" s="52">
        <f>C231-12</f>
        <v>57</v>
      </c>
      <c r="K231" s="52">
        <v>57</v>
      </c>
      <c r="L231" s="52">
        <f>C231-11</f>
        <v>58</v>
      </c>
      <c r="M231" s="87">
        <f>C231-13</f>
        <v>56</v>
      </c>
      <c r="N231" s="26">
        <f t="shared" ref="N231:N233" si="33">MIN(D231:M231)</f>
        <v>56</v>
      </c>
      <c r="O231" s="2">
        <f t="shared" ref="O231:O233" si="34">C231-N231</f>
        <v>13</v>
      </c>
      <c r="P231" s="24">
        <f t="shared" ref="P231:P233" si="35">O231/C231</f>
        <v>0.18840579710144928</v>
      </c>
    </row>
    <row r="232" spans="1:16" ht="9.75" customHeight="1">
      <c r="A232" s="18"/>
      <c r="B232" s="18" t="s">
        <v>27</v>
      </c>
      <c r="C232" s="18">
        <v>26</v>
      </c>
      <c r="D232" s="115">
        <v>23</v>
      </c>
      <c r="E232" s="116">
        <v>23</v>
      </c>
      <c r="F232" s="116">
        <v>21</v>
      </c>
      <c r="G232" s="116">
        <v>20</v>
      </c>
      <c r="H232" s="116">
        <v>19</v>
      </c>
      <c r="I232" s="52">
        <v>22</v>
      </c>
      <c r="J232" s="52">
        <v>22</v>
      </c>
      <c r="K232" s="52">
        <v>20</v>
      </c>
      <c r="L232" s="52">
        <f>C232-8</f>
        <v>18</v>
      </c>
      <c r="M232" s="87">
        <v>18</v>
      </c>
      <c r="N232" s="26">
        <f t="shared" si="33"/>
        <v>18</v>
      </c>
      <c r="O232" s="2">
        <f t="shared" si="34"/>
        <v>8</v>
      </c>
      <c r="P232" s="24">
        <f t="shared" si="35"/>
        <v>0.30769230769230771</v>
      </c>
    </row>
    <row r="233" spans="1:16" ht="9.75" customHeight="1">
      <c r="A233" s="18"/>
      <c r="B233" s="18" t="s">
        <v>128</v>
      </c>
      <c r="C233" s="18">
        <v>4</v>
      </c>
      <c r="D233" s="115">
        <v>4</v>
      </c>
      <c r="E233" s="116">
        <v>4</v>
      </c>
      <c r="F233" s="116">
        <v>4</v>
      </c>
      <c r="G233" s="116">
        <v>4</v>
      </c>
      <c r="H233" s="116">
        <v>4</v>
      </c>
      <c r="I233" s="52">
        <v>4</v>
      </c>
      <c r="J233" s="52">
        <v>4</v>
      </c>
      <c r="K233" s="52">
        <v>4</v>
      </c>
      <c r="L233" s="52">
        <v>4</v>
      </c>
      <c r="M233" s="87">
        <v>4</v>
      </c>
      <c r="N233" s="26">
        <f t="shared" si="33"/>
        <v>4</v>
      </c>
      <c r="O233" s="2">
        <f t="shared" si="34"/>
        <v>0</v>
      </c>
      <c r="P233" s="24">
        <f t="shared" si="35"/>
        <v>0</v>
      </c>
    </row>
    <row r="234" spans="1:16" ht="9.75" customHeight="1">
      <c r="A234" s="18"/>
      <c r="B234" s="18" t="s">
        <v>99</v>
      </c>
      <c r="C234" s="18"/>
      <c r="D234" s="26"/>
      <c r="E234" s="2"/>
      <c r="F234" s="2"/>
      <c r="G234" s="2"/>
      <c r="H234" s="2"/>
      <c r="I234" s="111"/>
      <c r="J234" s="111"/>
      <c r="K234" s="111"/>
      <c r="L234" s="111"/>
      <c r="M234" s="112"/>
      <c r="N234" s="26"/>
      <c r="O234" s="2"/>
      <c r="P234" s="24"/>
    </row>
    <row r="235" spans="1:16" ht="9.75" customHeight="1">
      <c r="A235" s="18"/>
      <c r="B235" s="18" t="s">
        <v>32</v>
      </c>
      <c r="C235" s="18"/>
      <c r="D235" s="26"/>
      <c r="E235" s="2"/>
      <c r="F235" s="2"/>
      <c r="G235" s="2"/>
      <c r="H235" s="2"/>
      <c r="I235" s="111"/>
      <c r="J235" s="111"/>
      <c r="K235" s="111"/>
      <c r="L235" s="111"/>
      <c r="M235" s="112"/>
      <c r="N235" s="26"/>
      <c r="O235" s="2"/>
      <c r="P235" s="24"/>
    </row>
    <row r="236" spans="1:16" ht="9.75" customHeight="1">
      <c r="A236" s="18"/>
      <c r="B236" s="18" t="s">
        <v>102</v>
      </c>
      <c r="C236" s="18">
        <v>2</v>
      </c>
      <c r="D236" s="115">
        <v>2</v>
      </c>
      <c r="E236" s="116">
        <v>2</v>
      </c>
      <c r="F236" s="116">
        <v>2</v>
      </c>
      <c r="G236" s="116">
        <v>2</v>
      </c>
      <c r="H236" s="116">
        <v>2</v>
      </c>
      <c r="I236" s="52">
        <v>2</v>
      </c>
      <c r="J236" s="52">
        <v>2</v>
      </c>
      <c r="K236" s="52">
        <v>2</v>
      </c>
      <c r="L236" s="52">
        <v>2</v>
      </c>
      <c r="M236" s="87">
        <v>2</v>
      </c>
      <c r="N236" s="26">
        <f>MIN(D236:M236)</f>
        <v>2</v>
      </c>
      <c r="O236" s="2">
        <f>C236-N236</f>
        <v>0</v>
      </c>
      <c r="P236" s="24">
        <f>O236/C236</f>
        <v>0</v>
      </c>
    </row>
    <row r="237" spans="1:16" ht="9.75" customHeight="1">
      <c r="A237" s="18"/>
      <c r="B237" s="18" t="s">
        <v>104</v>
      </c>
      <c r="C237" s="18"/>
      <c r="D237" s="26"/>
      <c r="E237" s="2"/>
      <c r="F237" s="2"/>
      <c r="G237" s="2"/>
      <c r="H237" s="2"/>
      <c r="I237" s="111"/>
      <c r="J237" s="111"/>
      <c r="K237" s="111"/>
      <c r="L237" s="111"/>
      <c r="M237" s="112"/>
      <c r="N237" s="26"/>
      <c r="O237" s="2"/>
      <c r="P237" s="24"/>
    </row>
    <row r="238" spans="1:16" ht="9.75" customHeight="1">
      <c r="A238" s="18"/>
      <c r="B238" s="18" t="s">
        <v>104</v>
      </c>
      <c r="C238" s="18"/>
      <c r="D238" s="26"/>
      <c r="E238" s="2"/>
      <c r="F238" s="2"/>
      <c r="G238" s="2"/>
      <c r="H238" s="2"/>
      <c r="I238" s="111"/>
      <c r="J238" s="111"/>
      <c r="K238" s="111"/>
      <c r="L238" s="111"/>
      <c r="M238" s="112"/>
      <c r="N238" s="26"/>
      <c r="O238" s="2"/>
      <c r="P238" s="24"/>
    </row>
    <row r="239" spans="1:16" ht="9.75" customHeight="1">
      <c r="A239" s="18"/>
      <c r="B239" s="18" t="s">
        <v>104</v>
      </c>
      <c r="C239" s="18"/>
      <c r="D239" s="26"/>
      <c r="E239" s="2"/>
      <c r="F239" s="2"/>
      <c r="G239" s="2"/>
      <c r="H239" s="2"/>
      <c r="I239" s="111"/>
      <c r="J239" s="111"/>
      <c r="K239" s="111"/>
      <c r="L239" s="111"/>
      <c r="M239" s="112"/>
      <c r="N239" s="26"/>
      <c r="O239" s="2"/>
      <c r="P239" s="24"/>
    </row>
    <row r="240" spans="1:16" ht="9.75" customHeight="1">
      <c r="A240" s="18"/>
      <c r="B240" s="18" t="s">
        <v>104</v>
      </c>
      <c r="C240" s="18"/>
      <c r="D240" s="26"/>
      <c r="E240" s="2"/>
      <c r="F240" s="2"/>
      <c r="G240" s="2"/>
      <c r="H240" s="2"/>
      <c r="I240" s="111"/>
      <c r="J240" s="111"/>
      <c r="K240" s="111"/>
      <c r="L240" s="111"/>
      <c r="M240" s="112"/>
      <c r="N240" s="26"/>
      <c r="O240" s="2"/>
      <c r="P240" s="24"/>
    </row>
    <row r="241" spans="1:16" ht="9.75" customHeight="1">
      <c r="A241" s="18"/>
      <c r="B241" s="18" t="s">
        <v>104</v>
      </c>
      <c r="C241" s="18"/>
      <c r="D241" s="26"/>
      <c r="E241" s="2"/>
      <c r="F241" s="2"/>
      <c r="G241" s="2"/>
      <c r="H241" s="2"/>
      <c r="I241" s="111"/>
      <c r="J241" s="111"/>
      <c r="K241" s="111"/>
      <c r="L241" s="111"/>
      <c r="M241" s="112"/>
      <c r="N241" s="26"/>
      <c r="O241" s="2"/>
      <c r="P241" s="24"/>
    </row>
    <row r="242" spans="1:16" ht="9.75" customHeight="1">
      <c r="A242" s="18"/>
      <c r="B242" s="18" t="s">
        <v>34</v>
      </c>
      <c r="C242" s="18">
        <v>4</v>
      </c>
      <c r="D242" s="115">
        <v>4</v>
      </c>
      <c r="E242" s="116">
        <v>4</v>
      </c>
      <c r="F242" s="116">
        <v>4</v>
      </c>
      <c r="G242" s="116">
        <v>4</v>
      </c>
      <c r="H242" s="116">
        <v>4</v>
      </c>
      <c r="I242" s="52">
        <v>4</v>
      </c>
      <c r="J242" s="52">
        <v>4</v>
      </c>
      <c r="K242" s="52">
        <v>4</v>
      </c>
      <c r="L242" s="52">
        <v>4</v>
      </c>
      <c r="M242" s="87">
        <v>4</v>
      </c>
      <c r="N242" s="26">
        <f>MIN(D242:M242)</f>
        <v>4</v>
      </c>
      <c r="O242" s="2">
        <f>C242-N242</f>
        <v>0</v>
      </c>
      <c r="P242" s="24">
        <f>O242/C242</f>
        <v>0</v>
      </c>
    </row>
    <row r="243" spans="1:16" ht="9.75" customHeight="1">
      <c r="A243" s="18"/>
      <c r="B243" s="18" t="s">
        <v>35</v>
      </c>
      <c r="C243" s="18"/>
      <c r="D243" s="26"/>
      <c r="E243" s="2"/>
      <c r="F243" s="2"/>
      <c r="G243" s="2"/>
      <c r="H243" s="2"/>
      <c r="I243" s="2"/>
      <c r="J243" s="2"/>
      <c r="K243" s="2"/>
      <c r="L243" s="2"/>
      <c r="M243" s="27"/>
      <c r="N243" s="26"/>
      <c r="O243" s="2"/>
      <c r="P243" s="24"/>
    </row>
    <row r="244" spans="1:16" ht="9.75" customHeight="1">
      <c r="A244" s="18"/>
      <c r="B244" s="18" t="s">
        <v>36</v>
      </c>
      <c r="C244" s="18"/>
      <c r="D244" s="26"/>
      <c r="E244" s="2"/>
      <c r="F244" s="2"/>
      <c r="G244" s="2"/>
      <c r="H244" s="2"/>
      <c r="I244" s="2"/>
      <c r="J244" s="2"/>
      <c r="K244" s="2"/>
      <c r="L244" s="2"/>
      <c r="M244" s="27"/>
      <c r="N244" s="26"/>
      <c r="O244" s="2"/>
      <c r="P244" s="24"/>
    </row>
    <row r="245" spans="1:16" ht="9.75" customHeight="1">
      <c r="A245" s="18"/>
      <c r="B245" s="18" t="s">
        <v>37</v>
      </c>
      <c r="C245" s="18"/>
      <c r="D245" s="26"/>
      <c r="E245" s="2"/>
      <c r="F245" s="2"/>
      <c r="G245" s="2"/>
      <c r="H245" s="2"/>
      <c r="I245" s="2"/>
      <c r="J245" s="2"/>
      <c r="K245" s="2"/>
      <c r="L245" s="2"/>
      <c r="M245" s="27"/>
      <c r="N245" s="26"/>
      <c r="O245" s="2"/>
      <c r="P245" s="24"/>
    </row>
    <row r="246" spans="1:16" ht="9.75" customHeight="1">
      <c r="A246" s="32"/>
      <c r="B246" s="33" t="s">
        <v>38</v>
      </c>
      <c r="C246" s="33">
        <f t="shared" ref="C246:M246" si="36">SUM(C230:C245)</f>
        <v>105</v>
      </c>
      <c r="D246" s="70">
        <f t="shared" si="36"/>
        <v>96</v>
      </c>
      <c r="E246" s="71">
        <f t="shared" si="36"/>
        <v>95</v>
      </c>
      <c r="F246" s="71">
        <f t="shared" si="36"/>
        <v>90</v>
      </c>
      <c r="G246" s="71">
        <f t="shared" si="36"/>
        <v>91</v>
      </c>
      <c r="H246" s="71">
        <f t="shared" si="36"/>
        <v>92</v>
      </c>
      <c r="I246" s="71">
        <f t="shared" si="36"/>
        <v>88</v>
      </c>
      <c r="J246" s="71">
        <f t="shared" si="36"/>
        <v>89</v>
      </c>
      <c r="K246" s="71">
        <f t="shared" si="36"/>
        <v>87</v>
      </c>
      <c r="L246" s="71">
        <f t="shared" si="36"/>
        <v>86</v>
      </c>
      <c r="M246" s="93">
        <f t="shared" si="36"/>
        <v>84</v>
      </c>
      <c r="N246" s="70">
        <f>MIN(D246:M246)</f>
        <v>84</v>
      </c>
      <c r="O246" s="71">
        <f>C246-N246</f>
        <v>21</v>
      </c>
      <c r="P246" s="40">
        <f>O246/C246</f>
        <v>0.2</v>
      </c>
    </row>
    <row r="247" spans="1:16" ht="9.75" customHeight="1">
      <c r="A247" s="66" t="s">
        <v>129</v>
      </c>
      <c r="B247" s="66" t="s">
        <v>23</v>
      </c>
      <c r="C247" s="66"/>
      <c r="D247" s="41"/>
      <c r="E247" s="72"/>
      <c r="F247" s="72"/>
      <c r="G247" s="72"/>
      <c r="H247" s="72"/>
      <c r="I247" s="72"/>
      <c r="J247" s="72"/>
      <c r="K247" s="72"/>
      <c r="L247" s="72"/>
      <c r="M247" s="73"/>
      <c r="N247" s="41"/>
      <c r="O247" s="72"/>
      <c r="P247" s="99"/>
    </row>
    <row r="248" spans="1:16" ht="9.75" customHeight="1">
      <c r="A248" s="18"/>
      <c r="B248" s="18" t="s">
        <v>25</v>
      </c>
      <c r="C248" s="18"/>
      <c r="D248" s="26"/>
      <c r="E248" s="2"/>
      <c r="F248" s="2"/>
      <c r="G248" s="2"/>
      <c r="H248" s="2"/>
      <c r="I248" s="2"/>
      <c r="J248" s="2"/>
      <c r="K248" s="2"/>
      <c r="L248" s="2"/>
      <c r="M248" s="27"/>
      <c r="N248" s="26"/>
      <c r="O248" s="2"/>
      <c r="P248" s="24"/>
    </row>
    <row r="249" spans="1:16" ht="9.75" customHeight="1">
      <c r="A249" s="18"/>
      <c r="B249" s="18" t="s">
        <v>27</v>
      </c>
      <c r="C249" s="18"/>
      <c r="D249" s="26"/>
      <c r="E249" s="2"/>
      <c r="F249" s="2"/>
      <c r="G249" s="2"/>
      <c r="H249" s="2"/>
      <c r="I249" s="2"/>
      <c r="J249" s="2"/>
      <c r="K249" s="2"/>
      <c r="L249" s="2"/>
      <c r="M249" s="27"/>
      <c r="N249" s="26"/>
      <c r="O249" s="2"/>
      <c r="P249" s="24"/>
    </row>
    <row r="250" spans="1:16" ht="9.75" customHeight="1">
      <c r="A250" s="18"/>
      <c r="B250" s="18" t="s">
        <v>99</v>
      </c>
      <c r="C250" s="18"/>
      <c r="D250" s="26"/>
      <c r="E250" s="2"/>
      <c r="F250" s="2"/>
      <c r="G250" s="2"/>
      <c r="H250" s="2"/>
      <c r="I250" s="2"/>
      <c r="J250" s="2"/>
      <c r="K250" s="2"/>
      <c r="L250" s="2"/>
      <c r="M250" s="27"/>
      <c r="N250" s="26"/>
      <c r="O250" s="2"/>
      <c r="P250" s="24"/>
    </row>
    <row r="251" spans="1:16" ht="9.75" customHeight="1">
      <c r="A251" s="18"/>
      <c r="B251" s="18" t="s">
        <v>99</v>
      </c>
      <c r="C251" s="18"/>
      <c r="D251" s="26"/>
      <c r="E251" s="2"/>
      <c r="F251" s="2"/>
      <c r="G251" s="2"/>
      <c r="H251" s="2"/>
      <c r="I251" s="2"/>
      <c r="J251" s="2"/>
      <c r="K251" s="2"/>
      <c r="L251" s="2"/>
      <c r="M251" s="27"/>
      <c r="N251" s="26"/>
      <c r="O251" s="2"/>
      <c r="P251" s="24"/>
    </row>
    <row r="252" spans="1:16" ht="9.75" customHeight="1">
      <c r="A252" s="18"/>
      <c r="B252" s="18" t="s">
        <v>32</v>
      </c>
      <c r="C252" s="18"/>
      <c r="D252" s="26"/>
      <c r="E252" s="2"/>
      <c r="F252" s="2"/>
      <c r="G252" s="2"/>
      <c r="H252" s="2"/>
      <c r="I252" s="2"/>
      <c r="J252" s="2"/>
      <c r="K252" s="2"/>
      <c r="L252" s="2"/>
      <c r="M252" s="27"/>
      <c r="N252" s="26"/>
      <c r="O252" s="2"/>
      <c r="P252" s="24"/>
    </row>
    <row r="253" spans="1:16" ht="9.75" customHeight="1">
      <c r="A253" s="18"/>
      <c r="B253" s="18" t="s">
        <v>104</v>
      </c>
      <c r="C253" s="18"/>
      <c r="D253" s="26"/>
      <c r="E253" s="2"/>
      <c r="F253" s="2"/>
      <c r="G253" s="2"/>
      <c r="H253" s="2"/>
      <c r="I253" s="2"/>
      <c r="J253" s="2"/>
      <c r="K253" s="2"/>
      <c r="L253" s="2"/>
      <c r="M253" s="27"/>
      <c r="N253" s="26"/>
      <c r="O253" s="2"/>
      <c r="P253" s="24"/>
    </row>
    <row r="254" spans="1:16" ht="9.75" customHeight="1">
      <c r="A254" s="18"/>
      <c r="B254" s="18" t="s">
        <v>104</v>
      </c>
      <c r="C254" s="18"/>
      <c r="D254" s="26"/>
      <c r="E254" s="2"/>
      <c r="F254" s="2"/>
      <c r="G254" s="2"/>
      <c r="H254" s="2"/>
      <c r="I254" s="2"/>
      <c r="J254" s="2"/>
      <c r="K254" s="2"/>
      <c r="L254" s="2"/>
      <c r="M254" s="27"/>
      <c r="N254" s="26"/>
      <c r="O254" s="2"/>
      <c r="P254" s="24"/>
    </row>
    <row r="255" spans="1:16" ht="9.75" customHeight="1">
      <c r="A255" s="18"/>
      <c r="B255" s="18" t="s">
        <v>104</v>
      </c>
      <c r="C255" s="18"/>
      <c r="D255" s="26"/>
      <c r="E255" s="2"/>
      <c r="F255" s="2"/>
      <c r="G255" s="2"/>
      <c r="H255" s="2"/>
      <c r="I255" s="2"/>
      <c r="J255" s="2"/>
      <c r="K255" s="2"/>
      <c r="L255" s="2"/>
      <c r="M255" s="27"/>
      <c r="N255" s="26"/>
      <c r="O255" s="2"/>
      <c r="P255" s="24"/>
    </row>
    <row r="256" spans="1:16" ht="9.75" customHeight="1">
      <c r="A256" s="18"/>
      <c r="B256" s="18" t="s">
        <v>104</v>
      </c>
      <c r="C256" s="18"/>
      <c r="D256" s="26"/>
      <c r="E256" s="2"/>
      <c r="F256" s="2"/>
      <c r="G256" s="2"/>
      <c r="H256" s="2"/>
      <c r="I256" s="2"/>
      <c r="J256" s="2"/>
      <c r="K256" s="2"/>
      <c r="L256" s="2"/>
      <c r="M256" s="27"/>
      <c r="N256" s="26"/>
      <c r="O256" s="2"/>
      <c r="P256" s="24"/>
    </row>
    <row r="257" spans="1:16" ht="9.75" customHeight="1">
      <c r="A257" s="18"/>
      <c r="B257" s="18" t="s">
        <v>104</v>
      </c>
      <c r="C257" s="18"/>
      <c r="D257" s="26"/>
      <c r="E257" s="2"/>
      <c r="F257" s="2"/>
      <c r="G257" s="2"/>
      <c r="H257" s="2"/>
      <c r="I257" s="2"/>
      <c r="J257" s="2"/>
      <c r="K257" s="2"/>
      <c r="L257" s="2"/>
      <c r="M257" s="27"/>
      <c r="N257" s="26"/>
      <c r="O257" s="2"/>
      <c r="P257" s="24"/>
    </row>
    <row r="258" spans="1:16" ht="9.75" customHeight="1">
      <c r="A258" s="18"/>
      <c r="B258" s="18" t="s">
        <v>104</v>
      </c>
      <c r="C258" s="18"/>
      <c r="D258" s="26"/>
      <c r="E258" s="2"/>
      <c r="F258" s="2"/>
      <c r="G258" s="2"/>
      <c r="H258" s="2"/>
      <c r="I258" s="2"/>
      <c r="J258" s="2"/>
      <c r="K258" s="2"/>
      <c r="L258" s="2"/>
      <c r="M258" s="27"/>
      <c r="N258" s="26"/>
      <c r="O258" s="2"/>
      <c r="P258" s="24"/>
    </row>
    <row r="259" spans="1:16" ht="9.75" customHeight="1">
      <c r="A259" s="18"/>
      <c r="B259" s="18" t="s">
        <v>34</v>
      </c>
      <c r="C259" s="18"/>
      <c r="D259" s="26"/>
      <c r="E259" s="2"/>
      <c r="F259" s="2"/>
      <c r="G259" s="2"/>
      <c r="H259" s="2"/>
      <c r="I259" s="2"/>
      <c r="J259" s="2"/>
      <c r="K259" s="2"/>
      <c r="L259" s="2"/>
      <c r="M259" s="27"/>
      <c r="N259" s="26"/>
      <c r="O259" s="2"/>
      <c r="P259" s="24"/>
    </row>
    <row r="260" spans="1:16" ht="9.75" customHeight="1">
      <c r="A260" s="18"/>
      <c r="B260" s="18" t="s">
        <v>35</v>
      </c>
      <c r="C260" s="18"/>
      <c r="D260" s="26"/>
      <c r="E260" s="2"/>
      <c r="F260" s="2"/>
      <c r="G260" s="2"/>
      <c r="H260" s="2"/>
      <c r="I260" s="2"/>
      <c r="J260" s="2"/>
      <c r="K260" s="2"/>
      <c r="L260" s="2"/>
      <c r="M260" s="27"/>
      <c r="N260" s="26"/>
      <c r="O260" s="2"/>
      <c r="P260" s="24"/>
    </row>
    <row r="261" spans="1:16" ht="9.75" customHeight="1">
      <c r="A261" s="18"/>
      <c r="B261" s="18" t="s">
        <v>36</v>
      </c>
      <c r="C261" s="18"/>
      <c r="D261" s="26"/>
      <c r="E261" s="2"/>
      <c r="F261" s="2"/>
      <c r="G261" s="2"/>
      <c r="H261" s="2"/>
      <c r="I261" s="2"/>
      <c r="J261" s="2"/>
      <c r="K261" s="2"/>
      <c r="L261" s="2"/>
      <c r="M261" s="27"/>
      <c r="N261" s="26"/>
      <c r="O261" s="2"/>
      <c r="P261" s="24"/>
    </row>
    <row r="262" spans="1:16" ht="9.75" customHeight="1">
      <c r="A262" s="18"/>
      <c r="B262" s="18" t="s">
        <v>37</v>
      </c>
      <c r="C262" s="18">
        <v>1</v>
      </c>
      <c r="D262" s="115">
        <v>0</v>
      </c>
      <c r="E262" s="116">
        <v>0</v>
      </c>
      <c r="F262" s="116">
        <v>0</v>
      </c>
      <c r="G262" s="116">
        <v>0</v>
      </c>
      <c r="H262" s="116">
        <v>0</v>
      </c>
      <c r="I262" s="52">
        <v>0</v>
      </c>
      <c r="J262" s="52">
        <v>0</v>
      </c>
      <c r="K262" s="52">
        <v>0</v>
      </c>
      <c r="L262" s="52">
        <v>0</v>
      </c>
      <c r="M262" s="87">
        <v>0</v>
      </c>
      <c r="N262" s="26">
        <f t="shared" ref="N262:N263" si="37">MIN(D262:M262)</f>
        <v>0</v>
      </c>
      <c r="O262" s="2">
        <f t="shared" ref="O262:O263" si="38">C262-N262</f>
        <v>1</v>
      </c>
      <c r="P262" s="24">
        <f t="shared" ref="P262:P263" si="39">O262/C262</f>
        <v>1</v>
      </c>
    </row>
    <row r="263" spans="1:16" ht="9.75" customHeight="1">
      <c r="A263" s="32"/>
      <c r="B263" s="33" t="s">
        <v>38</v>
      </c>
      <c r="C263" s="33">
        <f t="shared" ref="C263:M263" si="40">SUM(C247:C262)</f>
        <v>1</v>
      </c>
      <c r="D263" s="70">
        <f t="shared" si="40"/>
        <v>0</v>
      </c>
      <c r="E263" s="71">
        <f t="shared" si="40"/>
        <v>0</v>
      </c>
      <c r="F263" s="71">
        <f t="shared" si="40"/>
        <v>0</v>
      </c>
      <c r="G263" s="71">
        <f t="shared" si="40"/>
        <v>0</v>
      </c>
      <c r="H263" s="71">
        <f t="shared" si="40"/>
        <v>0</v>
      </c>
      <c r="I263" s="71">
        <f t="shared" si="40"/>
        <v>0</v>
      </c>
      <c r="J263" s="71">
        <f t="shared" si="40"/>
        <v>0</v>
      </c>
      <c r="K263" s="71">
        <f t="shared" si="40"/>
        <v>0</v>
      </c>
      <c r="L263" s="71">
        <f t="shared" si="40"/>
        <v>0</v>
      </c>
      <c r="M263" s="93">
        <f t="shared" si="40"/>
        <v>0</v>
      </c>
      <c r="N263" s="70">
        <f t="shared" si="37"/>
        <v>0</v>
      </c>
      <c r="O263" s="71">
        <f t="shared" si="38"/>
        <v>1</v>
      </c>
      <c r="P263" s="40">
        <f t="shared" si="39"/>
        <v>1</v>
      </c>
    </row>
    <row r="264" spans="1:16" ht="9.75" customHeight="1">
      <c r="A264" s="66" t="s">
        <v>130</v>
      </c>
      <c r="B264" s="66" t="s">
        <v>23</v>
      </c>
      <c r="C264" s="18"/>
      <c r="D264" s="26"/>
      <c r="E264" s="2"/>
      <c r="F264" s="2"/>
      <c r="G264" s="2"/>
      <c r="H264" s="2"/>
      <c r="I264" s="2"/>
      <c r="J264" s="2"/>
      <c r="K264" s="2"/>
      <c r="L264" s="2"/>
      <c r="M264" s="27"/>
      <c r="N264" s="26"/>
      <c r="O264" s="2"/>
      <c r="P264" s="24"/>
    </row>
    <row r="265" spans="1:16" ht="9.75" customHeight="1">
      <c r="A265" s="18"/>
      <c r="B265" s="18" t="s">
        <v>25</v>
      </c>
      <c r="C265" s="18"/>
      <c r="D265" s="26"/>
      <c r="E265" s="2"/>
      <c r="F265" s="2"/>
      <c r="G265" s="2"/>
      <c r="H265" s="2"/>
      <c r="I265" s="2"/>
      <c r="J265" s="2"/>
      <c r="K265" s="2"/>
      <c r="L265" s="2"/>
      <c r="M265" s="27"/>
      <c r="N265" s="26"/>
      <c r="O265" s="2"/>
      <c r="P265" s="24"/>
    </row>
    <row r="266" spans="1:16" ht="9.75" customHeight="1">
      <c r="A266" s="18"/>
      <c r="B266" s="18" t="s">
        <v>27</v>
      </c>
      <c r="C266" s="18"/>
      <c r="D266" s="26"/>
      <c r="E266" s="2"/>
      <c r="F266" s="2"/>
      <c r="G266" s="2"/>
      <c r="H266" s="2"/>
      <c r="I266" s="52"/>
      <c r="J266" s="52"/>
      <c r="K266" s="52"/>
      <c r="L266" s="52"/>
      <c r="M266" s="87"/>
      <c r="N266" s="26"/>
      <c r="O266" s="2"/>
      <c r="P266" s="24"/>
    </row>
    <row r="267" spans="1:16" ht="9.75" customHeight="1">
      <c r="A267" s="18"/>
      <c r="B267" s="18" t="s">
        <v>99</v>
      </c>
      <c r="C267" s="18"/>
      <c r="D267" s="26"/>
      <c r="E267" s="2"/>
      <c r="F267" s="2"/>
      <c r="G267" s="2"/>
      <c r="H267" s="2"/>
      <c r="I267" s="111"/>
      <c r="J267" s="111"/>
      <c r="K267" s="111"/>
      <c r="L267" s="111"/>
      <c r="M267" s="112"/>
      <c r="N267" s="26"/>
      <c r="O267" s="2"/>
      <c r="P267" s="24"/>
    </row>
    <row r="268" spans="1:16" ht="9.75" customHeight="1">
      <c r="A268" s="18"/>
      <c r="B268" s="18" t="s">
        <v>99</v>
      </c>
      <c r="C268" s="18"/>
      <c r="D268" s="26"/>
      <c r="E268" s="2"/>
      <c r="F268" s="2"/>
      <c r="G268" s="2"/>
      <c r="H268" s="2"/>
      <c r="I268" s="111"/>
      <c r="J268" s="111"/>
      <c r="K268" s="111"/>
      <c r="L268" s="111"/>
      <c r="M268" s="112"/>
      <c r="N268" s="26"/>
      <c r="O268" s="2"/>
      <c r="P268" s="24"/>
    </row>
    <row r="269" spans="1:16" ht="9.75" customHeight="1">
      <c r="A269" s="18"/>
      <c r="B269" s="18" t="s">
        <v>32</v>
      </c>
      <c r="C269" s="18"/>
      <c r="D269" s="26"/>
      <c r="E269" s="2"/>
      <c r="F269" s="2"/>
      <c r="G269" s="2"/>
      <c r="H269" s="2"/>
      <c r="I269" s="111"/>
      <c r="J269" s="111"/>
      <c r="K269" s="111"/>
      <c r="L269" s="111"/>
      <c r="M269" s="112"/>
      <c r="N269" s="26"/>
      <c r="O269" s="2"/>
      <c r="P269" s="24"/>
    </row>
    <row r="270" spans="1:16" ht="9.75" customHeight="1">
      <c r="A270" s="18"/>
      <c r="B270" s="18" t="s">
        <v>131</v>
      </c>
      <c r="C270" s="18">
        <v>60</v>
      </c>
      <c r="D270" s="26">
        <f>60-4</f>
        <v>56</v>
      </c>
      <c r="E270" s="2">
        <f>60-3</f>
        <v>57</v>
      </c>
      <c r="F270" s="2">
        <f>60-5</f>
        <v>55</v>
      </c>
      <c r="G270" s="2">
        <f t="shared" ref="G270:H270" si="41">60-7</f>
        <v>53</v>
      </c>
      <c r="H270" s="2">
        <f t="shared" si="41"/>
        <v>53</v>
      </c>
      <c r="I270" s="52">
        <f>C270-12</f>
        <v>48</v>
      </c>
      <c r="J270" s="52">
        <v>48</v>
      </c>
      <c r="K270" s="52">
        <v>50</v>
      </c>
      <c r="L270" s="52">
        <v>50</v>
      </c>
      <c r="M270" s="87">
        <f>C270-9</f>
        <v>51</v>
      </c>
      <c r="N270" s="26">
        <f>MIN(D270:M270)</f>
        <v>48</v>
      </c>
      <c r="O270" s="2">
        <f>C270-N270</f>
        <v>12</v>
      </c>
      <c r="P270" s="24">
        <f>O270/C270</f>
        <v>0.2</v>
      </c>
    </row>
    <row r="271" spans="1:16" ht="9.75" customHeight="1">
      <c r="A271" s="18"/>
      <c r="B271" s="18" t="s">
        <v>104</v>
      </c>
      <c r="C271" s="18"/>
      <c r="D271" s="26"/>
      <c r="E271" s="2"/>
      <c r="F271" s="2"/>
      <c r="G271" s="2"/>
      <c r="H271" s="2"/>
      <c r="I271" s="111"/>
      <c r="J271" s="111"/>
      <c r="K271" s="111"/>
      <c r="L271" s="111"/>
      <c r="M271" s="112"/>
      <c r="N271" s="26"/>
      <c r="O271" s="2"/>
      <c r="P271" s="24"/>
    </row>
    <row r="272" spans="1:16" ht="9.75" customHeight="1">
      <c r="A272" s="18"/>
      <c r="B272" s="18" t="s">
        <v>104</v>
      </c>
      <c r="C272" s="18"/>
      <c r="D272" s="26"/>
      <c r="E272" s="2"/>
      <c r="F272" s="2"/>
      <c r="G272" s="2"/>
      <c r="H272" s="2"/>
      <c r="I272" s="111"/>
      <c r="J272" s="111"/>
      <c r="K272" s="111"/>
      <c r="L272" s="111"/>
      <c r="M272" s="112"/>
      <c r="N272" s="26"/>
      <c r="O272" s="2"/>
      <c r="P272" s="24"/>
    </row>
    <row r="273" spans="1:16" ht="9.75" customHeight="1">
      <c r="A273" s="18"/>
      <c r="B273" s="18" t="s">
        <v>104</v>
      </c>
      <c r="C273" s="18"/>
      <c r="D273" s="26"/>
      <c r="E273" s="2"/>
      <c r="F273" s="2"/>
      <c r="G273" s="2"/>
      <c r="H273" s="2"/>
      <c r="I273" s="111"/>
      <c r="J273" s="111"/>
      <c r="K273" s="111"/>
      <c r="L273" s="111"/>
      <c r="M273" s="112"/>
      <c r="N273" s="26"/>
      <c r="O273" s="2"/>
      <c r="P273" s="24"/>
    </row>
    <row r="274" spans="1:16" ht="9.75" customHeight="1">
      <c r="A274" s="18"/>
      <c r="B274" s="18" t="s">
        <v>104</v>
      </c>
      <c r="C274" s="18"/>
      <c r="D274" s="26"/>
      <c r="E274" s="2"/>
      <c r="F274" s="2"/>
      <c r="G274" s="2"/>
      <c r="H274" s="2"/>
      <c r="I274" s="111"/>
      <c r="J274" s="111"/>
      <c r="K274" s="111"/>
      <c r="L274" s="111"/>
      <c r="M274" s="112"/>
      <c r="N274" s="26"/>
      <c r="O274" s="2"/>
      <c r="P274" s="24"/>
    </row>
    <row r="275" spans="1:16" ht="9.75" customHeight="1">
      <c r="A275" s="18"/>
      <c r="B275" s="18" t="s">
        <v>104</v>
      </c>
      <c r="C275" s="18"/>
      <c r="D275" s="26"/>
      <c r="E275" s="2"/>
      <c r="F275" s="2"/>
      <c r="G275" s="2"/>
      <c r="H275" s="2"/>
      <c r="I275" s="111"/>
      <c r="J275" s="111"/>
      <c r="K275" s="111"/>
      <c r="L275" s="111"/>
      <c r="M275" s="112"/>
      <c r="N275" s="26"/>
      <c r="O275" s="2"/>
      <c r="P275" s="24"/>
    </row>
    <row r="276" spans="1:16" ht="9.75" customHeight="1">
      <c r="A276" s="18"/>
      <c r="B276" s="18" t="s">
        <v>34</v>
      </c>
      <c r="C276" s="18">
        <v>2</v>
      </c>
      <c r="D276" s="115">
        <v>2</v>
      </c>
      <c r="E276" s="116">
        <v>2</v>
      </c>
      <c r="F276" s="116">
        <v>2</v>
      </c>
      <c r="G276" s="116">
        <v>2</v>
      </c>
      <c r="H276" s="116">
        <v>2</v>
      </c>
      <c r="I276" s="52">
        <v>2</v>
      </c>
      <c r="J276" s="52">
        <v>2</v>
      </c>
      <c r="K276" s="52">
        <v>2</v>
      </c>
      <c r="L276" s="52">
        <v>2</v>
      </c>
      <c r="M276" s="87">
        <v>2</v>
      </c>
      <c r="N276" s="26">
        <f>MIN(D276:M276)</f>
        <v>2</v>
      </c>
      <c r="O276" s="2">
        <f>C276-N276</f>
        <v>0</v>
      </c>
      <c r="P276" s="24">
        <f>O276/C276</f>
        <v>0</v>
      </c>
    </row>
    <row r="277" spans="1:16" ht="9.75" customHeight="1">
      <c r="A277" s="18"/>
      <c r="B277" s="18" t="s">
        <v>35</v>
      </c>
      <c r="C277" s="18"/>
      <c r="D277" s="26"/>
      <c r="E277" s="2"/>
      <c r="F277" s="2"/>
      <c r="G277" s="2"/>
      <c r="H277" s="2"/>
      <c r="I277" s="2"/>
      <c r="J277" s="2"/>
      <c r="K277" s="2"/>
      <c r="L277" s="2"/>
      <c r="M277" s="27"/>
      <c r="N277" s="26"/>
      <c r="O277" s="2"/>
      <c r="P277" s="24"/>
    </row>
    <row r="278" spans="1:16" ht="9.75" customHeight="1">
      <c r="A278" s="18"/>
      <c r="B278" s="18" t="s">
        <v>36</v>
      </c>
      <c r="C278" s="18"/>
      <c r="D278" s="26"/>
      <c r="E278" s="2"/>
      <c r="F278" s="2"/>
      <c r="G278" s="2"/>
      <c r="H278" s="2"/>
      <c r="I278" s="2"/>
      <c r="J278" s="2"/>
      <c r="K278" s="2"/>
      <c r="L278" s="2"/>
      <c r="M278" s="27"/>
      <c r="N278" s="26"/>
      <c r="O278" s="2"/>
      <c r="P278" s="24"/>
    </row>
    <row r="279" spans="1:16" ht="9.75" customHeight="1">
      <c r="A279" s="18"/>
      <c r="B279" s="18" t="s">
        <v>37</v>
      </c>
      <c r="C279" s="18"/>
      <c r="D279" s="26"/>
      <c r="E279" s="2"/>
      <c r="F279" s="2"/>
      <c r="G279" s="2"/>
      <c r="H279" s="2"/>
      <c r="I279" s="2"/>
      <c r="J279" s="2"/>
      <c r="K279" s="2"/>
      <c r="L279" s="2"/>
      <c r="M279" s="27"/>
      <c r="N279" s="26"/>
      <c r="O279" s="2"/>
      <c r="P279" s="24"/>
    </row>
    <row r="280" spans="1:16" ht="9.75" customHeight="1">
      <c r="A280" s="32"/>
      <c r="B280" s="33" t="s">
        <v>38</v>
      </c>
      <c r="C280" s="33">
        <f t="shared" ref="C280:M280" si="42">SUM(C264:C279)</f>
        <v>62</v>
      </c>
      <c r="D280" s="70">
        <f t="shared" si="42"/>
        <v>58</v>
      </c>
      <c r="E280" s="71">
        <f t="shared" si="42"/>
        <v>59</v>
      </c>
      <c r="F280" s="71">
        <f t="shared" si="42"/>
        <v>57</v>
      </c>
      <c r="G280" s="71">
        <f t="shared" si="42"/>
        <v>55</v>
      </c>
      <c r="H280" s="71">
        <f t="shared" si="42"/>
        <v>55</v>
      </c>
      <c r="I280" s="71">
        <f t="shared" si="42"/>
        <v>50</v>
      </c>
      <c r="J280" s="71">
        <f t="shared" si="42"/>
        <v>50</v>
      </c>
      <c r="K280" s="71">
        <f t="shared" si="42"/>
        <v>52</v>
      </c>
      <c r="L280" s="71">
        <f t="shared" si="42"/>
        <v>52</v>
      </c>
      <c r="M280" s="93">
        <f t="shared" si="42"/>
        <v>53</v>
      </c>
      <c r="N280" s="70">
        <f>MIN(D280:M280)</f>
        <v>50</v>
      </c>
      <c r="O280" s="71">
        <f>C280-N280</f>
        <v>12</v>
      </c>
      <c r="P280" s="40">
        <f>O280/C280</f>
        <v>0.19354838709677419</v>
      </c>
    </row>
    <row r="281" spans="1:16" ht="9.75" customHeight="1">
      <c r="A281" s="117" t="s">
        <v>132</v>
      </c>
      <c r="B281" s="117" t="s">
        <v>23</v>
      </c>
      <c r="C281" s="117"/>
      <c r="D281" s="119"/>
      <c r="E281" s="120"/>
      <c r="F281" s="120"/>
      <c r="G281" s="120"/>
      <c r="H281" s="120"/>
      <c r="I281" s="120"/>
      <c r="J281" s="120"/>
      <c r="K281" s="120"/>
      <c r="L281" s="120"/>
      <c r="M281" s="121"/>
      <c r="N281" s="119"/>
      <c r="O281" s="120"/>
      <c r="P281" s="122"/>
    </row>
    <row r="282" spans="1:16" ht="9.75" customHeight="1">
      <c r="A282" s="118" t="s">
        <v>133</v>
      </c>
      <c r="B282" s="118" t="s">
        <v>25</v>
      </c>
      <c r="C282" s="118"/>
      <c r="D282" s="123"/>
      <c r="E282" s="124"/>
      <c r="F282" s="124"/>
      <c r="G282" s="124"/>
      <c r="H282" s="124"/>
      <c r="I282" s="124"/>
      <c r="J282" s="124"/>
      <c r="K282" s="124"/>
      <c r="L282" s="124"/>
      <c r="M282" s="125"/>
      <c r="N282" s="123"/>
      <c r="O282" s="124"/>
      <c r="P282" s="126"/>
    </row>
    <row r="283" spans="1:16" ht="9.75" customHeight="1">
      <c r="A283" s="118" t="s">
        <v>134</v>
      </c>
      <c r="B283" s="118" t="s">
        <v>27</v>
      </c>
      <c r="C283" s="118"/>
      <c r="D283" s="123"/>
      <c r="E283" s="124"/>
      <c r="F283" s="124"/>
      <c r="G283" s="124"/>
      <c r="H283" s="124"/>
      <c r="I283" s="124"/>
      <c r="J283" s="124"/>
      <c r="K283" s="124"/>
      <c r="L283" s="124"/>
      <c r="M283" s="125"/>
      <c r="N283" s="123"/>
      <c r="O283" s="124"/>
      <c r="P283" s="126"/>
    </row>
    <row r="284" spans="1:16" ht="9.75" customHeight="1">
      <c r="A284" s="118"/>
      <c r="B284" s="118" t="s">
        <v>99</v>
      </c>
      <c r="C284" s="118"/>
      <c r="D284" s="123"/>
      <c r="E284" s="124"/>
      <c r="F284" s="124"/>
      <c r="G284" s="124"/>
      <c r="H284" s="124"/>
      <c r="I284" s="124"/>
      <c r="J284" s="124"/>
      <c r="K284" s="124"/>
      <c r="L284" s="124"/>
      <c r="M284" s="125"/>
      <c r="N284" s="123"/>
      <c r="O284" s="124"/>
      <c r="P284" s="126"/>
    </row>
    <row r="285" spans="1:16" ht="9.75" customHeight="1">
      <c r="A285" s="118"/>
      <c r="B285" s="118" t="s">
        <v>99</v>
      </c>
      <c r="C285" s="118"/>
      <c r="D285" s="123"/>
      <c r="E285" s="124"/>
      <c r="F285" s="124"/>
      <c r="G285" s="124"/>
      <c r="H285" s="124"/>
      <c r="I285" s="124"/>
      <c r="J285" s="124"/>
      <c r="K285" s="124"/>
      <c r="L285" s="124"/>
      <c r="M285" s="125"/>
      <c r="N285" s="123"/>
      <c r="O285" s="124"/>
      <c r="P285" s="126"/>
    </row>
    <row r="286" spans="1:16" ht="9.75" customHeight="1">
      <c r="A286" s="118"/>
      <c r="B286" s="118" t="s">
        <v>32</v>
      </c>
      <c r="C286" s="118"/>
      <c r="D286" s="123"/>
      <c r="E286" s="124"/>
      <c r="F286" s="124"/>
      <c r="G286" s="124"/>
      <c r="H286" s="124"/>
      <c r="I286" s="124"/>
      <c r="J286" s="124"/>
      <c r="K286" s="124"/>
      <c r="L286" s="124"/>
      <c r="M286" s="125"/>
      <c r="N286" s="123"/>
      <c r="O286" s="124"/>
      <c r="P286" s="126"/>
    </row>
    <row r="287" spans="1:16" ht="9.75" customHeight="1">
      <c r="A287" s="118"/>
      <c r="B287" s="118" t="s">
        <v>135</v>
      </c>
      <c r="C287" s="118">
        <v>258</v>
      </c>
      <c r="D287" s="123"/>
      <c r="E287" s="124"/>
      <c r="F287" s="124"/>
      <c r="G287" s="124"/>
      <c r="H287" s="124"/>
      <c r="I287" s="127"/>
      <c r="J287" s="127"/>
      <c r="K287" s="127"/>
      <c r="L287" s="127"/>
      <c r="M287" s="128"/>
      <c r="N287" s="123">
        <f t="shared" ref="N287:N288" si="43">MIN(D287:M287)</f>
        <v>0</v>
      </c>
      <c r="O287" s="124">
        <f t="shared" ref="O287:O288" si="44">C287-N287</f>
        <v>258</v>
      </c>
      <c r="P287" s="126">
        <f t="shared" ref="P287:P288" si="45">O287/C287</f>
        <v>1</v>
      </c>
    </row>
    <row r="288" spans="1:16" ht="9.75" customHeight="1">
      <c r="A288" s="118"/>
      <c r="B288" s="118" t="s">
        <v>102</v>
      </c>
      <c r="C288" s="118">
        <v>2</v>
      </c>
      <c r="D288" s="123"/>
      <c r="E288" s="124"/>
      <c r="F288" s="124"/>
      <c r="G288" s="124"/>
      <c r="H288" s="124"/>
      <c r="I288" s="127"/>
      <c r="J288" s="127"/>
      <c r="K288" s="127"/>
      <c r="L288" s="127"/>
      <c r="M288" s="128"/>
      <c r="N288" s="123">
        <f t="shared" si="43"/>
        <v>0</v>
      </c>
      <c r="O288" s="124">
        <f t="shared" si="44"/>
        <v>2</v>
      </c>
      <c r="P288" s="126">
        <f t="shared" si="45"/>
        <v>1</v>
      </c>
    </row>
    <row r="289" spans="1:16" ht="9.75" customHeight="1">
      <c r="A289" s="118"/>
      <c r="B289" s="118" t="s">
        <v>104</v>
      </c>
      <c r="C289" s="118"/>
      <c r="D289" s="123"/>
      <c r="E289" s="124"/>
      <c r="F289" s="124"/>
      <c r="G289" s="124"/>
      <c r="H289" s="124"/>
      <c r="I289" s="129"/>
      <c r="J289" s="129"/>
      <c r="K289" s="129"/>
      <c r="L289" s="129"/>
      <c r="M289" s="130"/>
      <c r="N289" s="123"/>
      <c r="O289" s="124"/>
      <c r="P289" s="126"/>
    </row>
    <row r="290" spans="1:16" ht="9.75" customHeight="1">
      <c r="A290" s="118"/>
      <c r="B290" s="118" t="s">
        <v>104</v>
      </c>
      <c r="C290" s="118"/>
      <c r="D290" s="123"/>
      <c r="E290" s="124"/>
      <c r="F290" s="124"/>
      <c r="G290" s="124"/>
      <c r="H290" s="124"/>
      <c r="I290" s="129"/>
      <c r="J290" s="129"/>
      <c r="K290" s="129"/>
      <c r="L290" s="129"/>
      <c r="M290" s="130"/>
      <c r="N290" s="123"/>
      <c r="O290" s="124"/>
      <c r="P290" s="126"/>
    </row>
    <row r="291" spans="1:16" ht="9.75" customHeight="1">
      <c r="A291" s="118"/>
      <c r="B291" s="118" t="s">
        <v>104</v>
      </c>
      <c r="C291" s="118"/>
      <c r="D291" s="123"/>
      <c r="E291" s="124"/>
      <c r="F291" s="124"/>
      <c r="G291" s="124"/>
      <c r="H291" s="124"/>
      <c r="I291" s="129"/>
      <c r="J291" s="129"/>
      <c r="K291" s="129"/>
      <c r="L291" s="129"/>
      <c r="M291" s="130"/>
      <c r="N291" s="123"/>
      <c r="O291" s="124"/>
      <c r="P291" s="126"/>
    </row>
    <row r="292" spans="1:16" ht="9.75" customHeight="1">
      <c r="A292" s="118"/>
      <c r="B292" s="118" t="s">
        <v>104</v>
      </c>
      <c r="C292" s="118"/>
      <c r="D292" s="123"/>
      <c r="E292" s="124"/>
      <c r="F292" s="124"/>
      <c r="G292" s="124"/>
      <c r="H292" s="124"/>
      <c r="I292" s="129"/>
      <c r="J292" s="129"/>
      <c r="K292" s="129"/>
      <c r="L292" s="129"/>
      <c r="M292" s="130"/>
      <c r="N292" s="123"/>
      <c r="O292" s="124"/>
      <c r="P292" s="126"/>
    </row>
    <row r="293" spans="1:16" ht="9.75" customHeight="1">
      <c r="A293" s="118"/>
      <c r="B293" s="118" t="s">
        <v>34</v>
      </c>
      <c r="C293" s="118">
        <v>9</v>
      </c>
      <c r="D293" s="123"/>
      <c r="E293" s="124"/>
      <c r="F293" s="124"/>
      <c r="G293" s="124"/>
      <c r="H293" s="124"/>
      <c r="I293" s="127"/>
      <c r="J293" s="127"/>
      <c r="K293" s="127"/>
      <c r="L293" s="127"/>
      <c r="M293" s="128"/>
      <c r="N293" s="123">
        <f>MIN(D293:M293)</f>
        <v>0</v>
      </c>
      <c r="O293" s="124">
        <f>C293-N293</f>
        <v>9</v>
      </c>
      <c r="P293" s="126">
        <f>O293/C293</f>
        <v>1</v>
      </c>
    </row>
    <row r="294" spans="1:16" ht="9.75" customHeight="1">
      <c r="A294" s="118"/>
      <c r="B294" s="118" t="s">
        <v>35</v>
      </c>
      <c r="C294" s="118"/>
      <c r="D294" s="123"/>
      <c r="E294" s="124"/>
      <c r="F294" s="124"/>
      <c r="G294" s="124"/>
      <c r="H294" s="124"/>
      <c r="I294" s="124"/>
      <c r="J294" s="124"/>
      <c r="K294" s="124"/>
      <c r="L294" s="124"/>
      <c r="M294" s="125"/>
      <c r="N294" s="123"/>
      <c r="O294" s="124"/>
      <c r="P294" s="126"/>
    </row>
    <row r="295" spans="1:16" ht="9.75" customHeight="1">
      <c r="A295" s="118"/>
      <c r="B295" s="118" t="s">
        <v>36</v>
      </c>
      <c r="C295" s="118"/>
      <c r="D295" s="123"/>
      <c r="E295" s="124"/>
      <c r="F295" s="124"/>
      <c r="G295" s="124"/>
      <c r="H295" s="124"/>
      <c r="I295" s="124"/>
      <c r="J295" s="124"/>
      <c r="K295" s="124"/>
      <c r="L295" s="124"/>
      <c r="M295" s="125"/>
      <c r="N295" s="123"/>
      <c r="O295" s="124"/>
      <c r="P295" s="126"/>
    </row>
    <row r="296" spans="1:16" ht="9.75" customHeight="1">
      <c r="A296" s="118"/>
      <c r="B296" s="118" t="s">
        <v>37</v>
      </c>
      <c r="C296" s="118"/>
      <c r="D296" s="123"/>
      <c r="E296" s="124"/>
      <c r="F296" s="124"/>
      <c r="G296" s="124"/>
      <c r="H296" s="124"/>
      <c r="I296" s="124"/>
      <c r="J296" s="124"/>
      <c r="K296" s="124"/>
      <c r="L296" s="124"/>
      <c r="M296" s="125"/>
      <c r="N296" s="123"/>
      <c r="O296" s="124"/>
      <c r="P296" s="126"/>
    </row>
    <row r="297" spans="1:16" ht="9.75" customHeight="1">
      <c r="A297" s="32"/>
      <c r="B297" s="33" t="s">
        <v>38</v>
      </c>
      <c r="C297" s="33">
        <f t="shared" ref="C297:M297" si="46">SUM(C281:C296)</f>
        <v>269</v>
      </c>
      <c r="D297" s="70">
        <f t="shared" si="46"/>
        <v>0</v>
      </c>
      <c r="E297" s="71">
        <f t="shared" si="46"/>
        <v>0</v>
      </c>
      <c r="F297" s="71">
        <f t="shared" si="46"/>
        <v>0</v>
      </c>
      <c r="G297" s="71">
        <f t="shared" si="46"/>
        <v>0</v>
      </c>
      <c r="H297" s="71">
        <f t="shared" si="46"/>
        <v>0</v>
      </c>
      <c r="I297" s="71">
        <f t="shared" si="46"/>
        <v>0</v>
      </c>
      <c r="J297" s="71">
        <f t="shared" si="46"/>
        <v>0</v>
      </c>
      <c r="K297" s="71">
        <f t="shared" si="46"/>
        <v>0</v>
      </c>
      <c r="L297" s="71">
        <f t="shared" si="46"/>
        <v>0</v>
      </c>
      <c r="M297" s="93">
        <f t="shared" si="46"/>
        <v>0</v>
      </c>
      <c r="N297" s="70">
        <f>MIN(D297:M297)</f>
        <v>0</v>
      </c>
      <c r="O297" s="71">
        <f>C297-N297</f>
        <v>269</v>
      </c>
      <c r="P297" s="40">
        <f>O297/C297</f>
        <v>1</v>
      </c>
    </row>
    <row r="298" spans="1:16" ht="9.75" customHeight="1">
      <c r="A298" s="66" t="s">
        <v>136</v>
      </c>
      <c r="B298" s="66" t="s">
        <v>23</v>
      </c>
      <c r="C298" s="66"/>
      <c r="D298" s="41"/>
      <c r="E298" s="72"/>
      <c r="F298" s="72"/>
      <c r="G298" s="72"/>
      <c r="H298" s="72"/>
      <c r="I298" s="72"/>
      <c r="J298" s="72"/>
      <c r="K298" s="72"/>
      <c r="L298" s="72"/>
      <c r="M298" s="73"/>
      <c r="N298" s="41"/>
      <c r="O298" s="72"/>
      <c r="P298" s="99"/>
    </row>
    <row r="299" spans="1:16" ht="9.75" customHeight="1">
      <c r="A299" s="18"/>
      <c r="B299" s="18" t="s">
        <v>25</v>
      </c>
      <c r="C299" s="18"/>
      <c r="D299" s="26"/>
      <c r="E299" s="2"/>
      <c r="F299" s="2"/>
      <c r="G299" s="2"/>
      <c r="H299" s="2"/>
      <c r="I299" s="2"/>
      <c r="J299" s="2"/>
      <c r="K299" s="2"/>
      <c r="L299" s="2"/>
      <c r="M299" s="27"/>
      <c r="N299" s="26"/>
      <c r="O299" s="2"/>
      <c r="P299" s="24"/>
    </row>
    <row r="300" spans="1:16" ht="9.75" customHeight="1">
      <c r="A300" s="18"/>
      <c r="B300" s="18" t="s">
        <v>27</v>
      </c>
      <c r="C300" s="18">
        <v>40</v>
      </c>
      <c r="D300" s="115">
        <v>40</v>
      </c>
      <c r="E300" s="116">
        <v>40</v>
      </c>
      <c r="F300" s="116">
        <v>40</v>
      </c>
      <c r="G300" s="116">
        <v>40</v>
      </c>
      <c r="H300" s="116">
        <v>40</v>
      </c>
      <c r="I300" s="52">
        <v>40</v>
      </c>
      <c r="J300" s="52">
        <v>39</v>
      </c>
      <c r="K300" s="52">
        <v>38</v>
      </c>
      <c r="L300" s="52">
        <v>37</v>
      </c>
      <c r="M300" s="87">
        <v>37</v>
      </c>
      <c r="N300" s="26">
        <f>MIN(D300:M300)</f>
        <v>37</v>
      </c>
      <c r="O300" s="2">
        <f>C300-N300</f>
        <v>3</v>
      </c>
      <c r="P300" s="24">
        <f>O300/C300</f>
        <v>7.4999999999999997E-2</v>
      </c>
    </row>
    <row r="301" spans="1:16" ht="9.75" customHeight="1">
      <c r="A301" s="18"/>
      <c r="B301" s="18" t="s">
        <v>99</v>
      </c>
      <c r="C301" s="18"/>
      <c r="D301" s="26"/>
      <c r="E301" s="2"/>
      <c r="F301" s="2"/>
      <c r="G301" s="2"/>
      <c r="H301" s="2"/>
      <c r="I301" s="111"/>
      <c r="J301" s="111"/>
      <c r="K301" s="111"/>
      <c r="L301" s="111"/>
      <c r="M301" s="112"/>
      <c r="N301" s="26"/>
      <c r="O301" s="2"/>
      <c r="P301" s="24"/>
    </row>
    <row r="302" spans="1:16" ht="9.75" customHeight="1">
      <c r="A302" s="18"/>
      <c r="B302" s="18" t="s">
        <v>99</v>
      </c>
      <c r="C302" s="18"/>
      <c r="D302" s="26"/>
      <c r="E302" s="2"/>
      <c r="F302" s="2"/>
      <c r="G302" s="2"/>
      <c r="H302" s="2"/>
      <c r="I302" s="111"/>
      <c r="J302" s="111"/>
      <c r="K302" s="111"/>
      <c r="L302" s="111"/>
      <c r="M302" s="112"/>
      <c r="N302" s="26"/>
      <c r="O302" s="2"/>
      <c r="P302" s="24"/>
    </row>
    <row r="303" spans="1:16" ht="9.75" customHeight="1">
      <c r="A303" s="18"/>
      <c r="B303" s="18" t="s">
        <v>32</v>
      </c>
      <c r="C303" s="18"/>
      <c r="D303" s="26"/>
      <c r="E303" s="2"/>
      <c r="F303" s="2"/>
      <c r="G303" s="2"/>
      <c r="H303" s="2"/>
      <c r="I303" s="111"/>
      <c r="J303" s="111"/>
      <c r="K303" s="111"/>
      <c r="L303" s="111"/>
      <c r="M303" s="112"/>
      <c r="N303" s="26"/>
      <c r="O303" s="2"/>
      <c r="P303" s="24"/>
    </row>
    <row r="304" spans="1:16" ht="9.75" customHeight="1">
      <c r="A304" s="18"/>
      <c r="B304" s="18" t="s">
        <v>137</v>
      </c>
      <c r="C304" s="18">
        <v>31</v>
      </c>
      <c r="D304" s="115">
        <v>31</v>
      </c>
      <c r="E304" s="116">
        <v>31</v>
      </c>
      <c r="F304" s="116">
        <v>31</v>
      </c>
      <c r="G304" s="116">
        <v>31</v>
      </c>
      <c r="H304" s="116">
        <v>31</v>
      </c>
      <c r="I304" s="52">
        <v>31</v>
      </c>
      <c r="J304" s="52">
        <v>29</v>
      </c>
      <c r="K304" s="52">
        <v>31</v>
      </c>
      <c r="L304" s="52">
        <v>30</v>
      </c>
      <c r="M304" s="87">
        <v>30</v>
      </c>
      <c r="N304" s="26">
        <f>MIN(D304:M304)</f>
        <v>29</v>
      </c>
      <c r="O304" s="2">
        <f>C304-N304</f>
        <v>2</v>
      </c>
      <c r="P304" s="24">
        <f>O304/C304</f>
        <v>6.4516129032258063E-2</v>
      </c>
    </row>
    <row r="305" spans="1:16" ht="9.75" customHeight="1">
      <c r="A305" s="18"/>
      <c r="B305" s="18" t="s">
        <v>104</v>
      </c>
      <c r="C305" s="18"/>
      <c r="D305" s="26"/>
      <c r="E305" s="2"/>
      <c r="F305" s="2"/>
      <c r="G305" s="2"/>
      <c r="H305" s="2"/>
      <c r="I305" s="2"/>
      <c r="J305" s="2"/>
      <c r="K305" s="2"/>
      <c r="L305" s="2"/>
      <c r="M305" s="27"/>
      <c r="N305" s="26"/>
      <c r="O305" s="2"/>
      <c r="P305" s="24"/>
    </row>
    <row r="306" spans="1:16" ht="9.75" customHeight="1">
      <c r="A306" s="18"/>
      <c r="B306" s="18" t="s">
        <v>104</v>
      </c>
      <c r="C306" s="18"/>
      <c r="D306" s="26"/>
      <c r="E306" s="2"/>
      <c r="F306" s="2"/>
      <c r="G306" s="2"/>
      <c r="H306" s="2"/>
      <c r="I306" s="2"/>
      <c r="J306" s="2"/>
      <c r="K306" s="2"/>
      <c r="L306" s="2"/>
      <c r="M306" s="27"/>
      <c r="N306" s="26"/>
      <c r="O306" s="2"/>
      <c r="P306" s="24"/>
    </row>
    <row r="307" spans="1:16" ht="9.75" customHeight="1">
      <c r="A307" s="18"/>
      <c r="B307" s="18" t="s">
        <v>104</v>
      </c>
      <c r="C307" s="18"/>
      <c r="D307" s="26"/>
      <c r="E307" s="2"/>
      <c r="F307" s="2"/>
      <c r="G307" s="2"/>
      <c r="H307" s="2"/>
      <c r="I307" s="2"/>
      <c r="J307" s="2"/>
      <c r="K307" s="2"/>
      <c r="L307" s="2"/>
      <c r="M307" s="27"/>
      <c r="N307" s="26"/>
      <c r="O307" s="2"/>
      <c r="P307" s="24"/>
    </row>
    <row r="308" spans="1:16" ht="9.75" customHeight="1">
      <c r="A308" s="18"/>
      <c r="B308" s="18" t="s">
        <v>104</v>
      </c>
      <c r="C308" s="18"/>
      <c r="D308" s="26"/>
      <c r="E308" s="2"/>
      <c r="F308" s="2"/>
      <c r="G308" s="2"/>
      <c r="H308" s="2"/>
      <c r="I308" s="2"/>
      <c r="J308" s="2"/>
      <c r="K308" s="2"/>
      <c r="L308" s="2"/>
      <c r="M308" s="27"/>
      <c r="N308" s="26"/>
      <c r="O308" s="2"/>
      <c r="P308" s="24"/>
    </row>
    <row r="309" spans="1:16" ht="9.75" customHeight="1">
      <c r="A309" s="18"/>
      <c r="B309" s="18" t="s">
        <v>104</v>
      </c>
      <c r="C309" s="18"/>
      <c r="D309" s="26"/>
      <c r="E309" s="2"/>
      <c r="F309" s="2"/>
      <c r="G309" s="2"/>
      <c r="H309" s="2"/>
      <c r="I309" s="2"/>
      <c r="J309" s="2"/>
      <c r="K309" s="2"/>
      <c r="L309" s="2"/>
      <c r="M309" s="27"/>
      <c r="N309" s="26"/>
      <c r="O309" s="2"/>
      <c r="P309" s="24"/>
    </row>
    <row r="310" spans="1:16" ht="9.75" customHeight="1">
      <c r="A310" s="18"/>
      <c r="B310" s="18" t="s">
        <v>34</v>
      </c>
      <c r="C310" s="18"/>
      <c r="D310" s="26"/>
      <c r="E310" s="2"/>
      <c r="F310" s="2"/>
      <c r="G310" s="2"/>
      <c r="H310" s="2"/>
      <c r="I310" s="2"/>
      <c r="J310" s="2"/>
      <c r="K310" s="2"/>
      <c r="L310" s="2"/>
      <c r="M310" s="27"/>
      <c r="N310" s="26"/>
      <c r="O310" s="2"/>
      <c r="P310" s="24"/>
    </row>
    <row r="311" spans="1:16" ht="9.75" customHeight="1">
      <c r="A311" s="18"/>
      <c r="B311" s="18" t="s">
        <v>35</v>
      </c>
      <c r="C311" s="18"/>
      <c r="D311" s="26"/>
      <c r="E311" s="2"/>
      <c r="F311" s="2"/>
      <c r="G311" s="2"/>
      <c r="H311" s="2"/>
      <c r="I311" s="2"/>
      <c r="J311" s="2"/>
      <c r="K311" s="2"/>
      <c r="L311" s="2"/>
      <c r="M311" s="27"/>
      <c r="N311" s="26"/>
      <c r="O311" s="2"/>
      <c r="P311" s="24"/>
    </row>
    <row r="312" spans="1:16" ht="9.75" customHeight="1">
      <c r="A312" s="18"/>
      <c r="B312" s="18" t="s">
        <v>36</v>
      </c>
      <c r="C312" s="18"/>
      <c r="D312" s="26"/>
      <c r="E312" s="2"/>
      <c r="F312" s="2"/>
      <c r="G312" s="2"/>
      <c r="H312" s="2"/>
      <c r="I312" s="2"/>
      <c r="J312" s="2"/>
      <c r="K312" s="2"/>
      <c r="L312" s="2"/>
      <c r="M312" s="27"/>
      <c r="N312" s="26"/>
      <c r="O312" s="2"/>
      <c r="P312" s="24"/>
    </row>
    <row r="313" spans="1:16" ht="9.75" customHeight="1">
      <c r="A313" s="18"/>
      <c r="B313" s="18" t="s">
        <v>37</v>
      </c>
      <c r="C313" s="18"/>
      <c r="D313" s="26"/>
      <c r="E313" s="2"/>
      <c r="F313" s="2"/>
      <c r="G313" s="2"/>
      <c r="H313" s="2"/>
      <c r="I313" s="2"/>
      <c r="J313" s="2"/>
      <c r="K313" s="2"/>
      <c r="L313" s="2"/>
      <c r="M313" s="27"/>
      <c r="N313" s="26"/>
      <c r="O313" s="2"/>
      <c r="P313" s="24"/>
    </row>
    <row r="314" spans="1:16" ht="9.75" customHeight="1">
      <c r="A314" s="32"/>
      <c r="B314" s="33" t="s">
        <v>38</v>
      </c>
      <c r="C314" s="33">
        <f t="shared" ref="C314:M314" si="47">SUM(C298:C313)</f>
        <v>71</v>
      </c>
      <c r="D314" s="70">
        <f t="shared" si="47"/>
        <v>71</v>
      </c>
      <c r="E314" s="71">
        <f t="shared" si="47"/>
        <v>71</v>
      </c>
      <c r="F314" s="71">
        <f t="shared" si="47"/>
        <v>71</v>
      </c>
      <c r="G314" s="71">
        <f t="shared" si="47"/>
        <v>71</v>
      </c>
      <c r="H314" s="71">
        <f t="shared" si="47"/>
        <v>71</v>
      </c>
      <c r="I314" s="71">
        <f t="shared" si="47"/>
        <v>71</v>
      </c>
      <c r="J314" s="71">
        <f t="shared" si="47"/>
        <v>68</v>
      </c>
      <c r="K314" s="71">
        <f t="shared" si="47"/>
        <v>69</v>
      </c>
      <c r="L314" s="71">
        <f t="shared" si="47"/>
        <v>67</v>
      </c>
      <c r="M314" s="93">
        <f t="shared" si="47"/>
        <v>67</v>
      </c>
      <c r="N314" s="70">
        <f>MIN(D314:M314)</f>
        <v>67</v>
      </c>
      <c r="O314" s="71">
        <f>C314-N314</f>
        <v>4</v>
      </c>
      <c r="P314" s="40">
        <f>O314/C314</f>
        <v>5.6338028169014086E-2</v>
      </c>
    </row>
    <row r="315" spans="1:16" ht="10.5" customHeight="1">
      <c r="A315" s="66" t="s">
        <v>138</v>
      </c>
      <c r="B315" s="66" t="s">
        <v>23</v>
      </c>
      <c r="C315" s="66"/>
      <c r="D315" s="41"/>
      <c r="E315" s="72"/>
      <c r="F315" s="72"/>
      <c r="G315" s="72"/>
      <c r="H315" s="72"/>
      <c r="I315" s="72"/>
      <c r="J315" s="72"/>
      <c r="K315" s="72"/>
      <c r="L315" s="72"/>
      <c r="M315" s="73"/>
      <c r="N315" s="41"/>
      <c r="O315" s="72"/>
      <c r="P315" s="99"/>
    </row>
    <row r="316" spans="1:16" ht="9.75" customHeight="1">
      <c r="A316" s="18"/>
      <c r="B316" s="18" t="s">
        <v>25</v>
      </c>
      <c r="C316" s="18"/>
      <c r="D316" s="26"/>
      <c r="E316" s="2"/>
      <c r="F316" s="2"/>
      <c r="G316" s="2"/>
      <c r="H316" s="2"/>
      <c r="I316" s="2"/>
      <c r="J316" s="2"/>
      <c r="K316" s="2"/>
      <c r="L316" s="2"/>
      <c r="M316" s="27"/>
      <c r="N316" s="26"/>
      <c r="O316" s="2"/>
      <c r="P316" s="24"/>
    </row>
    <row r="317" spans="1:16" ht="9.75" customHeight="1">
      <c r="A317" s="18"/>
      <c r="B317" s="18" t="s">
        <v>27</v>
      </c>
      <c r="C317" s="18"/>
      <c r="D317" s="26"/>
      <c r="E317" s="2"/>
      <c r="F317" s="2"/>
      <c r="G317" s="2"/>
      <c r="H317" s="2"/>
      <c r="I317" s="2"/>
      <c r="J317" s="2"/>
      <c r="K317" s="2"/>
      <c r="L317" s="2"/>
      <c r="M317" s="27"/>
      <c r="N317" s="26"/>
      <c r="O317" s="2"/>
      <c r="P317" s="24"/>
    </row>
    <row r="318" spans="1:16" ht="9.75" customHeight="1">
      <c r="A318" s="18"/>
      <c r="B318" s="18" t="s">
        <v>99</v>
      </c>
      <c r="C318" s="18"/>
      <c r="D318" s="26"/>
      <c r="E318" s="2"/>
      <c r="F318" s="2"/>
      <c r="G318" s="2"/>
      <c r="H318" s="2"/>
      <c r="I318" s="2"/>
      <c r="J318" s="2"/>
      <c r="K318" s="2"/>
      <c r="L318" s="2"/>
      <c r="M318" s="27"/>
      <c r="N318" s="26"/>
      <c r="O318" s="2"/>
      <c r="P318" s="24"/>
    </row>
    <row r="319" spans="1:16" ht="9.75" customHeight="1">
      <c r="A319" s="18"/>
      <c r="B319" s="18" t="s">
        <v>99</v>
      </c>
      <c r="C319" s="18"/>
      <c r="D319" s="26"/>
      <c r="E319" s="2"/>
      <c r="F319" s="2"/>
      <c r="G319" s="2"/>
      <c r="H319" s="2"/>
      <c r="I319" s="2"/>
      <c r="J319" s="2"/>
      <c r="K319" s="2"/>
      <c r="L319" s="2"/>
      <c r="M319" s="27"/>
      <c r="N319" s="26"/>
      <c r="O319" s="2"/>
      <c r="P319" s="24"/>
    </row>
    <row r="320" spans="1:16" ht="9.75" customHeight="1">
      <c r="A320" s="18"/>
      <c r="B320" s="18" t="s">
        <v>32</v>
      </c>
      <c r="C320" s="18">
        <v>1</v>
      </c>
      <c r="D320" s="115">
        <v>1</v>
      </c>
      <c r="E320" s="116">
        <v>1</v>
      </c>
      <c r="F320" s="116">
        <v>1</v>
      </c>
      <c r="G320" s="116">
        <v>1</v>
      </c>
      <c r="H320" s="116">
        <v>1</v>
      </c>
      <c r="I320" s="52">
        <v>1</v>
      </c>
      <c r="J320" s="52">
        <v>1</v>
      </c>
      <c r="K320" s="52">
        <v>1</v>
      </c>
      <c r="L320" s="52">
        <v>0</v>
      </c>
      <c r="M320" s="87">
        <v>1</v>
      </c>
      <c r="N320" s="26">
        <f>MIN(D320:M320)</f>
        <v>0</v>
      </c>
      <c r="O320" s="2">
        <f>C320-N320</f>
        <v>1</v>
      </c>
      <c r="P320" s="24">
        <f>O320/C320</f>
        <v>1</v>
      </c>
    </row>
    <row r="321" spans="1:16" ht="9.75" customHeight="1">
      <c r="A321" s="18"/>
      <c r="B321" s="18" t="s">
        <v>104</v>
      </c>
      <c r="C321" s="18"/>
      <c r="D321" s="26"/>
      <c r="E321" s="2"/>
      <c r="F321" s="2"/>
      <c r="G321" s="2"/>
      <c r="H321" s="2"/>
      <c r="I321" s="111"/>
      <c r="J321" s="111"/>
      <c r="K321" s="111"/>
      <c r="L321" s="111"/>
      <c r="M321" s="112"/>
      <c r="N321" s="26"/>
      <c r="O321" s="2"/>
      <c r="P321" s="24"/>
    </row>
    <row r="322" spans="1:16" ht="9.75" customHeight="1">
      <c r="A322" s="18"/>
      <c r="B322" s="18" t="s">
        <v>104</v>
      </c>
      <c r="C322" s="18"/>
      <c r="D322" s="26"/>
      <c r="E322" s="2"/>
      <c r="F322" s="2"/>
      <c r="G322" s="2"/>
      <c r="H322" s="2"/>
      <c r="I322" s="111"/>
      <c r="J322" s="111"/>
      <c r="K322" s="111"/>
      <c r="L322" s="111"/>
      <c r="M322" s="112"/>
      <c r="N322" s="26"/>
      <c r="O322" s="2"/>
      <c r="P322" s="24"/>
    </row>
    <row r="323" spans="1:16" ht="9.75" customHeight="1">
      <c r="A323" s="18"/>
      <c r="B323" s="18" t="s">
        <v>104</v>
      </c>
      <c r="C323" s="18"/>
      <c r="D323" s="26"/>
      <c r="E323" s="2"/>
      <c r="F323" s="2"/>
      <c r="G323" s="2"/>
      <c r="H323" s="2"/>
      <c r="I323" s="111"/>
      <c r="J323" s="111"/>
      <c r="K323" s="111"/>
      <c r="L323" s="111"/>
      <c r="M323" s="112"/>
      <c r="N323" s="26"/>
      <c r="O323" s="2"/>
      <c r="P323" s="24"/>
    </row>
    <row r="324" spans="1:16" ht="9.75" customHeight="1">
      <c r="A324" s="18"/>
      <c r="B324" s="18" t="s">
        <v>104</v>
      </c>
      <c r="C324" s="18"/>
      <c r="D324" s="26"/>
      <c r="E324" s="2"/>
      <c r="F324" s="2"/>
      <c r="G324" s="2"/>
      <c r="H324" s="2"/>
      <c r="I324" s="111"/>
      <c r="J324" s="111"/>
      <c r="K324" s="111"/>
      <c r="L324" s="111"/>
      <c r="M324" s="112"/>
      <c r="N324" s="26"/>
      <c r="O324" s="2"/>
      <c r="P324" s="24"/>
    </row>
    <row r="325" spans="1:16" ht="9.75" customHeight="1">
      <c r="A325" s="18"/>
      <c r="B325" s="18" t="s">
        <v>104</v>
      </c>
      <c r="C325" s="18"/>
      <c r="D325" s="26"/>
      <c r="E325" s="2"/>
      <c r="F325" s="2"/>
      <c r="G325" s="2"/>
      <c r="H325" s="2"/>
      <c r="I325" s="111"/>
      <c r="J325" s="111"/>
      <c r="K325" s="111"/>
      <c r="L325" s="111"/>
      <c r="M325" s="112"/>
      <c r="N325" s="26"/>
      <c r="O325" s="2"/>
      <c r="P325" s="24"/>
    </row>
    <row r="326" spans="1:16" ht="9.75" customHeight="1">
      <c r="A326" s="18"/>
      <c r="B326" s="18" t="s">
        <v>104</v>
      </c>
      <c r="C326" s="18"/>
      <c r="D326" s="26"/>
      <c r="E326" s="2"/>
      <c r="F326" s="2"/>
      <c r="G326" s="2"/>
      <c r="H326" s="2"/>
      <c r="I326" s="111"/>
      <c r="J326" s="111"/>
      <c r="K326" s="111"/>
      <c r="L326" s="111"/>
      <c r="M326" s="112"/>
      <c r="N326" s="26"/>
      <c r="O326" s="2"/>
      <c r="P326" s="24"/>
    </row>
    <row r="327" spans="1:16" ht="9.75" customHeight="1">
      <c r="A327" s="18"/>
      <c r="B327" s="18" t="s">
        <v>34</v>
      </c>
      <c r="C327" s="18">
        <v>12</v>
      </c>
      <c r="D327" s="115">
        <v>10</v>
      </c>
      <c r="E327" s="116">
        <v>10</v>
      </c>
      <c r="F327" s="116">
        <v>8</v>
      </c>
      <c r="G327" s="116">
        <v>8</v>
      </c>
      <c r="H327" s="116">
        <v>8</v>
      </c>
      <c r="I327" s="52">
        <v>8</v>
      </c>
      <c r="J327" s="52">
        <v>7</v>
      </c>
      <c r="K327" s="52">
        <v>9</v>
      </c>
      <c r="L327" s="52">
        <v>10</v>
      </c>
      <c r="M327" s="87">
        <v>12</v>
      </c>
      <c r="N327" s="26">
        <f>MIN(D327:M327)</f>
        <v>7</v>
      </c>
      <c r="O327" s="2">
        <f>C327-N327</f>
        <v>5</v>
      </c>
      <c r="P327" s="24">
        <f>O327/C327</f>
        <v>0.41666666666666669</v>
      </c>
    </row>
    <row r="328" spans="1:16" ht="9.75" customHeight="1">
      <c r="A328" s="18"/>
      <c r="B328" s="18" t="s">
        <v>35</v>
      </c>
      <c r="C328" s="18"/>
      <c r="D328" s="26"/>
      <c r="E328" s="2"/>
      <c r="F328" s="2"/>
      <c r="G328" s="2"/>
      <c r="H328" s="2"/>
      <c r="I328" s="2"/>
      <c r="J328" s="2"/>
      <c r="K328" s="2"/>
      <c r="L328" s="2"/>
      <c r="M328" s="27"/>
      <c r="N328" s="26"/>
      <c r="O328" s="2"/>
      <c r="P328" s="24"/>
    </row>
    <row r="329" spans="1:16" ht="9.75" customHeight="1">
      <c r="A329" s="18"/>
      <c r="B329" s="18" t="s">
        <v>36</v>
      </c>
      <c r="C329" s="18"/>
      <c r="D329" s="26"/>
      <c r="E329" s="2"/>
      <c r="F329" s="2"/>
      <c r="G329" s="2"/>
      <c r="H329" s="2"/>
      <c r="I329" s="2"/>
      <c r="J329" s="2"/>
      <c r="K329" s="2"/>
      <c r="L329" s="2"/>
      <c r="M329" s="27"/>
      <c r="N329" s="26"/>
      <c r="O329" s="2"/>
      <c r="P329" s="24"/>
    </row>
    <row r="330" spans="1:16" ht="9.75" customHeight="1">
      <c r="A330" s="18"/>
      <c r="B330" s="18" t="s">
        <v>37</v>
      </c>
      <c r="C330" s="18"/>
      <c r="D330" s="26"/>
      <c r="E330" s="2"/>
      <c r="F330" s="2"/>
      <c r="G330" s="2"/>
      <c r="H330" s="2"/>
      <c r="I330" s="2"/>
      <c r="J330" s="2"/>
      <c r="K330" s="2"/>
      <c r="L330" s="2"/>
      <c r="M330" s="27"/>
      <c r="N330" s="26"/>
      <c r="O330" s="2"/>
      <c r="P330" s="24"/>
    </row>
    <row r="331" spans="1:16" ht="9.75" customHeight="1">
      <c r="A331" s="32"/>
      <c r="B331" s="33" t="s">
        <v>38</v>
      </c>
      <c r="C331" s="33">
        <f t="shared" ref="C331:M331" si="48">SUM(C315:C330)</f>
        <v>13</v>
      </c>
      <c r="D331" s="70">
        <f t="shared" si="48"/>
        <v>11</v>
      </c>
      <c r="E331" s="71">
        <f t="shared" si="48"/>
        <v>11</v>
      </c>
      <c r="F331" s="71">
        <f t="shared" si="48"/>
        <v>9</v>
      </c>
      <c r="G331" s="71">
        <f t="shared" si="48"/>
        <v>9</v>
      </c>
      <c r="H331" s="71">
        <f t="shared" si="48"/>
        <v>9</v>
      </c>
      <c r="I331" s="71">
        <f t="shared" si="48"/>
        <v>9</v>
      </c>
      <c r="J331" s="71">
        <f t="shared" si="48"/>
        <v>8</v>
      </c>
      <c r="K331" s="71">
        <f t="shared" si="48"/>
        <v>10</v>
      </c>
      <c r="L331" s="71">
        <f t="shared" si="48"/>
        <v>10</v>
      </c>
      <c r="M331" s="93">
        <f t="shared" si="48"/>
        <v>13</v>
      </c>
      <c r="N331" s="70">
        <f>MIN(D331:M331)</f>
        <v>8</v>
      </c>
      <c r="O331" s="71">
        <f>C331-N331</f>
        <v>5</v>
      </c>
      <c r="P331" s="40">
        <f>O331/C331</f>
        <v>0.38461538461538464</v>
      </c>
    </row>
    <row r="332" spans="1:16" ht="9.75" customHeight="1">
      <c r="A332" s="66" t="s">
        <v>139</v>
      </c>
      <c r="B332" s="66" t="s">
        <v>23</v>
      </c>
      <c r="C332" s="66"/>
      <c r="D332" s="41"/>
      <c r="E332" s="72"/>
      <c r="F332" s="72"/>
      <c r="G332" s="72"/>
      <c r="H332" s="72"/>
      <c r="I332" s="72"/>
      <c r="J332" s="72"/>
      <c r="K332" s="72"/>
      <c r="L332" s="72"/>
      <c r="M332" s="73"/>
      <c r="N332" s="41"/>
      <c r="O332" s="72"/>
      <c r="P332" s="99"/>
    </row>
    <row r="333" spans="1:16" ht="9.75" customHeight="1">
      <c r="A333" s="18"/>
      <c r="B333" s="18" t="s">
        <v>25</v>
      </c>
      <c r="C333" s="18">
        <f>346-13</f>
        <v>333</v>
      </c>
      <c r="D333" s="26">
        <f>C333-13</f>
        <v>320</v>
      </c>
      <c r="E333" s="2">
        <f>C333-15</f>
        <v>318</v>
      </c>
      <c r="F333" s="2">
        <f>C333-23</f>
        <v>310</v>
      </c>
      <c r="G333" s="2">
        <f>C333-25</f>
        <v>308</v>
      </c>
      <c r="H333" s="2">
        <f>C333-27</f>
        <v>306</v>
      </c>
      <c r="I333" s="52">
        <f>C333-22</f>
        <v>311</v>
      </c>
      <c r="J333" s="52">
        <f>C333-26</f>
        <v>307</v>
      </c>
      <c r="K333" s="52">
        <f>C333-22</f>
        <v>311</v>
      </c>
      <c r="L333" s="52">
        <f>C333-23</f>
        <v>310</v>
      </c>
      <c r="M333" s="87">
        <f>C333-24</f>
        <v>309</v>
      </c>
      <c r="N333" s="26">
        <f t="shared" ref="N333:N334" si="49">MIN(D333:M333)</f>
        <v>306</v>
      </c>
      <c r="O333" s="2">
        <f t="shared" ref="O333:O334" si="50">C333-N333</f>
        <v>27</v>
      </c>
      <c r="P333" s="24">
        <f t="shared" ref="P333:P334" si="51">O333/C333</f>
        <v>8.1081081081081086E-2</v>
      </c>
    </row>
    <row r="334" spans="1:16" ht="9.75" customHeight="1">
      <c r="A334" s="18"/>
      <c r="B334" s="18" t="s">
        <v>27</v>
      </c>
      <c r="C334" s="18">
        <v>38</v>
      </c>
      <c r="D334" s="115">
        <v>30</v>
      </c>
      <c r="E334" s="116">
        <v>30</v>
      </c>
      <c r="F334" s="116">
        <v>36</v>
      </c>
      <c r="G334" s="116">
        <v>36</v>
      </c>
      <c r="H334" s="116">
        <v>36</v>
      </c>
      <c r="I334" s="52">
        <v>37</v>
      </c>
      <c r="J334" s="52">
        <v>37</v>
      </c>
      <c r="K334" s="52">
        <v>36</v>
      </c>
      <c r="L334" s="52">
        <v>35</v>
      </c>
      <c r="M334" s="87">
        <v>36</v>
      </c>
      <c r="N334" s="26">
        <f t="shared" si="49"/>
        <v>30</v>
      </c>
      <c r="O334" s="2">
        <f t="shared" si="50"/>
        <v>8</v>
      </c>
      <c r="P334" s="24">
        <f t="shared" si="51"/>
        <v>0.21052631578947367</v>
      </c>
    </row>
    <row r="335" spans="1:16" ht="9.75" customHeight="1">
      <c r="A335" s="18"/>
      <c r="B335" s="18" t="s">
        <v>99</v>
      </c>
      <c r="C335" s="18">
        <v>13</v>
      </c>
      <c r="D335" s="115">
        <v>12</v>
      </c>
      <c r="E335" s="116">
        <v>11</v>
      </c>
      <c r="F335" s="116">
        <v>12</v>
      </c>
      <c r="G335" s="116">
        <v>11</v>
      </c>
      <c r="H335" s="116">
        <v>11</v>
      </c>
      <c r="I335" s="52">
        <v>11</v>
      </c>
      <c r="J335" s="52">
        <v>11</v>
      </c>
      <c r="K335" s="52">
        <v>10</v>
      </c>
      <c r="L335" s="52">
        <v>11</v>
      </c>
      <c r="M335" s="87">
        <v>12</v>
      </c>
      <c r="N335" s="26"/>
      <c r="O335" s="2"/>
      <c r="P335" s="24"/>
    </row>
    <row r="336" spans="1:16" ht="9.75" customHeight="1">
      <c r="A336" s="18"/>
      <c r="B336" s="18" t="s">
        <v>99</v>
      </c>
      <c r="C336" s="18"/>
      <c r="D336" s="26"/>
      <c r="E336" s="2"/>
      <c r="F336" s="2"/>
      <c r="G336" s="2"/>
      <c r="H336" s="2"/>
      <c r="I336" s="111"/>
      <c r="J336" s="111"/>
      <c r="K336" s="111"/>
      <c r="L336" s="111"/>
      <c r="M336" s="112"/>
      <c r="N336" s="26"/>
      <c r="O336" s="2"/>
      <c r="P336" s="24"/>
    </row>
    <row r="337" spans="1:16" ht="9.75" customHeight="1">
      <c r="A337" s="18"/>
      <c r="B337" s="18" t="s">
        <v>32</v>
      </c>
      <c r="C337" s="18"/>
      <c r="D337" s="26"/>
      <c r="E337" s="2"/>
      <c r="F337" s="2"/>
      <c r="G337" s="2"/>
      <c r="H337" s="2"/>
      <c r="I337" s="111"/>
      <c r="J337" s="111"/>
      <c r="K337" s="111"/>
      <c r="L337" s="111"/>
      <c r="M337" s="112"/>
      <c r="N337" s="26"/>
      <c r="O337" s="2"/>
      <c r="P337" s="24"/>
    </row>
    <row r="338" spans="1:16" ht="9.75" customHeight="1">
      <c r="A338" s="18"/>
      <c r="B338" s="18" t="s">
        <v>140</v>
      </c>
      <c r="C338" s="18">
        <v>6</v>
      </c>
      <c r="D338" s="115">
        <v>5</v>
      </c>
      <c r="E338" s="116">
        <v>4</v>
      </c>
      <c r="F338" s="116">
        <v>3</v>
      </c>
      <c r="G338" s="116">
        <v>3</v>
      </c>
      <c r="H338" s="116">
        <v>2</v>
      </c>
      <c r="I338" s="52">
        <v>4</v>
      </c>
      <c r="J338" s="52">
        <v>5</v>
      </c>
      <c r="K338" s="52">
        <v>5</v>
      </c>
      <c r="L338" s="52">
        <v>6</v>
      </c>
      <c r="M338" s="87">
        <v>6</v>
      </c>
      <c r="N338" s="26">
        <f t="shared" ref="N338:N339" si="52">MIN(D338:M338)</f>
        <v>2</v>
      </c>
      <c r="O338" s="2">
        <f t="shared" ref="O338:O339" si="53">C338-N338</f>
        <v>4</v>
      </c>
      <c r="P338" s="24">
        <f t="shared" ref="P338:P339" si="54">O338/C338</f>
        <v>0.66666666666666663</v>
      </c>
    </row>
    <row r="339" spans="1:16" ht="9.75" customHeight="1">
      <c r="A339" s="18"/>
      <c r="B339" s="18" t="s">
        <v>141</v>
      </c>
      <c r="C339" s="18">
        <v>9</v>
      </c>
      <c r="D339" s="115">
        <v>9</v>
      </c>
      <c r="E339" s="116">
        <v>9</v>
      </c>
      <c r="F339" s="116">
        <v>9</v>
      </c>
      <c r="G339" s="116">
        <v>9</v>
      </c>
      <c r="H339" s="116">
        <v>9</v>
      </c>
      <c r="I339" s="52">
        <v>9</v>
      </c>
      <c r="J339" s="52">
        <v>9</v>
      </c>
      <c r="K339" s="52">
        <v>9</v>
      </c>
      <c r="L339" s="52">
        <v>9</v>
      </c>
      <c r="M339" s="87">
        <v>9</v>
      </c>
      <c r="N339" s="26">
        <f t="shared" si="52"/>
        <v>9</v>
      </c>
      <c r="O339" s="2">
        <f t="shared" si="53"/>
        <v>0</v>
      </c>
      <c r="P339" s="24">
        <f t="shared" si="54"/>
        <v>0</v>
      </c>
    </row>
    <row r="340" spans="1:16" ht="9.75" customHeight="1">
      <c r="A340" s="18"/>
      <c r="B340" s="18" t="s">
        <v>104</v>
      </c>
      <c r="C340" s="18"/>
      <c r="D340" s="26"/>
      <c r="E340" s="2"/>
      <c r="F340" s="2"/>
      <c r="G340" s="2"/>
      <c r="H340" s="2"/>
      <c r="I340" s="111"/>
      <c r="J340" s="111"/>
      <c r="K340" s="111"/>
      <c r="L340" s="111"/>
      <c r="M340" s="112"/>
      <c r="N340" s="26"/>
      <c r="O340" s="2"/>
      <c r="P340" s="24"/>
    </row>
    <row r="341" spans="1:16" ht="9.75" customHeight="1">
      <c r="A341" s="18"/>
      <c r="B341" s="18" t="s">
        <v>104</v>
      </c>
      <c r="C341" s="18"/>
      <c r="D341" s="26"/>
      <c r="E341" s="2"/>
      <c r="F341" s="2"/>
      <c r="G341" s="2"/>
      <c r="H341" s="2"/>
      <c r="I341" s="111"/>
      <c r="J341" s="111"/>
      <c r="K341" s="111"/>
      <c r="L341" s="111"/>
      <c r="M341" s="112"/>
      <c r="N341" s="26"/>
      <c r="O341" s="2"/>
      <c r="P341" s="24"/>
    </row>
    <row r="342" spans="1:16" ht="9.75" customHeight="1">
      <c r="A342" s="18"/>
      <c r="B342" s="18" t="s">
        <v>104</v>
      </c>
      <c r="C342" s="18"/>
      <c r="D342" s="26"/>
      <c r="E342" s="2"/>
      <c r="F342" s="2"/>
      <c r="G342" s="2"/>
      <c r="H342" s="2"/>
      <c r="I342" s="111"/>
      <c r="J342" s="111"/>
      <c r="K342" s="111"/>
      <c r="L342" s="111"/>
      <c r="M342" s="112"/>
      <c r="N342" s="26"/>
      <c r="O342" s="2"/>
      <c r="P342" s="24"/>
    </row>
    <row r="343" spans="1:16" ht="9.75" customHeight="1">
      <c r="A343" s="18"/>
      <c r="B343" s="18" t="s">
        <v>104</v>
      </c>
      <c r="C343" s="18"/>
      <c r="D343" s="26"/>
      <c r="E343" s="2"/>
      <c r="F343" s="2"/>
      <c r="G343" s="2"/>
      <c r="H343" s="2"/>
      <c r="I343" s="111"/>
      <c r="J343" s="111"/>
      <c r="K343" s="111"/>
      <c r="L343" s="111"/>
      <c r="M343" s="112"/>
      <c r="N343" s="26"/>
      <c r="O343" s="2"/>
      <c r="P343" s="24"/>
    </row>
    <row r="344" spans="1:16" ht="9.75" customHeight="1">
      <c r="A344" s="18"/>
      <c r="B344" s="18" t="s">
        <v>34</v>
      </c>
      <c r="C344" s="18">
        <v>10</v>
      </c>
      <c r="D344" s="115">
        <v>10</v>
      </c>
      <c r="E344" s="116">
        <v>10</v>
      </c>
      <c r="F344" s="116">
        <v>10</v>
      </c>
      <c r="G344" s="116">
        <v>10</v>
      </c>
      <c r="H344" s="116">
        <v>10</v>
      </c>
      <c r="I344" s="52">
        <v>10</v>
      </c>
      <c r="J344" s="52">
        <v>10</v>
      </c>
      <c r="K344" s="52">
        <v>10</v>
      </c>
      <c r="L344" s="52">
        <v>10</v>
      </c>
      <c r="M344" s="87">
        <v>10</v>
      </c>
      <c r="N344" s="26">
        <f>MIN(D344:M344)</f>
        <v>10</v>
      </c>
      <c r="O344" s="2">
        <f>C344-N344</f>
        <v>0</v>
      </c>
      <c r="P344" s="24">
        <f>O344/C344</f>
        <v>0</v>
      </c>
    </row>
    <row r="345" spans="1:16" ht="9.75" customHeight="1">
      <c r="A345" s="18"/>
      <c r="B345" s="18" t="s">
        <v>35</v>
      </c>
      <c r="C345" s="18"/>
      <c r="D345" s="26"/>
      <c r="E345" s="2"/>
      <c r="F345" s="2"/>
      <c r="G345" s="2"/>
      <c r="H345" s="2"/>
      <c r="I345" s="111"/>
      <c r="J345" s="111"/>
      <c r="K345" s="111"/>
      <c r="L345" s="111"/>
      <c r="M345" s="112"/>
      <c r="N345" s="26"/>
      <c r="O345" s="2"/>
      <c r="P345" s="24"/>
    </row>
    <row r="346" spans="1:16" ht="9.75" customHeight="1">
      <c r="A346" s="18"/>
      <c r="B346" s="18" t="s">
        <v>36</v>
      </c>
      <c r="C346" s="18">
        <v>4</v>
      </c>
      <c r="D346" s="115">
        <v>3</v>
      </c>
      <c r="E346" s="116">
        <v>3</v>
      </c>
      <c r="F346" s="116">
        <v>4</v>
      </c>
      <c r="G346" s="116">
        <v>4</v>
      </c>
      <c r="H346" s="116">
        <v>4</v>
      </c>
      <c r="I346" s="52">
        <v>3</v>
      </c>
      <c r="J346" s="52">
        <v>3</v>
      </c>
      <c r="K346" s="52">
        <v>3</v>
      </c>
      <c r="L346" s="52">
        <v>3</v>
      </c>
      <c r="M346" s="87">
        <v>3</v>
      </c>
      <c r="N346" s="26">
        <f>MIN(D346:M346)</f>
        <v>3</v>
      </c>
      <c r="O346" s="2">
        <f>C346-N346</f>
        <v>1</v>
      </c>
      <c r="P346" s="24">
        <f>O346/C346</f>
        <v>0.25</v>
      </c>
    </row>
    <row r="347" spans="1:16" ht="9.75" customHeight="1">
      <c r="A347" s="18"/>
      <c r="B347" s="18" t="s">
        <v>142</v>
      </c>
      <c r="C347" s="18"/>
      <c r="D347" s="26"/>
      <c r="E347" s="2"/>
      <c r="F347" s="2"/>
      <c r="G347" s="2"/>
      <c r="H347" s="2"/>
      <c r="I347" s="2"/>
      <c r="J347" s="2"/>
      <c r="K347" s="2"/>
      <c r="L347" s="2"/>
      <c r="M347" s="27"/>
      <c r="N347" s="26"/>
      <c r="O347" s="2"/>
      <c r="P347" s="24"/>
    </row>
    <row r="348" spans="1:16" ht="9.75" customHeight="1">
      <c r="A348" s="32"/>
      <c r="B348" s="33" t="s">
        <v>38</v>
      </c>
      <c r="C348" s="33">
        <f t="shared" ref="C348:M348" si="55">SUM(C332:C347)</f>
        <v>413</v>
      </c>
      <c r="D348" s="70">
        <f t="shared" si="55"/>
        <v>389</v>
      </c>
      <c r="E348" s="71">
        <f t="shared" si="55"/>
        <v>385</v>
      </c>
      <c r="F348" s="71">
        <f t="shared" si="55"/>
        <v>384</v>
      </c>
      <c r="G348" s="71">
        <f t="shared" si="55"/>
        <v>381</v>
      </c>
      <c r="H348" s="71">
        <f t="shared" si="55"/>
        <v>378</v>
      </c>
      <c r="I348" s="71">
        <f t="shared" si="55"/>
        <v>385</v>
      </c>
      <c r="J348" s="71">
        <f t="shared" si="55"/>
        <v>382</v>
      </c>
      <c r="K348" s="71">
        <f t="shared" si="55"/>
        <v>384</v>
      </c>
      <c r="L348" s="71">
        <f t="shared" si="55"/>
        <v>384</v>
      </c>
      <c r="M348" s="93">
        <f t="shared" si="55"/>
        <v>385</v>
      </c>
      <c r="N348" s="70">
        <f t="shared" ref="N348:N352" si="56">MIN(D348:M348)</f>
        <v>378</v>
      </c>
      <c r="O348" s="71">
        <f t="shared" ref="O348:O352" si="57">C348-N348</f>
        <v>35</v>
      </c>
      <c r="P348" s="40">
        <f t="shared" ref="P348:P352" si="58">O348/C348</f>
        <v>8.4745762711864403E-2</v>
      </c>
    </row>
    <row r="349" spans="1:16" ht="9.75" customHeight="1">
      <c r="A349" s="18" t="s">
        <v>143</v>
      </c>
      <c r="B349" s="131" t="s">
        <v>144</v>
      </c>
      <c r="C349" s="18">
        <v>248</v>
      </c>
      <c r="D349" s="26">
        <f>C349-36-38-22</f>
        <v>152</v>
      </c>
      <c r="E349" s="2">
        <f>30+20+(135-55)</f>
        <v>130</v>
      </c>
      <c r="F349" s="2">
        <f>14+30+(135-70)</f>
        <v>109</v>
      </c>
      <c r="G349" s="2">
        <f>13+12+(135-80)</f>
        <v>80</v>
      </c>
      <c r="H349" s="2">
        <f>10+10+(135-89)</f>
        <v>66</v>
      </c>
      <c r="I349" s="132">
        <v>92</v>
      </c>
      <c r="J349" s="132">
        <v>84</v>
      </c>
      <c r="K349" s="132">
        <v>88</v>
      </c>
      <c r="L349" s="132">
        <v>95</v>
      </c>
      <c r="M349" s="133">
        <v>113</v>
      </c>
      <c r="N349" s="134">
        <f t="shared" si="56"/>
        <v>66</v>
      </c>
      <c r="O349" s="135">
        <f t="shared" si="57"/>
        <v>182</v>
      </c>
      <c r="P349" s="136">
        <f t="shared" si="58"/>
        <v>0.7338709677419355</v>
      </c>
    </row>
    <row r="350" spans="1:16" ht="9.75" customHeight="1">
      <c r="A350" s="18"/>
      <c r="B350" s="131" t="s">
        <v>70</v>
      </c>
      <c r="C350" s="18">
        <v>33</v>
      </c>
      <c r="D350" s="115">
        <v>33</v>
      </c>
      <c r="E350" s="2">
        <f>33-8</f>
        <v>25</v>
      </c>
      <c r="F350" s="116">
        <v>25</v>
      </c>
      <c r="G350" s="2">
        <f t="shared" ref="G350:H350" si="59">33-12</f>
        <v>21</v>
      </c>
      <c r="H350" s="2">
        <f t="shared" si="59"/>
        <v>21</v>
      </c>
      <c r="I350" s="137">
        <v>22</v>
      </c>
      <c r="J350" s="137">
        <v>20</v>
      </c>
      <c r="K350" s="137">
        <v>21</v>
      </c>
      <c r="L350" s="137">
        <v>21</v>
      </c>
      <c r="M350" s="138">
        <v>23</v>
      </c>
      <c r="N350" s="26">
        <f t="shared" si="56"/>
        <v>20</v>
      </c>
      <c r="O350" s="2">
        <f t="shared" si="57"/>
        <v>13</v>
      </c>
      <c r="P350" s="24">
        <f t="shared" si="58"/>
        <v>0.39393939393939392</v>
      </c>
    </row>
    <row r="351" spans="1:16" ht="9.75" customHeight="1">
      <c r="A351" s="18"/>
      <c r="B351" s="139" t="s">
        <v>71</v>
      </c>
      <c r="C351" s="87">
        <v>13</v>
      </c>
      <c r="D351" s="140">
        <v>3</v>
      </c>
      <c r="E351" s="140">
        <v>2</v>
      </c>
      <c r="F351" s="140">
        <v>2</v>
      </c>
      <c r="G351" s="140">
        <v>2</v>
      </c>
      <c r="H351" s="140">
        <v>2</v>
      </c>
      <c r="I351" s="137">
        <v>3</v>
      </c>
      <c r="J351" s="137">
        <v>3</v>
      </c>
      <c r="K351" s="137">
        <v>3</v>
      </c>
      <c r="L351" s="137">
        <v>3</v>
      </c>
      <c r="M351" s="138">
        <v>3</v>
      </c>
      <c r="N351" s="19">
        <f t="shared" si="56"/>
        <v>2</v>
      </c>
      <c r="O351" s="23">
        <f t="shared" si="57"/>
        <v>11</v>
      </c>
      <c r="P351" s="24">
        <f t="shared" si="58"/>
        <v>0.84615384615384615</v>
      </c>
    </row>
    <row r="352" spans="1:16" ht="9.75" customHeight="1">
      <c r="A352" s="18"/>
      <c r="B352" s="18" t="s">
        <v>25</v>
      </c>
      <c r="C352" s="18">
        <v>77</v>
      </c>
      <c r="D352" s="26">
        <f>C352-25-22</f>
        <v>30</v>
      </c>
      <c r="E352" s="116">
        <v>30</v>
      </c>
      <c r="F352" s="116">
        <v>19</v>
      </c>
      <c r="G352" s="116">
        <v>10</v>
      </c>
      <c r="H352" s="116">
        <v>7</v>
      </c>
      <c r="I352" s="137">
        <v>5</v>
      </c>
      <c r="J352" s="137">
        <v>7</v>
      </c>
      <c r="K352" s="137">
        <v>9</v>
      </c>
      <c r="L352" s="137">
        <v>16</v>
      </c>
      <c r="M352" s="138">
        <v>39</v>
      </c>
      <c r="N352" s="26">
        <f t="shared" si="56"/>
        <v>5</v>
      </c>
      <c r="O352" s="2">
        <f t="shared" si="57"/>
        <v>72</v>
      </c>
      <c r="P352" s="24">
        <f t="shared" si="58"/>
        <v>0.93506493506493504</v>
      </c>
    </row>
    <row r="353" spans="1:16" ht="9.75" customHeight="1">
      <c r="A353" s="18"/>
      <c r="B353" s="18" t="s">
        <v>27</v>
      </c>
      <c r="C353" s="18"/>
      <c r="D353" s="26"/>
      <c r="E353" s="2"/>
      <c r="F353" s="2"/>
      <c r="G353" s="2"/>
      <c r="H353" s="2"/>
      <c r="I353" s="111"/>
      <c r="J353" s="111"/>
      <c r="K353" s="111"/>
      <c r="L353" s="111"/>
      <c r="M353" s="112"/>
      <c r="N353" s="26"/>
      <c r="O353" s="2"/>
      <c r="P353" s="24"/>
    </row>
    <row r="354" spans="1:16" ht="9.75" customHeight="1">
      <c r="A354" s="18"/>
      <c r="B354" s="18" t="s">
        <v>128</v>
      </c>
      <c r="C354" s="18">
        <v>12</v>
      </c>
      <c r="D354" s="123"/>
      <c r="E354" s="141" t="s">
        <v>145</v>
      </c>
      <c r="F354" s="124"/>
      <c r="G354" s="124"/>
      <c r="H354" s="124"/>
      <c r="I354" s="127"/>
      <c r="J354" s="127"/>
      <c r="K354" s="127"/>
      <c r="L354" s="127"/>
      <c r="M354" s="128"/>
      <c r="N354" s="26">
        <f>MIN(D354:M354)</f>
        <v>0</v>
      </c>
      <c r="O354" s="2">
        <f>C354-N354</f>
        <v>12</v>
      </c>
      <c r="P354" s="24">
        <f>O354/C354</f>
        <v>1</v>
      </c>
    </row>
    <row r="355" spans="1:16" ht="9.75" customHeight="1">
      <c r="A355" s="18"/>
      <c r="B355" s="18" t="s">
        <v>99</v>
      </c>
      <c r="C355" s="18"/>
      <c r="D355" s="26"/>
      <c r="E355" s="2"/>
      <c r="F355" s="2"/>
      <c r="G355" s="2"/>
      <c r="H355" s="2"/>
      <c r="I355" s="111"/>
      <c r="J355" s="111"/>
      <c r="K355" s="111"/>
      <c r="L355" s="111"/>
      <c r="M355" s="112"/>
      <c r="N355" s="26"/>
      <c r="O355" s="2"/>
      <c r="P355" s="24"/>
    </row>
    <row r="356" spans="1:16" ht="9.75" customHeight="1">
      <c r="A356" s="18"/>
      <c r="B356" s="18" t="s">
        <v>32</v>
      </c>
      <c r="C356" s="18">
        <v>10</v>
      </c>
      <c r="D356" s="115">
        <v>8</v>
      </c>
      <c r="E356" s="116">
        <v>8</v>
      </c>
      <c r="F356" s="116">
        <v>8</v>
      </c>
      <c r="G356" s="116">
        <v>8</v>
      </c>
      <c r="H356" s="116">
        <v>8</v>
      </c>
      <c r="I356" s="137">
        <v>7</v>
      </c>
      <c r="J356" s="137">
        <v>8</v>
      </c>
      <c r="K356" s="137">
        <v>8</v>
      </c>
      <c r="L356" s="137">
        <v>7</v>
      </c>
      <c r="M356" s="138">
        <v>8</v>
      </c>
      <c r="N356" s="26">
        <f t="shared" ref="N356:N358" si="60">MIN(D356:M356)</f>
        <v>7</v>
      </c>
      <c r="O356" s="2">
        <f t="shared" ref="O356:O358" si="61">C356-N356</f>
        <v>3</v>
      </c>
      <c r="P356" s="24">
        <f t="shared" ref="P356:P358" si="62">O356/C356</f>
        <v>0.3</v>
      </c>
    </row>
    <row r="357" spans="1:16" ht="9.75" customHeight="1">
      <c r="A357" s="18"/>
      <c r="B357" s="18" t="s">
        <v>146</v>
      </c>
      <c r="C357" s="18">
        <v>4</v>
      </c>
      <c r="D357" s="115">
        <v>2</v>
      </c>
      <c r="E357" s="116">
        <v>2</v>
      </c>
      <c r="F357" s="116">
        <v>2</v>
      </c>
      <c r="G357" s="116">
        <v>2</v>
      </c>
      <c r="H357" s="116">
        <v>2</v>
      </c>
      <c r="I357" s="137">
        <v>3</v>
      </c>
      <c r="J357" s="137">
        <v>3</v>
      </c>
      <c r="K357" s="137">
        <v>2</v>
      </c>
      <c r="L357" s="137">
        <v>3</v>
      </c>
      <c r="M357" s="138">
        <v>2</v>
      </c>
      <c r="N357" s="26">
        <f t="shared" si="60"/>
        <v>2</v>
      </c>
      <c r="O357" s="2">
        <f t="shared" si="61"/>
        <v>2</v>
      </c>
      <c r="P357" s="24">
        <f t="shared" si="62"/>
        <v>0.5</v>
      </c>
    </row>
    <row r="358" spans="1:16" ht="9.75" customHeight="1">
      <c r="A358" s="18"/>
      <c r="B358" s="18" t="s">
        <v>102</v>
      </c>
      <c r="C358" s="18">
        <v>2</v>
      </c>
      <c r="D358" s="115">
        <v>2</v>
      </c>
      <c r="E358" s="116">
        <v>2</v>
      </c>
      <c r="F358" s="116">
        <v>2</v>
      </c>
      <c r="G358" s="116">
        <v>2</v>
      </c>
      <c r="H358" s="116">
        <v>2</v>
      </c>
      <c r="I358" s="137">
        <v>2</v>
      </c>
      <c r="J358" s="137">
        <v>2</v>
      </c>
      <c r="K358" s="137">
        <v>2</v>
      </c>
      <c r="L358" s="137">
        <v>2</v>
      </c>
      <c r="M358" s="138">
        <v>2</v>
      </c>
      <c r="N358" s="26">
        <f t="shared" si="60"/>
        <v>2</v>
      </c>
      <c r="O358" s="2">
        <f t="shared" si="61"/>
        <v>0</v>
      </c>
      <c r="P358" s="24">
        <f t="shared" si="62"/>
        <v>0</v>
      </c>
    </row>
    <row r="359" spans="1:16" ht="9.75" customHeight="1">
      <c r="A359" s="18"/>
      <c r="B359" s="18" t="s">
        <v>104</v>
      </c>
      <c r="C359" s="18"/>
      <c r="D359" s="26"/>
      <c r="E359" s="2"/>
      <c r="F359" s="2"/>
      <c r="G359" s="2"/>
      <c r="H359" s="2"/>
      <c r="I359" s="111"/>
      <c r="J359" s="111"/>
      <c r="K359" s="111"/>
      <c r="L359" s="111"/>
      <c r="M359" s="112"/>
      <c r="N359" s="26"/>
      <c r="O359" s="2"/>
      <c r="P359" s="24"/>
    </row>
    <row r="360" spans="1:16" ht="9.75" customHeight="1">
      <c r="A360" s="18"/>
      <c r="B360" s="18" t="s">
        <v>104</v>
      </c>
      <c r="C360" s="18"/>
      <c r="D360" s="26"/>
      <c r="E360" s="2"/>
      <c r="F360" s="2"/>
      <c r="G360" s="2"/>
      <c r="H360" s="2"/>
      <c r="I360" s="111"/>
      <c r="J360" s="111"/>
      <c r="K360" s="111"/>
      <c r="L360" s="111"/>
      <c r="M360" s="112"/>
      <c r="N360" s="26"/>
      <c r="O360" s="2"/>
      <c r="P360" s="24"/>
    </row>
    <row r="361" spans="1:16" ht="9.75" customHeight="1">
      <c r="A361" s="18"/>
      <c r="B361" s="18" t="s">
        <v>104</v>
      </c>
      <c r="C361" s="18"/>
      <c r="D361" s="26"/>
      <c r="E361" s="2"/>
      <c r="F361" s="2"/>
      <c r="G361" s="2"/>
      <c r="H361" s="2"/>
      <c r="I361" s="111"/>
      <c r="J361" s="111"/>
      <c r="K361" s="111"/>
      <c r="L361" s="111"/>
      <c r="M361" s="112"/>
      <c r="N361" s="26"/>
      <c r="O361" s="2"/>
      <c r="P361" s="24"/>
    </row>
    <row r="362" spans="1:16" ht="9.75" customHeight="1">
      <c r="A362" s="18"/>
      <c r="B362" s="18" t="s">
        <v>104</v>
      </c>
      <c r="C362" s="18"/>
      <c r="D362" s="26"/>
      <c r="E362" s="2"/>
      <c r="F362" s="2"/>
      <c r="G362" s="2"/>
      <c r="H362" s="2"/>
      <c r="I362" s="111"/>
      <c r="J362" s="111"/>
      <c r="K362" s="111"/>
      <c r="L362" s="111"/>
      <c r="M362" s="112"/>
      <c r="N362" s="26"/>
      <c r="O362" s="2"/>
      <c r="P362" s="24"/>
    </row>
    <row r="363" spans="1:16" ht="9.75" customHeight="1">
      <c r="A363" s="18"/>
      <c r="B363" s="18" t="s">
        <v>34</v>
      </c>
      <c r="C363" s="18">
        <v>20</v>
      </c>
      <c r="D363" s="115">
        <v>12</v>
      </c>
      <c r="E363" s="116">
        <v>12</v>
      </c>
      <c r="F363" s="116">
        <v>12</v>
      </c>
      <c r="G363" s="116">
        <v>12</v>
      </c>
      <c r="H363" s="116">
        <v>12</v>
      </c>
      <c r="I363" s="137">
        <v>11</v>
      </c>
      <c r="J363" s="137">
        <v>11</v>
      </c>
      <c r="K363" s="137">
        <v>11</v>
      </c>
      <c r="L363" s="137">
        <v>11</v>
      </c>
      <c r="M363" s="138">
        <v>14</v>
      </c>
      <c r="N363" s="26">
        <f>MIN(D363:M363)</f>
        <v>11</v>
      </c>
      <c r="O363" s="2">
        <f>C363-N363</f>
        <v>9</v>
      </c>
      <c r="P363" s="24">
        <f>O363/C363</f>
        <v>0.45</v>
      </c>
    </row>
    <row r="364" spans="1:16" ht="9.75" customHeight="1">
      <c r="A364" s="18"/>
      <c r="B364" s="18" t="s">
        <v>35</v>
      </c>
      <c r="C364" s="18"/>
      <c r="D364" s="26"/>
      <c r="E364" s="2"/>
      <c r="F364" s="2"/>
      <c r="G364" s="2"/>
      <c r="H364" s="2"/>
      <c r="I364" s="111"/>
      <c r="J364" s="111"/>
      <c r="K364" s="111"/>
      <c r="L364" s="111"/>
      <c r="M364" s="112"/>
      <c r="N364" s="26"/>
      <c r="O364" s="2"/>
      <c r="P364" s="24"/>
    </row>
    <row r="365" spans="1:16" ht="9.75" customHeight="1">
      <c r="A365" s="18"/>
      <c r="B365" s="18" t="s">
        <v>36</v>
      </c>
      <c r="C365" s="18">
        <v>1</v>
      </c>
      <c r="D365" s="115">
        <v>0</v>
      </c>
      <c r="E365" s="116">
        <v>0</v>
      </c>
      <c r="F365" s="116">
        <v>0</v>
      </c>
      <c r="G365" s="116">
        <v>0</v>
      </c>
      <c r="H365" s="116">
        <v>0</v>
      </c>
      <c r="I365" s="137">
        <v>0</v>
      </c>
      <c r="J365" s="137">
        <v>0</v>
      </c>
      <c r="K365" s="137">
        <v>0</v>
      </c>
      <c r="L365" s="137">
        <v>0</v>
      </c>
      <c r="M365" s="138">
        <v>0</v>
      </c>
      <c r="N365" s="26">
        <f t="shared" ref="N365:N367" si="63">MIN(D365:M365)</f>
        <v>0</v>
      </c>
      <c r="O365" s="2">
        <f t="shared" ref="O365:O367" si="64">C365-N365</f>
        <v>1</v>
      </c>
      <c r="P365" s="24">
        <f t="shared" ref="P365:P367" si="65">O365/C365</f>
        <v>1</v>
      </c>
    </row>
    <row r="366" spans="1:16" ht="9.75" customHeight="1">
      <c r="A366" s="18"/>
      <c r="B366" s="18" t="s">
        <v>37</v>
      </c>
      <c r="C366" s="18">
        <v>4</v>
      </c>
      <c r="D366" s="115">
        <v>3</v>
      </c>
      <c r="E366" s="116">
        <v>1</v>
      </c>
      <c r="F366" s="116">
        <v>1</v>
      </c>
      <c r="G366" s="116">
        <v>1</v>
      </c>
      <c r="H366" s="116">
        <v>1</v>
      </c>
      <c r="I366" s="142">
        <v>2</v>
      </c>
      <c r="J366" s="142">
        <v>2</v>
      </c>
      <c r="K366" s="142">
        <v>2</v>
      </c>
      <c r="L366" s="142">
        <v>3</v>
      </c>
      <c r="M366" s="143">
        <v>2</v>
      </c>
      <c r="N366" s="26">
        <f t="shared" si="63"/>
        <v>1</v>
      </c>
      <c r="O366" s="2">
        <f t="shared" si="64"/>
        <v>3</v>
      </c>
      <c r="P366" s="24">
        <f t="shared" si="65"/>
        <v>0.75</v>
      </c>
    </row>
    <row r="367" spans="1:16" ht="9.75" customHeight="1">
      <c r="A367" s="32"/>
      <c r="B367" s="33" t="s">
        <v>38</v>
      </c>
      <c r="C367" s="34">
        <f t="shared" ref="C367:M367" si="66">SUM(C349:C366)</f>
        <v>424</v>
      </c>
      <c r="D367" s="38">
        <f t="shared" si="66"/>
        <v>245</v>
      </c>
      <c r="E367" s="39">
        <f t="shared" si="66"/>
        <v>212</v>
      </c>
      <c r="F367" s="39">
        <f t="shared" si="66"/>
        <v>180</v>
      </c>
      <c r="G367" s="39">
        <f t="shared" si="66"/>
        <v>138</v>
      </c>
      <c r="H367" s="39">
        <f t="shared" si="66"/>
        <v>121</v>
      </c>
      <c r="I367" s="39">
        <f t="shared" si="66"/>
        <v>147</v>
      </c>
      <c r="J367" s="39">
        <f t="shared" si="66"/>
        <v>140</v>
      </c>
      <c r="K367" s="39">
        <f t="shared" si="66"/>
        <v>146</v>
      </c>
      <c r="L367" s="39">
        <f t="shared" si="66"/>
        <v>161</v>
      </c>
      <c r="M367" s="95">
        <f t="shared" si="66"/>
        <v>206</v>
      </c>
      <c r="N367" s="38">
        <f t="shared" si="63"/>
        <v>121</v>
      </c>
      <c r="O367" s="39">
        <f t="shared" si="64"/>
        <v>303</v>
      </c>
      <c r="P367" s="40">
        <f t="shared" si="65"/>
        <v>0.714622641509434</v>
      </c>
    </row>
    <row r="368" spans="1:16" ht="9.75" customHeight="1">
      <c r="A368" s="66" t="s">
        <v>147</v>
      </c>
      <c r="B368" s="66" t="s">
        <v>23</v>
      </c>
      <c r="C368" s="66"/>
      <c r="D368" s="41"/>
      <c r="E368" s="72"/>
      <c r="F368" s="72"/>
      <c r="G368" s="72"/>
      <c r="H368" s="72"/>
      <c r="I368" s="72"/>
      <c r="J368" s="72"/>
      <c r="K368" s="72"/>
      <c r="L368" s="72"/>
      <c r="M368" s="73"/>
      <c r="N368" s="41"/>
      <c r="O368" s="72"/>
      <c r="P368" s="99"/>
    </row>
    <row r="369" spans="1:16" ht="9.75" customHeight="1">
      <c r="A369" s="18"/>
      <c r="B369" s="18" t="s">
        <v>25</v>
      </c>
      <c r="C369" s="18"/>
      <c r="D369" s="26"/>
      <c r="E369" s="2"/>
      <c r="F369" s="2"/>
      <c r="G369" s="2"/>
      <c r="H369" s="2"/>
      <c r="I369" s="2"/>
      <c r="J369" s="2"/>
      <c r="K369" s="2"/>
      <c r="L369" s="2"/>
      <c r="M369" s="27"/>
      <c r="N369" s="26"/>
      <c r="O369" s="2"/>
      <c r="P369" s="24"/>
    </row>
    <row r="370" spans="1:16" ht="9.75" customHeight="1">
      <c r="A370" s="18"/>
      <c r="B370" s="18" t="s">
        <v>27</v>
      </c>
      <c r="C370" s="18"/>
      <c r="D370" s="26"/>
      <c r="E370" s="2"/>
      <c r="F370" s="2"/>
      <c r="G370" s="2"/>
      <c r="H370" s="2"/>
      <c r="I370" s="2"/>
      <c r="J370" s="2"/>
      <c r="K370" s="2"/>
      <c r="L370" s="2"/>
      <c r="M370" s="27"/>
      <c r="N370" s="26"/>
      <c r="O370" s="2"/>
      <c r="P370" s="24"/>
    </row>
    <row r="371" spans="1:16" ht="9.75" customHeight="1">
      <c r="A371" s="18"/>
      <c r="B371" s="18" t="s">
        <v>99</v>
      </c>
      <c r="C371" s="18"/>
      <c r="D371" s="26"/>
      <c r="E371" s="2"/>
      <c r="F371" s="2"/>
      <c r="G371" s="2"/>
      <c r="H371" s="2"/>
      <c r="I371" s="2"/>
      <c r="J371" s="2"/>
      <c r="K371" s="2"/>
      <c r="L371" s="2"/>
      <c r="M371" s="27"/>
      <c r="N371" s="26"/>
      <c r="O371" s="2"/>
      <c r="P371" s="24"/>
    </row>
    <row r="372" spans="1:16" ht="9.75" customHeight="1">
      <c r="A372" s="18"/>
      <c r="B372" s="18" t="s">
        <v>99</v>
      </c>
      <c r="C372" s="18"/>
      <c r="D372" s="26"/>
      <c r="E372" s="2"/>
      <c r="F372" s="2"/>
      <c r="G372" s="2"/>
      <c r="H372" s="2"/>
      <c r="I372" s="2"/>
      <c r="J372" s="2"/>
      <c r="K372" s="2"/>
      <c r="L372" s="2"/>
      <c r="M372" s="27"/>
      <c r="N372" s="26"/>
      <c r="O372" s="2"/>
      <c r="P372" s="24"/>
    </row>
    <row r="373" spans="1:16" ht="9.75" customHeight="1">
      <c r="A373" s="18"/>
      <c r="B373" s="18" t="s">
        <v>32</v>
      </c>
      <c r="C373" s="18"/>
      <c r="D373" s="26"/>
      <c r="E373" s="2"/>
      <c r="F373" s="2"/>
      <c r="G373" s="2"/>
      <c r="H373" s="2"/>
      <c r="I373" s="2"/>
      <c r="J373" s="2"/>
      <c r="K373" s="2"/>
      <c r="L373" s="2"/>
      <c r="M373" s="27"/>
      <c r="N373" s="26"/>
      <c r="O373" s="2"/>
      <c r="P373" s="24"/>
    </row>
    <row r="374" spans="1:16" ht="9.75" customHeight="1">
      <c r="A374" s="18"/>
      <c r="B374" s="18" t="s">
        <v>148</v>
      </c>
      <c r="C374" s="18">
        <v>8</v>
      </c>
      <c r="D374" s="115">
        <v>8</v>
      </c>
      <c r="E374" s="116">
        <v>8</v>
      </c>
      <c r="F374" s="116">
        <v>8</v>
      </c>
      <c r="G374" s="116">
        <v>8</v>
      </c>
      <c r="H374" s="116">
        <v>8</v>
      </c>
      <c r="I374" s="52">
        <v>8</v>
      </c>
      <c r="J374" s="52">
        <v>7</v>
      </c>
      <c r="K374" s="52">
        <v>8</v>
      </c>
      <c r="L374" s="52">
        <v>7</v>
      </c>
      <c r="M374" s="87">
        <v>8</v>
      </c>
      <c r="N374" s="26">
        <f>MIN(D374:M374)</f>
        <v>7</v>
      </c>
      <c r="O374" s="2">
        <f>C374-N374</f>
        <v>1</v>
      </c>
      <c r="P374" s="24">
        <f>O374/C374</f>
        <v>0.125</v>
      </c>
    </row>
    <row r="375" spans="1:16" ht="9.75" customHeight="1">
      <c r="A375" s="18"/>
      <c r="B375" s="18" t="s">
        <v>104</v>
      </c>
      <c r="C375" s="18"/>
      <c r="D375" s="26"/>
      <c r="E375" s="2"/>
      <c r="F375" s="2"/>
      <c r="G375" s="2"/>
      <c r="H375" s="2"/>
      <c r="I375" s="111"/>
      <c r="J375" s="111"/>
      <c r="K375" s="111"/>
      <c r="L375" s="111"/>
      <c r="M375" s="112"/>
      <c r="N375" s="26"/>
      <c r="O375" s="2"/>
      <c r="P375" s="24"/>
    </row>
    <row r="376" spans="1:16" ht="9.75" customHeight="1">
      <c r="A376" s="18"/>
      <c r="B376" s="18" t="s">
        <v>104</v>
      </c>
      <c r="C376" s="18"/>
      <c r="D376" s="26"/>
      <c r="E376" s="2"/>
      <c r="F376" s="2"/>
      <c r="G376" s="2"/>
      <c r="H376" s="2"/>
      <c r="I376" s="111"/>
      <c r="J376" s="111"/>
      <c r="K376" s="111"/>
      <c r="L376" s="111"/>
      <c r="M376" s="112"/>
      <c r="N376" s="26"/>
      <c r="O376" s="2"/>
      <c r="P376" s="24"/>
    </row>
    <row r="377" spans="1:16" ht="9.75" customHeight="1">
      <c r="A377" s="18"/>
      <c r="B377" s="18" t="s">
        <v>104</v>
      </c>
      <c r="C377" s="18"/>
      <c r="D377" s="26"/>
      <c r="E377" s="2"/>
      <c r="F377" s="2"/>
      <c r="G377" s="2"/>
      <c r="H377" s="2"/>
      <c r="I377" s="111"/>
      <c r="J377" s="111"/>
      <c r="K377" s="111"/>
      <c r="L377" s="111"/>
      <c r="M377" s="112"/>
      <c r="N377" s="26"/>
      <c r="O377" s="2"/>
      <c r="P377" s="24"/>
    </row>
    <row r="378" spans="1:16" ht="9.75" customHeight="1">
      <c r="A378" s="18"/>
      <c r="B378" s="18" t="s">
        <v>104</v>
      </c>
      <c r="C378" s="18"/>
      <c r="D378" s="26"/>
      <c r="E378" s="2"/>
      <c r="F378" s="2"/>
      <c r="G378" s="2"/>
      <c r="H378" s="2"/>
      <c r="I378" s="111"/>
      <c r="J378" s="111"/>
      <c r="K378" s="111"/>
      <c r="L378" s="111"/>
      <c r="M378" s="112"/>
      <c r="N378" s="26"/>
      <c r="O378" s="2"/>
      <c r="P378" s="24"/>
    </row>
    <row r="379" spans="1:16" ht="9.75" customHeight="1">
      <c r="A379" s="18"/>
      <c r="B379" s="18" t="s">
        <v>104</v>
      </c>
      <c r="C379" s="18"/>
      <c r="D379" s="26"/>
      <c r="E379" s="2"/>
      <c r="F379" s="2"/>
      <c r="G379" s="2"/>
      <c r="H379" s="2"/>
      <c r="I379" s="111"/>
      <c r="J379" s="111"/>
      <c r="K379" s="111"/>
      <c r="L379" s="111"/>
      <c r="M379" s="112"/>
      <c r="N379" s="26"/>
      <c r="O379" s="2"/>
      <c r="P379" s="24"/>
    </row>
    <row r="380" spans="1:16" ht="9.75" customHeight="1">
      <c r="A380" s="18"/>
      <c r="B380" s="18" t="s">
        <v>34</v>
      </c>
      <c r="C380" s="18">
        <v>2</v>
      </c>
      <c r="D380" s="115">
        <v>2</v>
      </c>
      <c r="E380" s="116">
        <v>2</v>
      </c>
      <c r="F380" s="116">
        <v>2</v>
      </c>
      <c r="G380" s="116">
        <v>2</v>
      </c>
      <c r="H380" s="116">
        <v>2</v>
      </c>
      <c r="I380" s="52">
        <v>1</v>
      </c>
      <c r="J380" s="52">
        <v>2</v>
      </c>
      <c r="K380" s="52">
        <v>2</v>
      </c>
      <c r="L380" s="52">
        <v>2</v>
      </c>
      <c r="M380" s="87">
        <v>2</v>
      </c>
      <c r="N380" s="26">
        <f>MIN(D380:M380)</f>
        <v>1</v>
      </c>
      <c r="O380" s="2">
        <f>C380-N380</f>
        <v>1</v>
      </c>
      <c r="P380" s="24">
        <f>O380/C380</f>
        <v>0.5</v>
      </c>
    </row>
    <row r="381" spans="1:16" ht="9.75" customHeight="1">
      <c r="A381" s="18"/>
      <c r="B381" s="18" t="s">
        <v>35</v>
      </c>
      <c r="C381" s="18"/>
      <c r="D381" s="26"/>
      <c r="E381" s="2"/>
      <c r="F381" s="2"/>
      <c r="G381" s="2"/>
      <c r="H381" s="2"/>
      <c r="I381" s="2"/>
      <c r="J381" s="2"/>
      <c r="K381" s="2"/>
      <c r="L381" s="2"/>
      <c r="M381" s="27"/>
      <c r="N381" s="26"/>
      <c r="O381" s="2"/>
      <c r="P381" s="24"/>
    </row>
    <row r="382" spans="1:16" ht="9.75" customHeight="1">
      <c r="A382" s="18"/>
      <c r="B382" s="18" t="s">
        <v>36</v>
      </c>
      <c r="C382" s="18"/>
      <c r="D382" s="26"/>
      <c r="E382" s="2"/>
      <c r="F382" s="2"/>
      <c r="G382" s="2"/>
      <c r="H382" s="2"/>
      <c r="I382" s="2"/>
      <c r="J382" s="2"/>
      <c r="K382" s="2"/>
      <c r="L382" s="2"/>
      <c r="M382" s="27"/>
      <c r="N382" s="26"/>
      <c r="O382" s="2"/>
      <c r="P382" s="24"/>
    </row>
    <row r="383" spans="1:16" ht="9.75" customHeight="1">
      <c r="A383" s="18"/>
      <c r="B383" s="18" t="s">
        <v>149</v>
      </c>
      <c r="C383" s="18"/>
      <c r="D383" s="26"/>
      <c r="E383" s="2"/>
      <c r="F383" s="2"/>
      <c r="G383" s="2"/>
      <c r="H383" s="2"/>
      <c r="I383" s="2"/>
      <c r="J383" s="2"/>
      <c r="K383" s="2"/>
      <c r="L383" s="2"/>
      <c r="M383" s="27"/>
      <c r="N383" s="26"/>
      <c r="O383" s="2"/>
      <c r="P383" s="24"/>
    </row>
    <row r="384" spans="1:16" ht="9.75" customHeight="1">
      <c r="A384" s="32"/>
      <c r="B384" s="33" t="s">
        <v>38</v>
      </c>
      <c r="C384" s="33">
        <f t="shared" ref="C384:M384" si="67">SUM(C368:C383)</f>
        <v>10</v>
      </c>
      <c r="D384" s="70">
        <f t="shared" si="67"/>
        <v>10</v>
      </c>
      <c r="E384" s="71">
        <f t="shared" si="67"/>
        <v>10</v>
      </c>
      <c r="F384" s="71">
        <f t="shared" si="67"/>
        <v>10</v>
      </c>
      <c r="G384" s="71">
        <f t="shared" si="67"/>
        <v>10</v>
      </c>
      <c r="H384" s="71">
        <f t="shared" si="67"/>
        <v>10</v>
      </c>
      <c r="I384" s="71">
        <f t="shared" si="67"/>
        <v>9</v>
      </c>
      <c r="J384" s="71">
        <f t="shared" si="67"/>
        <v>9</v>
      </c>
      <c r="K384" s="71">
        <f t="shared" si="67"/>
        <v>10</v>
      </c>
      <c r="L384" s="71">
        <f t="shared" si="67"/>
        <v>9</v>
      </c>
      <c r="M384" s="93">
        <f t="shared" si="67"/>
        <v>10</v>
      </c>
      <c r="N384" s="70">
        <f>MIN(D384:M384)</f>
        <v>9</v>
      </c>
      <c r="O384" s="71">
        <f>C384-N384</f>
        <v>1</v>
      </c>
      <c r="P384" s="40">
        <f>O384/C384</f>
        <v>0.1</v>
      </c>
    </row>
    <row r="385" spans="1:16" ht="9.75" customHeight="1">
      <c r="A385" s="66" t="s">
        <v>150</v>
      </c>
      <c r="B385" s="66" t="s">
        <v>23</v>
      </c>
      <c r="C385" s="66"/>
      <c r="D385" s="41"/>
      <c r="E385" s="72"/>
      <c r="F385" s="72"/>
      <c r="G385" s="72"/>
      <c r="H385" s="72"/>
      <c r="I385" s="72"/>
      <c r="J385" s="72"/>
      <c r="K385" s="72"/>
      <c r="L385" s="72"/>
      <c r="M385" s="73"/>
      <c r="N385" s="41"/>
      <c r="O385" s="72"/>
      <c r="P385" s="99"/>
    </row>
    <row r="386" spans="1:16" ht="9.75" customHeight="1">
      <c r="A386" s="18"/>
      <c r="B386" s="18" t="s">
        <v>25</v>
      </c>
      <c r="C386" s="18"/>
      <c r="D386" s="26"/>
      <c r="E386" s="2"/>
      <c r="F386" s="2"/>
      <c r="G386" s="2"/>
      <c r="H386" s="2"/>
      <c r="I386" s="2"/>
      <c r="J386" s="2"/>
      <c r="K386" s="2"/>
      <c r="L386" s="2"/>
      <c r="M386" s="27"/>
      <c r="N386" s="26"/>
      <c r="O386" s="2"/>
      <c r="P386" s="24"/>
    </row>
    <row r="387" spans="1:16" ht="9.75" customHeight="1">
      <c r="A387" s="18"/>
      <c r="B387" s="18" t="s">
        <v>27</v>
      </c>
      <c r="C387" s="18"/>
      <c r="D387" s="26"/>
      <c r="E387" s="2"/>
      <c r="F387" s="2"/>
      <c r="G387" s="2"/>
      <c r="H387" s="2"/>
      <c r="I387" s="2"/>
      <c r="J387" s="2"/>
      <c r="K387" s="2"/>
      <c r="L387" s="2"/>
      <c r="M387" s="27"/>
      <c r="N387" s="26"/>
      <c r="O387" s="2"/>
      <c r="P387" s="24"/>
    </row>
    <row r="388" spans="1:16" ht="9.75" customHeight="1">
      <c r="A388" s="18"/>
      <c r="B388" s="18" t="s">
        <v>128</v>
      </c>
      <c r="C388" s="18">
        <v>5</v>
      </c>
      <c r="D388" s="115">
        <v>3</v>
      </c>
      <c r="E388" s="116">
        <v>5</v>
      </c>
      <c r="F388" s="116">
        <v>5</v>
      </c>
      <c r="G388" s="116">
        <v>5</v>
      </c>
      <c r="H388" s="116">
        <v>5</v>
      </c>
      <c r="I388" s="52">
        <v>4</v>
      </c>
      <c r="J388" s="52">
        <v>4</v>
      </c>
      <c r="K388" s="52">
        <v>4</v>
      </c>
      <c r="L388" s="52">
        <v>3</v>
      </c>
      <c r="M388" s="87">
        <v>3</v>
      </c>
      <c r="N388" s="26">
        <f>MIN(D388:M388)</f>
        <v>3</v>
      </c>
      <c r="O388" s="2">
        <f>C388-N388</f>
        <v>2</v>
      </c>
      <c r="P388" s="24">
        <f>O388/C388</f>
        <v>0.4</v>
      </c>
    </row>
    <row r="389" spans="1:16" ht="9.75" customHeight="1">
      <c r="A389" s="18"/>
      <c r="B389" s="18" t="s">
        <v>99</v>
      </c>
      <c r="C389" s="18"/>
      <c r="D389" s="26"/>
      <c r="E389" s="2"/>
      <c r="F389" s="2"/>
      <c r="G389" s="2"/>
      <c r="H389" s="2"/>
      <c r="I389" s="111"/>
      <c r="J389" s="111"/>
      <c r="K389" s="111"/>
      <c r="L389" s="111"/>
      <c r="M389" s="112"/>
      <c r="N389" s="26"/>
      <c r="O389" s="2"/>
      <c r="P389" s="24"/>
    </row>
    <row r="390" spans="1:16" ht="9.75" customHeight="1">
      <c r="A390" s="18"/>
      <c r="B390" s="18" t="s">
        <v>32</v>
      </c>
      <c r="C390" s="18">
        <v>1</v>
      </c>
      <c r="D390" s="115">
        <v>1</v>
      </c>
      <c r="E390" s="116">
        <v>1</v>
      </c>
      <c r="F390" s="116">
        <v>1</v>
      </c>
      <c r="G390" s="116">
        <v>1</v>
      </c>
      <c r="H390" s="116">
        <v>1</v>
      </c>
      <c r="I390" s="52">
        <v>1</v>
      </c>
      <c r="J390" s="52">
        <v>1</v>
      </c>
      <c r="K390" s="52">
        <v>1</v>
      </c>
      <c r="L390" s="52">
        <v>1</v>
      </c>
      <c r="M390" s="87">
        <v>1</v>
      </c>
      <c r="N390" s="26">
        <f t="shared" ref="N390:N391" si="68">MIN(D390:M390)</f>
        <v>1</v>
      </c>
      <c r="O390" s="2">
        <f t="shared" ref="O390:O391" si="69">C390-N390</f>
        <v>0</v>
      </c>
      <c r="P390" s="24">
        <f t="shared" ref="P390:P391" si="70">O390/C390</f>
        <v>0</v>
      </c>
    </row>
    <row r="391" spans="1:16" ht="9.75" customHeight="1">
      <c r="A391" s="18"/>
      <c r="B391" s="18" t="s">
        <v>34</v>
      </c>
      <c r="C391" s="18">
        <v>1</v>
      </c>
      <c r="D391" s="115">
        <v>1</v>
      </c>
      <c r="E391" s="116">
        <v>1</v>
      </c>
      <c r="F391" s="116">
        <v>1</v>
      </c>
      <c r="G391" s="116">
        <v>1</v>
      </c>
      <c r="H391" s="116">
        <v>1</v>
      </c>
      <c r="I391" s="52">
        <v>1</v>
      </c>
      <c r="J391" s="52">
        <v>1</v>
      </c>
      <c r="K391" s="52">
        <v>1</v>
      </c>
      <c r="L391" s="52">
        <v>1</v>
      </c>
      <c r="M391" s="87">
        <v>1</v>
      </c>
      <c r="N391" s="26">
        <f t="shared" si="68"/>
        <v>1</v>
      </c>
      <c r="O391" s="2">
        <f t="shared" si="69"/>
        <v>0</v>
      </c>
      <c r="P391" s="24">
        <f t="shared" si="70"/>
        <v>0</v>
      </c>
    </row>
    <row r="392" spans="1:16" ht="9.75" customHeight="1">
      <c r="A392" s="18"/>
      <c r="B392" s="18" t="s">
        <v>104</v>
      </c>
      <c r="C392" s="18"/>
      <c r="D392" s="26"/>
      <c r="E392" s="2"/>
      <c r="F392" s="2"/>
      <c r="G392" s="2"/>
      <c r="H392" s="2"/>
      <c r="I392" s="2"/>
      <c r="J392" s="2"/>
      <c r="K392" s="2"/>
      <c r="L392" s="2"/>
      <c r="M392" s="27"/>
      <c r="N392" s="26"/>
      <c r="O392" s="2"/>
      <c r="P392" s="24"/>
    </row>
    <row r="393" spans="1:16" ht="9.75" customHeight="1">
      <c r="A393" s="18"/>
      <c r="B393" s="18" t="s">
        <v>104</v>
      </c>
      <c r="C393" s="18"/>
      <c r="D393" s="26"/>
      <c r="E393" s="2"/>
      <c r="F393" s="2"/>
      <c r="G393" s="2"/>
      <c r="H393" s="2"/>
      <c r="I393" s="2"/>
      <c r="J393" s="2"/>
      <c r="K393" s="2"/>
      <c r="L393" s="2"/>
      <c r="M393" s="27"/>
      <c r="N393" s="26"/>
      <c r="O393" s="2"/>
      <c r="P393" s="24"/>
    </row>
    <row r="394" spans="1:16" ht="9.75" customHeight="1">
      <c r="A394" s="18"/>
      <c r="B394" s="18" t="s">
        <v>104</v>
      </c>
      <c r="C394" s="18"/>
      <c r="D394" s="26"/>
      <c r="E394" s="2"/>
      <c r="F394" s="2"/>
      <c r="G394" s="2"/>
      <c r="H394" s="2"/>
      <c r="I394" s="2"/>
      <c r="J394" s="2"/>
      <c r="K394" s="2"/>
      <c r="L394" s="2"/>
      <c r="M394" s="27"/>
      <c r="N394" s="26"/>
      <c r="O394" s="2"/>
      <c r="P394" s="24"/>
    </row>
    <row r="395" spans="1:16" ht="9.75" customHeight="1">
      <c r="A395" s="18"/>
      <c r="B395" s="18" t="s">
        <v>104</v>
      </c>
      <c r="C395" s="18"/>
      <c r="D395" s="26"/>
      <c r="E395" s="2"/>
      <c r="F395" s="2"/>
      <c r="G395" s="2"/>
      <c r="H395" s="2"/>
      <c r="I395" s="2"/>
      <c r="J395" s="2"/>
      <c r="K395" s="2"/>
      <c r="L395" s="2"/>
      <c r="M395" s="27"/>
      <c r="N395" s="26"/>
      <c r="O395" s="2"/>
      <c r="P395" s="24"/>
    </row>
    <row r="396" spans="1:16" ht="9.75" customHeight="1">
      <c r="A396" s="18"/>
      <c r="B396" s="18" t="s">
        <v>104</v>
      </c>
      <c r="C396" s="18"/>
      <c r="D396" s="26"/>
      <c r="E396" s="2"/>
      <c r="F396" s="2"/>
      <c r="G396" s="2"/>
      <c r="H396" s="2"/>
      <c r="I396" s="2"/>
      <c r="J396" s="2"/>
      <c r="K396" s="2"/>
      <c r="L396" s="2"/>
      <c r="M396" s="27"/>
      <c r="N396" s="26"/>
      <c r="O396" s="2"/>
      <c r="P396" s="24"/>
    </row>
    <row r="397" spans="1:16" ht="9.75" customHeight="1">
      <c r="A397" s="18"/>
      <c r="B397" s="18" t="s">
        <v>104</v>
      </c>
      <c r="C397" s="18"/>
      <c r="D397" s="26"/>
      <c r="E397" s="2"/>
      <c r="F397" s="2"/>
      <c r="G397" s="2"/>
      <c r="H397" s="2"/>
      <c r="I397" s="2"/>
      <c r="J397" s="2"/>
      <c r="K397" s="2"/>
      <c r="L397" s="2"/>
      <c r="M397" s="27"/>
      <c r="N397" s="26"/>
      <c r="O397" s="2"/>
      <c r="P397" s="24"/>
    </row>
    <row r="398" spans="1:16" ht="9.75" customHeight="1">
      <c r="A398" s="18"/>
      <c r="B398" s="18" t="s">
        <v>35</v>
      </c>
      <c r="C398" s="18"/>
      <c r="D398" s="26"/>
      <c r="E398" s="2"/>
      <c r="F398" s="2"/>
      <c r="G398" s="2"/>
      <c r="H398" s="2"/>
      <c r="I398" s="2"/>
      <c r="J398" s="2"/>
      <c r="K398" s="2"/>
      <c r="L398" s="2"/>
      <c r="M398" s="27"/>
      <c r="N398" s="26"/>
      <c r="O398" s="2"/>
      <c r="P398" s="24"/>
    </row>
    <row r="399" spans="1:16" ht="9.75" customHeight="1">
      <c r="A399" s="18"/>
      <c r="B399" s="18" t="s">
        <v>36</v>
      </c>
      <c r="C399" s="18"/>
      <c r="D399" s="26"/>
      <c r="E399" s="2"/>
      <c r="F399" s="2"/>
      <c r="G399" s="2"/>
      <c r="H399" s="2"/>
      <c r="I399" s="2"/>
      <c r="J399" s="2"/>
      <c r="K399" s="2"/>
      <c r="L399" s="2"/>
      <c r="M399" s="27"/>
      <c r="N399" s="26"/>
      <c r="O399" s="2"/>
      <c r="P399" s="24"/>
    </row>
    <row r="400" spans="1:16" ht="9.75" customHeight="1">
      <c r="A400" s="18"/>
      <c r="B400" s="18" t="s">
        <v>37</v>
      </c>
      <c r="C400" s="18"/>
      <c r="D400" s="26"/>
      <c r="E400" s="2"/>
      <c r="F400" s="2"/>
      <c r="G400" s="2"/>
      <c r="H400" s="2"/>
      <c r="I400" s="2"/>
      <c r="J400" s="2"/>
      <c r="K400" s="2"/>
      <c r="L400" s="2"/>
      <c r="M400" s="27"/>
      <c r="N400" s="26"/>
      <c r="O400" s="2"/>
      <c r="P400" s="24"/>
    </row>
    <row r="401" spans="1:16" ht="9.75" customHeight="1">
      <c r="A401" s="32"/>
      <c r="B401" s="33" t="s">
        <v>38</v>
      </c>
      <c r="C401" s="33">
        <f t="shared" ref="C401:M401" si="71">SUM(C385:C400)</f>
        <v>7</v>
      </c>
      <c r="D401" s="70">
        <f t="shared" si="71"/>
        <v>5</v>
      </c>
      <c r="E401" s="71">
        <f t="shared" si="71"/>
        <v>7</v>
      </c>
      <c r="F401" s="71">
        <f t="shared" si="71"/>
        <v>7</v>
      </c>
      <c r="G401" s="71">
        <f t="shared" si="71"/>
        <v>7</v>
      </c>
      <c r="H401" s="71">
        <f t="shared" si="71"/>
        <v>7</v>
      </c>
      <c r="I401" s="71">
        <f t="shared" si="71"/>
        <v>6</v>
      </c>
      <c r="J401" s="71">
        <f t="shared" si="71"/>
        <v>6</v>
      </c>
      <c r="K401" s="71">
        <f t="shared" si="71"/>
        <v>6</v>
      </c>
      <c r="L401" s="71">
        <f t="shared" si="71"/>
        <v>5</v>
      </c>
      <c r="M401" s="93">
        <f t="shared" si="71"/>
        <v>5</v>
      </c>
      <c r="N401" s="70">
        <f>MIN(D401:M401)</f>
        <v>5</v>
      </c>
      <c r="O401" s="71">
        <f>C401-N401</f>
        <v>2</v>
      </c>
      <c r="P401" s="40">
        <f>O401/C401</f>
        <v>0.2857142857142857</v>
      </c>
    </row>
    <row r="402" spans="1:16" ht="9.75" customHeight="1">
      <c r="A402" s="66" t="s">
        <v>151</v>
      </c>
      <c r="B402" s="66" t="s">
        <v>23</v>
      </c>
      <c r="C402" s="66"/>
      <c r="D402" s="41"/>
      <c r="E402" s="72"/>
      <c r="F402" s="72"/>
      <c r="G402" s="72"/>
      <c r="H402" s="72"/>
      <c r="I402" s="72"/>
      <c r="J402" s="72"/>
      <c r="K402" s="72"/>
      <c r="L402" s="72"/>
      <c r="M402" s="73"/>
      <c r="N402" s="41"/>
      <c r="O402" s="72"/>
      <c r="P402" s="99"/>
    </row>
    <row r="403" spans="1:16" ht="9.75" customHeight="1">
      <c r="A403" s="18"/>
      <c r="B403" s="18" t="s">
        <v>25</v>
      </c>
      <c r="C403" s="18"/>
      <c r="D403" s="26"/>
      <c r="E403" s="2"/>
      <c r="F403" s="2"/>
      <c r="G403" s="2"/>
      <c r="H403" s="2"/>
      <c r="I403" s="2"/>
      <c r="J403" s="2"/>
      <c r="K403" s="2"/>
      <c r="L403" s="2"/>
      <c r="M403" s="27"/>
      <c r="N403" s="26"/>
      <c r="O403" s="2"/>
      <c r="P403" s="24"/>
    </row>
    <row r="404" spans="1:16" ht="9.75" customHeight="1">
      <c r="A404" s="18"/>
      <c r="B404" s="18" t="s">
        <v>27</v>
      </c>
      <c r="C404" s="18"/>
      <c r="D404" s="26"/>
      <c r="E404" s="2"/>
      <c r="F404" s="2"/>
      <c r="G404" s="2"/>
      <c r="H404" s="2"/>
      <c r="I404" s="2"/>
      <c r="J404" s="2"/>
      <c r="K404" s="2"/>
      <c r="L404" s="2"/>
      <c r="M404" s="27"/>
      <c r="N404" s="26"/>
      <c r="O404" s="2"/>
      <c r="P404" s="24"/>
    </row>
    <row r="405" spans="1:16" ht="9.75" customHeight="1">
      <c r="A405" s="18"/>
      <c r="B405" s="18" t="s">
        <v>99</v>
      </c>
      <c r="C405" s="18"/>
      <c r="D405" s="26"/>
      <c r="E405" s="2"/>
      <c r="F405" s="2"/>
      <c r="G405" s="2"/>
      <c r="H405" s="2"/>
      <c r="I405" s="2"/>
      <c r="J405" s="2"/>
      <c r="K405" s="2"/>
      <c r="L405" s="2"/>
      <c r="M405" s="27"/>
      <c r="N405" s="26"/>
      <c r="O405" s="2"/>
      <c r="P405" s="24"/>
    </row>
    <row r="406" spans="1:16" ht="9.75" customHeight="1">
      <c r="A406" s="18"/>
      <c r="B406" s="18" t="s">
        <v>99</v>
      </c>
      <c r="C406" s="18"/>
      <c r="D406" s="26"/>
      <c r="E406" s="2"/>
      <c r="F406" s="2"/>
      <c r="G406" s="2"/>
      <c r="H406" s="2"/>
      <c r="I406" s="2"/>
      <c r="J406" s="2"/>
      <c r="K406" s="2"/>
      <c r="L406" s="2"/>
      <c r="M406" s="27"/>
      <c r="N406" s="26"/>
      <c r="O406" s="2"/>
      <c r="P406" s="24"/>
    </row>
    <row r="407" spans="1:16" ht="9.75" customHeight="1">
      <c r="A407" s="18"/>
      <c r="B407" s="18" t="s">
        <v>32</v>
      </c>
      <c r="C407" s="18"/>
      <c r="D407" s="26"/>
      <c r="E407" s="2"/>
      <c r="F407" s="2"/>
      <c r="G407" s="2"/>
      <c r="H407" s="2"/>
      <c r="I407" s="2"/>
      <c r="J407" s="2"/>
      <c r="K407" s="2"/>
      <c r="L407" s="2"/>
      <c r="M407" s="27"/>
      <c r="N407" s="26"/>
      <c r="O407" s="2"/>
      <c r="P407" s="24"/>
    </row>
    <row r="408" spans="1:16" ht="9.75" customHeight="1">
      <c r="A408" s="18"/>
      <c r="B408" s="18" t="s">
        <v>104</v>
      </c>
      <c r="C408" s="18"/>
      <c r="D408" s="26"/>
      <c r="E408" s="2"/>
      <c r="F408" s="2"/>
      <c r="G408" s="2"/>
      <c r="H408" s="2"/>
      <c r="I408" s="2"/>
      <c r="J408" s="2"/>
      <c r="K408" s="2"/>
      <c r="L408" s="2"/>
      <c r="M408" s="27"/>
      <c r="N408" s="26"/>
      <c r="O408" s="2"/>
      <c r="P408" s="24"/>
    </row>
    <row r="409" spans="1:16" ht="9.75" customHeight="1">
      <c r="A409" s="18"/>
      <c r="B409" s="18" t="s">
        <v>104</v>
      </c>
      <c r="C409" s="18"/>
      <c r="D409" s="26"/>
      <c r="E409" s="2"/>
      <c r="F409" s="2"/>
      <c r="G409" s="2"/>
      <c r="H409" s="2"/>
      <c r="I409" s="2"/>
      <c r="J409" s="2"/>
      <c r="K409" s="2"/>
      <c r="L409" s="2"/>
      <c r="M409" s="27"/>
      <c r="N409" s="26"/>
      <c r="O409" s="2"/>
      <c r="P409" s="24"/>
    </row>
    <row r="410" spans="1:16" ht="9.75" customHeight="1">
      <c r="A410" s="18"/>
      <c r="B410" s="18" t="s">
        <v>104</v>
      </c>
      <c r="C410" s="18"/>
      <c r="D410" s="26"/>
      <c r="E410" s="2"/>
      <c r="F410" s="2"/>
      <c r="G410" s="2"/>
      <c r="H410" s="2"/>
      <c r="I410" s="2"/>
      <c r="J410" s="2"/>
      <c r="K410" s="2"/>
      <c r="L410" s="2"/>
      <c r="M410" s="27"/>
      <c r="N410" s="26"/>
      <c r="O410" s="2"/>
      <c r="P410" s="24"/>
    </row>
    <row r="411" spans="1:16" ht="9.75" customHeight="1">
      <c r="A411" s="18"/>
      <c r="B411" s="18" t="s">
        <v>104</v>
      </c>
      <c r="C411" s="18"/>
      <c r="D411" s="26"/>
      <c r="E411" s="2"/>
      <c r="F411" s="2"/>
      <c r="G411" s="2"/>
      <c r="H411" s="2"/>
      <c r="I411" s="2"/>
      <c r="J411" s="2"/>
      <c r="K411" s="2"/>
      <c r="L411" s="2"/>
      <c r="M411" s="27"/>
      <c r="N411" s="26"/>
      <c r="O411" s="2"/>
      <c r="P411" s="24"/>
    </row>
    <row r="412" spans="1:16" ht="9.75" customHeight="1">
      <c r="A412" s="18"/>
      <c r="B412" s="18" t="s">
        <v>104</v>
      </c>
      <c r="C412" s="18"/>
      <c r="D412" s="26"/>
      <c r="E412" s="2"/>
      <c r="F412" s="2"/>
      <c r="G412" s="2"/>
      <c r="H412" s="2"/>
      <c r="I412" s="2"/>
      <c r="J412" s="2"/>
      <c r="K412" s="2"/>
      <c r="L412" s="2"/>
      <c r="M412" s="27"/>
      <c r="N412" s="26"/>
      <c r="O412" s="2"/>
      <c r="P412" s="24"/>
    </row>
    <row r="413" spans="1:16" ht="9.75" customHeight="1">
      <c r="A413" s="18"/>
      <c r="B413" s="18" t="s">
        <v>104</v>
      </c>
      <c r="C413" s="18"/>
      <c r="D413" s="26"/>
      <c r="E413" s="2"/>
      <c r="F413" s="2"/>
      <c r="G413" s="2"/>
      <c r="H413" s="2"/>
      <c r="I413" s="2"/>
      <c r="J413" s="2"/>
      <c r="K413" s="2"/>
      <c r="L413" s="2"/>
      <c r="M413" s="27"/>
      <c r="N413" s="26"/>
      <c r="O413" s="2"/>
      <c r="P413" s="24"/>
    </row>
    <row r="414" spans="1:16" ht="9.75" customHeight="1">
      <c r="A414" s="18"/>
      <c r="B414" s="18" t="s">
        <v>34</v>
      </c>
      <c r="C414" s="18"/>
      <c r="D414" s="26"/>
      <c r="E414" s="2"/>
      <c r="F414" s="2"/>
      <c r="G414" s="2"/>
      <c r="H414" s="2"/>
      <c r="I414" s="2"/>
      <c r="J414" s="2"/>
      <c r="K414" s="2"/>
      <c r="L414" s="2"/>
      <c r="M414" s="27"/>
      <c r="N414" s="26"/>
      <c r="O414" s="2"/>
      <c r="P414" s="24"/>
    </row>
    <row r="415" spans="1:16" ht="9.75" customHeight="1">
      <c r="A415" s="18"/>
      <c r="B415" s="18" t="s">
        <v>35</v>
      </c>
      <c r="C415" s="18"/>
      <c r="D415" s="26"/>
      <c r="E415" s="2"/>
      <c r="F415" s="2"/>
      <c r="G415" s="2"/>
      <c r="H415" s="2"/>
      <c r="I415" s="111"/>
      <c r="J415" s="111"/>
      <c r="K415" s="111"/>
      <c r="L415" s="111"/>
      <c r="M415" s="112"/>
      <c r="N415" s="26"/>
      <c r="O415" s="2"/>
      <c r="P415" s="24"/>
    </row>
    <row r="416" spans="1:16" ht="9.75" customHeight="1">
      <c r="A416" s="18"/>
      <c r="B416" s="18" t="s">
        <v>36</v>
      </c>
      <c r="C416" s="18">
        <v>2</v>
      </c>
      <c r="D416" s="115">
        <v>1</v>
      </c>
      <c r="E416" s="116">
        <v>1</v>
      </c>
      <c r="F416" s="116">
        <v>2</v>
      </c>
      <c r="G416" s="116">
        <v>2</v>
      </c>
      <c r="H416" s="116">
        <v>2</v>
      </c>
      <c r="I416" s="52">
        <v>0</v>
      </c>
      <c r="J416" s="52">
        <v>1</v>
      </c>
      <c r="K416" s="52">
        <v>1</v>
      </c>
      <c r="L416" s="52">
        <v>2</v>
      </c>
      <c r="M416" s="87">
        <v>2</v>
      </c>
      <c r="N416" s="26">
        <f t="shared" ref="N416:N418" si="72">MIN(D416:M416)</f>
        <v>0</v>
      </c>
      <c r="O416" s="2">
        <f t="shared" ref="O416:O418" si="73">C416-N416</f>
        <v>2</v>
      </c>
      <c r="P416" s="24">
        <f t="shared" ref="P416:P418" si="74">O416/C416</f>
        <v>1</v>
      </c>
    </row>
    <row r="417" spans="1:16" ht="9.75" customHeight="1">
      <c r="A417" s="18"/>
      <c r="B417" s="18" t="s">
        <v>37</v>
      </c>
      <c r="C417" s="18">
        <v>1</v>
      </c>
      <c r="D417" s="115">
        <v>1</v>
      </c>
      <c r="E417" s="116">
        <v>1</v>
      </c>
      <c r="F417" s="116">
        <v>1</v>
      </c>
      <c r="G417" s="116">
        <v>1</v>
      </c>
      <c r="H417" s="116">
        <v>1</v>
      </c>
      <c r="I417" s="113">
        <v>1</v>
      </c>
      <c r="J417" s="113">
        <v>1</v>
      </c>
      <c r="K417" s="113">
        <v>1</v>
      </c>
      <c r="L417" s="113">
        <v>0</v>
      </c>
      <c r="M417" s="114">
        <v>0</v>
      </c>
      <c r="N417" s="26">
        <f t="shared" si="72"/>
        <v>0</v>
      </c>
      <c r="O417" s="2">
        <f t="shared" si="73"/>
        <v>1</v>
      </c>
      <c r="P417" s="24">
        <f t="shared" si="74"/>
        <v>1</v>
      </c>
    </row>
    <row r="418" spans="1:16" ht="9.75" customHeight="1">
      <c r="A418" s="32"/>
      <c r="B418" s="33" t="s">
        <v>38</v>
      </c>
      <c r="C418" s="33">
        <f t="shared" ref="C418:M418" si="75">SUM(C402:C417)</f>
        <v>3</v>
      </c>
      <c r="D418" s="70">
        <f t="shared" si="75"/>
        <v>2</v>
      </c>
      <c r="E418" s="71">
        <f t="shared" si="75"/>
        <v>2</v>
      </c>
      <c r="F418" s="71">
        <f t="shared" si="75"/>
        <v>3</v>
      </c>
      <c r="G418" s="71">
        <f t="shared" si="75"/>
        <v>3</v>
      </c>
      <c r="H418" s="71">
        <f t="shared" si="75"/>
        <v>3</v>
      </c>
      <c r="I418" s="71">
        <f t="shared" si="75"/>
        <v>1</v>
      </c>
      <c r="J418" s="71">
        <f t="shared" si="75"/>
        <v>2</v>
      </c>
      <c r="K418" s="71">
        <f t="shared" si="75"/>
        <v>2</v>
      </c>
      <c r="L418" s="71">
        <f t="shared" si="75"/>
        <v>2</v>
      </c>
      <c r="M418" s="93">
        <f t="shared" si="75"/>
        <v>2</v>
      </c>
      <c r="N418" s="70">
        <f t="shared" si="72"/>
        <v>1</v>
      </c>
      <c r="O418" s="71">
        <f t="shared" si="73"/>
        <v>2</v>
      </c>
      <c r="P418" s="40">
        <f t="shared" si="74"/>
        <v>0.66666666666666663</v>
      </c>
    </row>
    <row r="419" spans="1:16" ht="9.75" customHeight="1">
      <c r="A419" s="66" t="s">
        <v>152</v>
      </c>
      <c r="B419" s="66" t="s">
        <v>23</v>
      </c>
      <c r="C419" s="66"/>
      <c r="D419" s="41"/>
      <c r="E419" s="72"/>
      <c r="F419" s="72"/>
      <c r="G419" s="72"/>
      <c r="H419" s="72"/>
      <c r="I419" s="72"/>
      <c r="J419" s="72"/>
      <c r="K419" s="72"/>
      <c r="L419" s="72"/>
      <c r="M419" s="73"/>
      <c r="N419" s="41"/>
      <c r="O419" s="72"/>
      <c r="P419" s="99"/>
    </row>
    <row r="420" spans="1:16" ht="9.75" customHeight="1">
      <c r="A420" s="18"/>
      <c r="B420" s="18" t="s">
        <v>25</v>
      </c>
      <c r="C420" s="18"/>
      <c r="D420" s="26"/>
      <c r="E420" s="2"/>
      <c r="F420" s="2"/>
      <c r="G420" s="2"/>
      <c r="H420" s="2"/>
      <c r="I420" s="2"/>
      <c r="J420" s="2"/>
      <c r="K420" s="2"/>
      <c r="L420" s="2"/>
      <c r="M420" s="27"/>
      <c r="N420" s="26"/>
      <c r="O420" s="2"/>
      <c r="P420" s="24"/>
    </row>
    <row r="421" spans="1:16" ht="9.75" customHeight="1">
      <c r="A421" s="18"/>
      <c r="B421" s="18" t="s">
        <v>27</v>
      </c>
      <c r="C421" s="18"/>
      <c r="D421" s="26"/>
      <c r="E421" s="2"/>
      <c r="F421" s="2"/>
      <c r="G421" s="2"/>
      <c r="H421" s="2"/>
      <c r="I421" s="2"/>
      <c r="J421" s="2"/>
      <c r="K421" s="2"/>
      <c r="L421" s="2"/>
      <c r="M421" s="27"/>
      <c r="N421" s="26"/>
      <c r="O421" s="2"/>
      <c r="P421" s="24"/>
    </row>
    <row r="422" spans="1:16" ht="9.75" customHeight="1">
      <c r="A422" s="18"/>
      <c r="B422" s="18" t="s">
        <v>99</v>
      </c>
      <c r="C422" s="18"/>
      <c r="D422" s="26"/>
      <c r="E422" s="2"/>
      <c r="F422" s="2"/>
      <c r="G422" s="2"/>
      <c r="H422" s="2"/>
      <c r="I422" s="2"/>
      <c r="J422" s="2"/>
      <c r="K422" s="2"/>
      <c r="L422" s="2"/>
      <c r="M422" s="27"/>
      <c r="N422" s="26"/>
      <c r="O422" s="2"/>
      <c r="P422" s="24"/>
    </row>
    <row r="423" spans="1:16" ht="9.75" customHeight="1">
      <c r="A423" s="18"/>
      <c r="B423" s="18" t="s">
        <v>99</v>
      </c>
      <c r="C423" s="18"/>
      <c r="D423" s="26"/>
      <c r="E423" s="2"/>
      <c r="F423" s="2"/>
      <c r="G423" s="2"/>
      <c r="H423" s="2"/>
      <c r="I423" s="2"/>
      <c r="J423" s="2"/>
      <c r="K423" s="2"/>
      <c r="L423" s="2"/>
      <c r="M423" s="27"/>
      <c r="N423" s="26"/>
      <c r="O423" s="2"/>
      <c r="P423" s="24"/>
    </row>
    <row r="424" spans="1:16" ht="9.75" customHeight="1">
      <c r="A424" s="18"/>
      <c r="B424" s="18" t="s">
        <v>32</v>
      </c>
      <c r="C424" s="18"/>
      <c r="D424" s="26"/>
      <c r="E424" s="2"/>
      <c r="F424" s="2"/>
      <c r="G424" s="2"/>
      <c r="H424" s="2"/>
      <c r="I424" s="2"/>
      <c r="J424" s="2"/>
      <c r="K424" s="2"/>
      <c r="L424" s="2"/>
      <c r="M424" s="27"/>
      <c r="N424" s="26"/>
      <c r="O424" s="2"/>
      <c r="P424" s="24"/>
    </row>
    <row r="425" spans="1:16" ht="9.75" customHeight="1">
      <c r="A425" s="18"/>
      <c r="B425" s="18" t="s">
        <v>104</v>
      </c>
      <c r="C425" s="18"/>
      <c r="D425" s="26"/>
      <c r="E425" s="2"/>
      <c r="F425" s="2"/>
      <c r="G425" s="2"/>
      <c r="H425" s="2"/>
      <c r="I425" s="2"/>
      <c r="J425" s="2"/>
      <c r="K425" s="2"/>
      <c r="L425" s="2"/>
      <c r="M425" s="27"/>
      <c r="N425" s="26"/>
      <c r="O425" s="2"/>
      <c r="P425" s="24"/>
    </row>
    <row r="426" spans="1:16" ht="9.75" customHeight="1">
      <c r="A426" s="18"/>
      <c r="B426" s="18" t="s">
        <v>104</v>
      </c>
      <c r="C426" s="18"/>
      <c r="D426" s="26"/>
      <c r="E426" s="2"/>
      <c r="F426" s="2"/>
      <c r="G426" s="2"/>
      <c r="H426" s="2"/>
      <c r="I426" s="2"/>
      <c r="J426" s="2"/>
      <c r="K426" s="2"/>
      <c r="L426" s="2"/>
      <c r="M426" s="27"/>
      <c r="N426" s="26"/>
      <c r="O426" s="2"/>
      <c r="P426" s="24"/>
    </row>
    <row r="427" spans="1:16" ht="9.75" customHeight="1">
      <c r="A427" s="18"/>
      <c r="B427" s="18" t="s">
        <v>104</v>
      </c>
      <c r="C427" s="18"/>
      <c r="D427" s="26"/>
      <c r="E427" s="2"/>
      <c r="F427" s="2"/>
      <c r="G427" s="2"/>
      <c r="H427" s="2"/>
      <c r="I427" s="2"/>
      <c r="J427" s="2"/>
      <c r="K427" s="2"/>
      <c r="L427" s="2"/>
      <c r="M427" s="27"/>
      <c r="N427" s="26"/>
      <c r="O427" s="2"/>
      <c r="P427" s="24"/>
    </row>
    <row r="428" spans="1:16" ht="9.75" customHeight="1">
      <c r="A428" s="18"/>
      <c r="B428" s="18" t="s">
        <v>104</v>
      </c>
      <c r="C428" s="18"/>
      <c r="D428" s="26"/>
      <c r="E428" s="2"/>
      <c r="F428" s="2"/>
      <c r="G428" s="2"/>
      <c r="H428" s="2"/>
      <c r="I428" s="2"/>
      <c r="J428" s="2"/>
      <c r="K428" s="2"/>
      <c r="L428" s="2"/>
      <c r="M428" s="27"/>
      <c r="N428" s="26"/>
      <c r="O428" s="2"/>
      <c r="P428" s="24"/>
    </row>
    <row r="429" spans="1:16" ht="9.75" customHeight="1">
      <c r="A429" s="18"/>
      <c r="B429" s="18" t="s">
        <v>104</v>
      </c>
      <c r="C429" s="18"/>
      <c r="D429" s="26"/>
      <c r="E429" s="2"/>
      <c r="F429" s="2"/>
      <c r="G429" s="2"/>
      <c r="H429" s="2"/>
      <c r="I429" s="2"/>
      <c r="J429" s="2"/>
      <c r="K429" s="2"/>
      <c r="L429" s="2"/>
      <c r="M429" s="27"/>
      <c r="N429" s="26"/>
      <c r="O429" s="2"/>
      <c r="P429" s="24"/>
    </row>
    <row r="430" spans="1:16" ht="9.75" customHeight="1">
      <c r="A430" s="18"/>
      <c r="B430" s="18" t="s">
        <v>104</v>
      </c>
      <c r="C430" s="18"/>
      <c r="D430" s="26"/>
      <c r="E430" s="2"/>
      <c r="F430" s="2"/>
      <c r="G430" s="2"/>
      <c r="H430" s="2"/>
      <c r="I430" s="2"/>
      <c r="J430" s="2"/>
      <c r="K430" s="2"/>
      <c r="L430" s="2"/>
      <c r="M430" s="27"/>
      <c r="N430" s="26"/>
      <c r="O430" s="2"/>
      <c r="P430" s="24"/>
    </row>
    <row r="431" spans="1:16" ht="9.75" customHeight="1">
      <c r="A431" s="18"/>
      <c r="B431" s="18" t="s">
        <v>34</v>
      </c>
      <c r="C431" s="18">
        <v>2</v>
      </c>
      <c r="D431" s="115">
        <v>1</v>
      </c>
      <c r="E431" s="116">
        <v>1</v>
      </c>
      <c r="F431" s="116">
        <v>1</v>
      </c>
      <c r="G431" s="116">
        <v>1</v>
      </c>
      <c r="H431" s="116">
        <v>1</v>
      </c>
      <c r="I431" s="52">
        <v>1</v>
      </c>
      <c r="J431" s="52">
        <v>1</v>
      </c>
      <c r="K431" s="52">
        <v>1</v>
      </c>
      <c r="L431" s="52">
        <v>1</v>
      </c>
      <c r="M431" s="87">
        <v>2</v>
      </c>
      <c r="N431" s="26">
        <f t="shared" ref="N431:N433" si="76">MIN(D431:M431)</f>
        <v>1</v>
      </c>
      <c r="O431" s="2">
        <f t="shared" ref="O431:O433" si="77">C431-N431</f>
        <v>1</v>
      </c>
      <c r="P431" s="24">
        <f t="shared" ref="P431:P433" si="78">O431/C431</f>
        <v>0.5</v>
      </c>
    </row>
    <row r="432" spans="1:16" ht="9.75" customHeight="1">
      <c r="A432" s="18"/>
      <c r="B432" s="18" t="s">
        <v>35</v>
      </c>
      <c r="C432" s="18">
        <v>4</v>
      </c>
      <c r="D432" s="115">
        <v>2</v>
      </c>
      <c r="E432" s="116">
        <v>2</v>
      </c>
      <c r="F432" s="116">
        <v>2</v>
      </c>
      <c r="G432" s="116">
        <v>2</v>
      </c>
      <c r="H432" s="116">
        <v>2</v>
      </c>
      <c r="I432" s="52">
        <v>2</v>
      </c>
      <c r="J432" s="52">
        <v>2</v>
      </c>
      <c r="K432" s="52">
        <v>2</v>
      </c>
      <c r="L432" s="52">
        <v>2</v>
      </c>
      <c r="M432" s="87">
        <v>2</v>
      </c>
      <c r="N432" s="26">
        <f t="shared" si="76"/>
        <v>2</v>
      </c>
      <c r="O432" s="2">
        <f t="shared" si="77"/>
        <v>2</v>
      </c>
      <c r="P432" s="24">
        <f t="shared" si="78"/>
        <v>0.5</v>
      </c>
    </row>
    <row r="433" spans="1:16" ht="9.75" customHeight="1">
      <c r="A433" s="18"/>
      <c r="B433" s="18" t="s">
        <v>36</v>
      </c>
      <c r="C433" s="18">
        <v>11</v>
      </c>
      <c r="D433" s="26">
        <f>11-3</f>
        <v>8</v>
      </c>
      <c r="E433" s="2">
        <f>11-4</f>
        <v>7</v>
      </c>
      <c r="F433" s="116">
        <v>7</v>
      </c>
      <c r="G433" s="116">
        <v>7</v>
      </c>
      <c r="H433" s="116">
        <v>7</v>
      </c>
      <c r="I433" s="52">
        <v>6</v>
      </c>
      <c r="J433" s="52">
        <v>6</v>
      </c>
      <c r="K433" s="52">
        <v>6</v>
      </c>
      <c r="L433" s="52">
        <v>7</v>
      </c>
      <c r="M433" s="87">
        <v>6</v>
      </c>
      <c r="N433" s="26">
        <f t="shared" si="76"/>
        <v>6</v>
      </c>
      <c r="O433" s="2">
        <f t="shared" si="77"/>
        <v>5</v>
      </c>
      <c r="P433" s="24">
        <f t="shared" si="78"/>
        <v>0.45454545454545453</v>
      </c>
    </row>
    <row r="434" spans="1:16" ht="9.75" customHeight="1">
      <c r="A434" s="18"/>
      <c r="B434" s="18" t="s">
        <v>37</v>
      </c>
      <c r="C434" s="18"/>
      <c r="D434" s="26"/>
      <c r="E434" s="2"/>
      <c r="F434" s="2"/>
      <c r="G434" s="2"/>
      <c r="H434" s="2"/>
      <c r="I434" s="2"/>
      <c r="J434" s="2"/>
      <c r="K434" s="2"/>
      <c r="L434" s="2"/>
      <c r="M434" s="27"/>
      <c r="N434" s="26"/>
      <c r="O434" s="2"/>
      <c r="P434" s="24"/>
    </row>
    <row r="435" spans="1:16" ht="9.75" customHeight="1">
      <c r="A435" s="32"/>
      <c r="B435" s="33" t="s">
        <v>38</v>
      </c>
      <c r="C435" s="33">
        <f t="shared" ref="C435:M435" si="79">SUM(C419:C434)</f>
        <v>17</v>
      </c>
      <c r="D435" s="70">
        <f t="shared" si="79"/>
        <v>11</v>
      </c>
      <c r="E435" s="71">
        <f t="shared" si="79"/>
        <v>10</v>
      </c>
      <c r="F435" s="71">
        <f t="shared" si="79"/>
        <v>10</v>
      </c>
      <c r="G435" s="71">
        <f t="shared" si="79"/>
        <v>10</v>
      </c>
      <c r="H435" s="71">
        <f t="shared" si="79"/>
        <v>10</v>
      </c>
      <c r="I435" s="71">
        <f t="shared" si="79"/>
        <v>9</v>
      </c>
      <c r="J435" s="71">
        <f t="shared" si="79"/>
        <v>9</v>
      </c>
      <c r="K435" s="71">
        <f t="shared" si="79"/>
        <v>9</v>
      </c>
      <c r="L435" s="71">
        <f t="shared" si="79"/>
        <v>10</v>
      </c>
      <c r="M435" s="93">
        <f t="shared" si="79"/>
        <v>10</v>
      </c>
      <c r="N435" s="70">
        <f>MIN(D435:M435)</f>
        <v>9</v>
      </c>
      <c r="O435" s="71">
        <f>C435-N435</f>
        <v>8</v>
      </c>
      <c r="P435" s="40">
        <f>O435/C435</f>
        <v>0.47058823529411764</v>
      </c>
    </row>
    <row r="436" spans="1:16" ht="9.75" customHeight="1">
      <c r="A436" s="66" t="s">
        <v>153</v>
      </c>
      <c r="B436" s="66" t="s">
        <v>23</v>
      </c>
      <c r="C436" s="66"/>
      <c r="D436" s="41"/>
      <c r="E436" s="72"/>
      <c r="F436" s="72"/>
      <c r="G436" s="72"/>
      <c r="H436" s="72"/>
      <c r="I436" s="72"/>
      <c r="J436" s="72"/>
      <c r="K436" s="72"/>
      <c r="L436" s="72"/>
      <c r="M436" s="73"/>
      <c r="N436" s="41"/>
      <c r="O436" s="72"/>
      <c r="P436" s="99"/>
    </row>
    <row r="437" spans="1:16" ht="9.75" customHeight="1">
      <c r="A437" s="18"/>
      <c r="B437" s="18" t="s">
        <v>25</v>
      </c>
      <c r="C437" s="18"/>
      <c r="D437" s="26"/>
      <c r="E437" s="2"/>
      <c r="F437" s="2"/>
      <c r="G437" s="2"/>
      <c r="H437" s="2"/>
      <c r="I437" s="2"/>
      <c r="J437" s="2"/>
      <c r="K437" s="2"/>
      <c r="L437" s="2"/>
      <c r="M437" s="27"/>
      <c r="N437" s="26"/>
      <c r="O437" s="2"/>
      <c r="P437" s="24"/>
    </row>
    <row r="438" spans="1:16" ht="9.75" customHeight="1">
      <c r="A438" s="18"/>
      <c r="B438" s="18" t="s">
        <v>27</v>
      </c>
      <c r="C438" s="18"/>
      <c r="D438" s="26"/>
      <c r="E438" s="2"/>
      <c r="F438" s="2"/>
      <c r="G438" s="2"/>
      <c r="H438" s="2"/>
      <c r="I438" s="2"/>
      <c r="J438" s="2"/>
      <c r="K438" s="2"/>
      <c r="L438" s="2"/>
      <c r="M438" s="27"/>
      <c r="N438" s="26"/>
      <c r="O438" s="2"/>
      <c r="P438" s="24"/>
    </row>
    <row r="439" spans="1:16" ht="9.75" customHeight="1">
      <c r="A439" s="18"/>
      <c r="B439" s="18" t="s">
        <v>99</v>
      </c>
      <c r="C439" s="18"/>
      <c r="D439" s="26"/>
      <c r="E439" s="2"/>
      <c r="F439" s="2"/>
      <c r="G439" s="2"/>
      <c r="H439" s="2"/>
      <c r="I439" s="2"/>
      <c r="J439" s="2"/>
      <c r="K439" s="2"/>
      <c r="L439" s="2"/>
      <c r="M439" s="27"/>
      <c r="N439" s="26"/>
      <c r="O439" s="2"/>
      <c r="P439" s="24"/>
    </row>
    <row r="440" spans="1:16" ht="9.75" customHeight="1">
      <c r="A440" s="18"/>
      <c r="B440" s="18" t="s">
        <v>99</v>
      </c>
      <c r="C440" s="18"/>
      <c r="D440" s="26"/>
      <c r="E440" s="2"/>
      <c r="F440" s="2"/>
      <c r="G440" s="2"/>
      <c r="H440" s="2"/>
      <c r="I440" s="2"/>
      <c r="J440" s="2"/>
      <c r="K440" s="2"/>
      <c r="L440" s="2"/>
      <c r="M440" s="27"/>
      <c r="N440" s="26"/>
      <c r="O440" s="2"/>
      <c r="P440" s="24"/>
    </row>
    <row r="441" spans="1:16" ht="9.75" customHeight="1">
      <c r="A441" s="18"/>
      <c r="B441" s="18" t="s">
        <v>32</v>
      </c>
      <c r="C441" s="18"/>
      <c r="D441" s="26"/>
      <c r="E441" s="2"/>
      <c r="F441" s="2"/>
      <c r="G441" s="2"/>
      <c r="H441" s="2"/>
      <c r="I441" s="2"/>
      <c r="J441" s="2"/>
      <c r="K441" s="2"/>
      <c r="L441" s="2"/>
      <c r="M441" s="27"/>
      <c r="N441" s="26"/>
      <c r="O441" s="2"/>
      <c r="P441" s="24"/>
    </row>
    <row r="442" spans="1:16" ht="9.75" customHeight="1">
      <c r="A442" s="18"/>
      <c r="B442" s="18" t="s">
        <v>104</v>
      </c>
      <c r="C442" s="18"/>
      <c r="D442" s="26"/>
      <c r="E442" s="2"/>
      <c r="F442" s="2"/>
      <c r="G442" s="2"/>
      <c r="H442" s="2"/>
      <c r="I442" s="2"/>
      <c r="J442" s="2"/>
      <c r="K442" s="2"/>
      <c r="L442" s="2"/>
      <c r="M442" s="27"/>
      <c r="N442" s="26"/>
      <c r="O442" s="2"/>
      <c r="P442" s="24"/>
    </row>
    <row r="443" spans="1:16" ht="9.75" customHeight="1">
      <c r="A443" s="18"/>
      <c r="B443" s="18" t="s">
        <v>104</v>
      </c>
      <c r="C443" s="18"/>
      <c r="D443" s="26"/>
      <c r="E443" s="2"/>
      <c r="F443" s="2"/>
      <c r="G443" s="2"/>
      <c r="H443" s="2"/>
      <c r="I443" s="2"/>
      <c r="J443" s="2"/>
      <c r="K443" s="2"/>
      <c r="L443" s="2"/>
      <c r="M443" s="27"/>
      <c r="N443" s="26"/>
      <c r="O443" s="2"/>
      <c r="P443" s="24"/>
    </row>
    <row r="444" spans="1:16" ht="9.75" customHeight="1">
      <c r="A444" s="18"/>
      <c r="B444" s="18" t="s">
        <v>104</v>
      </c>
      <c r="C444" s="18"/>
      <c r="D444" s="26"/>
      <c r="E444" s="2"/>
      <c r="F444" s="2"/>
      <c r="G444" s="2"/>
      <c r="H444" s="2"/>
      <c r="I444" s="2"/>
      <c r="J444" s="2"/>
      <c r="K444" s="2"/>
      <c r="L444" s="2"/>
      <c r="M444" s="27"/>
      <c r="N444" s="26"/>
      <c r="O444" s="2"/>
      <c r="P444" s="24"/>
    </row>
    <row r="445" spans="1:16" ht="9.75" customHeight="1">
      <c r="A445" s="18"/>
      <c r="B445" s="18" t="s">
        <v>104</v>
      </c>
      <c r="C445" s="18"/>
      <c r="D445" s="26"/>
      <c r="E445" s="2"/>
      <c r="F445" s="2"/>
      <c r="G445" s="2"/>
      <c r="H445" s="2"/>
      <c r="I445" s="2"/>
      <c r="J445" s="2"/>
      <c r="K445" s="2"/>
      <c r="L445" s="2"/>
      <c r="M445" s="27"/>
      <c r="N445" s="26"/>
      <c r="O445" s="2"/>
      <c r="P445" s="24"/>
    </row>
    <row r="446" spans="1:16" ht="9.75" customHeight="1">
      <c r="A446" s="18"/>
      <c r="B446" s="18" t="s">
        <v>104</v>
      </c>
      <c r="C446" s="18"/>
      <c r="D446" s="26"/>
      <c r="E446" s="2"/>
      <c r="F446" s="2"/>
      <c r="G446" s="2"/>
      <c r="H446" s="2"/>
      <c r="I446" s="2"/>
      <c r="J446" s="2"/>
      <c r="K446" s="2"/>
      <c r="L446" s="2"/>
      <c r="M446" s="27"/>
      <c r="N446" s="26"/>
      <c r="O446" s="2"/>
      <c r="P446" s="24"/>
    </row>
    <row r="447" spans="1:16" ht="9.75" customHeight="1">
      <c r="A447" s="18"/>
      <c r="B447" s="18" t="s">
        <v>104</v>
      </c>
      <c r="C447" s="18"/>
      <c r="D447" s="26"/>
      <c r="E447" s="2"/>
      <c r="F447" s="2"/>
      <c r="G447" s="2"/>
      <c r="H447" s="2"/>
      <c r="I447" s="2"/>
      <c r="J447" s="2"/>
      <c r="K447" s="2"/>
      <c r="L447" s="2"/>
      <c r="M447" s="27"/>
      <c r="N447" s="26"/>
      <c r="O447" s="2"/>
      <c r="P447" s="24"/>
    </row>
    <row r="448" spans="1:16" ht="9.75" customHeight="1">
      <c r="A448" s="18"/>
      <c r="B448" s="18" t="s">
        <v>34</v>
      </c>
      <c r="C448" s="18"/>
      <c r="D448" s="26"/>
      <c r="E448" s="2"/>
      <c r="F448" s="2"/>
      <c r="G448" s="2"/>
      <c r="H448" s="2"/>
      <c r="I448" s="2"/>
      <c r="J448" s="2"/>
      <c r="K448" s="2"/>
      <c r="L448" s="2"/>
      <c r="M448" s="27"/>
      <c r="N448" s="26"/>
      <c r="O448" s="2"/>
      <c r="P448" s="24"/>
    </row>
    <row r="449" spans="1:16" ht="9.75" customHeight="1">
      <c r="A449" s="18"/>
      <c r="B449" s="18" t="s">
        <v>35</v>
      </c>
      <c r="C449" s="18"/>
      <c r="D449" s="26"/>
      <c r="E449" s="2"/>
      <c r="F449" s="2"/>
      <c r="G449" s="2"/>
      <c r="H449" s="2"/>
      <c r="I449" s="2"/>
      <c r="J449" s="2"/>
      <c r="K449" s="2"/>
      <c r="L449" s="2"/>
      <c r="M449" s="27"/>
      <c r="N449" s="26"/>
      <c r="O449" s="2"/>
      <c r="P449" s="24"/>
    </row>
    <row r="450" spans="1:16" ht="9.75" customHeight="1">
      <c r="A450" s="18"/>
      <c r="B450" s="18" t="s">
        <v>36</v>
      </c>
      <c r="C450" s="18">
        <v>5</v>
      </c>
      <c r="D450" s="115">
        <v>3</v>
      </c>
      <c r="E450" s="116">
        <v>2</v>
      </c>
      <c r="F450" s="116">
        <v>2</v>
      </c>
      <c r="G450" s="116">
        <v>3</v>
      </c>
      <c r="H450" s="116">
        <v>3</v>
      </c>
      <c r="I450" s="52">
        <v>3</v>
      </c>
      <c r="J450" s="52">
        <v>2</v>
      </c>
      <c r="K450" s="52">
        <v>2</v>
      </c>
      <c r="L450" s="52">
        <v>3</v>
      </c>
      <c r="M450" s="87">
        <v>3</v>
      </c>
      <c r="N450" s="26">
        <f>MIN(D450:M450)</f>
        <v>2</v>
      </c>
      <c r="O450" s="2">
        <f>C450-N450</f>
        <v>3</v>
      </c>
      <c r="P450" s="24">
        <f>O450/C450</f>
        <v>0.6</v>
      </c>
    </row>
    <row r="451" spans="1:16" ht="9.75" customHeight="1">
      <c r="A451" s="18"/>
      <c r="B451" s="18" t="s">
        <v>37</v>
      </c>
      <c r="C451" s="18"/>
      <c r="D451" s="26"/>
      <c r="E451" s="2"/>
      <c r="F451" s="2"/>
      <c r="G451" s="2"/>
      <c r="H451" s="2"/>
      <c r="I451" s="2"/>
      <c r="J451" s="2"/>
      <c r="K451" s="2"/>
      <c r="L451" s="2"/>
      <c r="M451" s="27"/>
      <c r="N451" s="26"/>
      <c r="O451" s="2"/>
      <c r="P451" s="24"/>
    </row>
    <row r="452" spans="1:16" ht="9.75" customHeight="1">
      <c r="A452" s="32"/>
      <c r="B452" s="33" t="s">
        <v>38</v>
      </c>
      <c r="C452" s="70">
        <v>5</v>
      </c>
      <c r="D452" s="70">
        <f t="shared" ref="D452:M452" si="80">SUM(D436:D451)</f>
        <v>3</v>
      </c>
      <c r="E452" s="71">
        <f t="shared" si="80"/>
        <v>2</v>
      </c>
      <c r="F452" s="71">
        <f t="shared" si="80"/>
        <v>2</v>
      </c>
      <c r="G452" s="71">
        <f t="shared" si="80"/>
        <v>3</v>
      </c>
      <c r="H452" s="71">
        <f t="shared" si="80"/>
        <v>3</v>
      </c>
      <c r="I452" s="71">
        <f t="shared" si="80"/>
        <v>3</v>
      </c>
      <c r="J452" s="71">
        <f t="shared" si="80"/>
        <v>2</v>
      </c>
      <c r="K452" s="71">
        <f t="shared" si="80"/>
        <v>2</v>
      </c>
      <c r="L452" s="71">
        <f t="shared" si="80"/>
        <v>3</v>
      </c>
      <c r="M452" s="93">
        <f t="shared" si="80"/>
        <v>3</v>
      </c>
      <c r="N452" s="70">
        <f>MIN(D452:M452)</f>
        <v>2</v>
      </c>
      <c r="O452" s="71">
        <f>C452-N452</f>
        <v>3</v>
      </c>
      <c r="P452" s="40">
        <f>O452/C452</f>
        <v>0.6</v>
      </c>
    </row>
    <row r="453" spans="1:16" ht="9.75" customHeight="1">
      <c r="A453" s="18" t="s">
        <v>154</v>
      </c>
      <c r="B453" s="66" t="s">
        <v>23</v>
      </c>
      <c r="C453" s="66">
        <v>10</v>
      </c>
      <c r="D453" s="26">
        <v>7</v>
      </c>
      <c r="E453" s="2">
        <v>0</v>
      </c>
      <c r="F453" s="2">
        <v>0</v>
      </c>
      <c r="G453" s="116">
        <v>1</v>
      </c>
      <c r="H453" s="116">
        <v>1</v>
      </c>
      <c r="I453" s="48">
        <v>1</v>
      </c>
      <c r="J453" s="48">
        <v>1</v>
      </c>
      <c r="K453" s="48">
        <v>1</v>
      </c>
      <c r="L453" s="48">
        <v>1</v>
      </c>
      <c r="M453" s="86">
        <v>2</v>
      </c>
      <c r="N453" s="26">
        <f>MIN(D453:M453)</f>
        <v>0</v>
      </c>
      <c r="O453" s="72">
        <f>C453-N453</f>
        <v>10</v>
      </c>
      <c r="P453" s="99">
        <f>O453/C453</f>
        <v>1</v>
      </c>
    </row>
    <row r="454" spans="1:16" ht="9.75" customHeight="1">
      <c r="A454" s="18"/>
      <c r="B454" s="18" t="s">
        <v>25</v>
      </c>
      <c r="C454" s="18"/>
      <c r="D454" s="26"/>
      <c r="E454" s="2"/>
      <c r="F454" s="2"/>
      <c r="G454" s="2"/>
      <c r="H454" s="2"/>
      <c r="I454" s="2"/>
      <c r="J454" s="2"/>
      <c r="K454" s="2"/>
      <c r="L454" s="2"/>
      <c r="M454" s="27"/>
      <c r="N454" s="26"/>
      <c r="O454" s="2"/>
      <c r="P454" s="24"/>
    </row>
    <row r="455" spans="1:16" ht="9.75" customHeight="1">
      <c r="A455" s="18"/>
      <c r="B455" s="18" t="s">
        <v>27</v>
      </c>
      <c r="C455" s="18"/>
      <c r="D455" s="26"/>
      <c r="E455" s="2"/>
      <c r="F455" s="2"/>
      <c r="G455" s="2"/>
      <c r="H455" s="2"/>
      <c r="I455" s="2"/>
      <c r="J455" s="2"/>
      <c r="K455" s="2"/>
      <c r="L455" s="2"/>
      <c r="M455" s="27"/>
      <c r="N455" s="26"/>
      <c r="O455" s="2"/>
      <c r="P455" s="24"/>
    </row>
    <row r="456" spans="1:16" ht="9.75" customHeight="1">
      <c r="A456" s="18"/>
      <c r="B456" s="18" t="s">
        <v>99</v>
      </c>
      <c r="C456" s="18"/>
      <c r="D456" s="26"/>
      <c r="E456" s="2"/>
      <c r="F456" s="2"/>
      <c r="G456" s="2"/>
      <c r="H456" s="2"/>
      <c r="I456" s="2"/>
      <c r="J456" s="2"/>
      <c r="K456" s="2"/>
      <c r="L456" s="2"/>
      <c r="M456" s="27"/>
      <c r="N456" s="26"/>
      <c r="O456" s="2"/>
      <c r="P456" s="24"/>
    </row>
    <row r="457" spans="1:16" ht="9.75" customHeight="1">
      <c r="A457" s="18"/>
      <c r="B457" s="18" t="s">
        <v>99</v>
      </c>
      <c r="C457" s="18"/>
      <c r="D457" s="26"/>
      <c r="E457" s="2"/>
      <c r="F457" s="2"/>
      <c r="G457" s="2"/>
      <c r="H457" s="2"/>
      <c r="I457" s="2"/>
      <c r="J457" s="2"/>
      <c r="K457" s="2"/>
      <c r="L457" s="2"/>
      <c r="M457" s="27"/>
      <c r="N457" s="26"/>
      <c r="O457" s="2"/>
      <c r="P457" s="24"/>
    </row>
    <row r="458" spans="1:16" ht="9.75" customHeight="1">
      <c r="A458" s="18"/>
      <c r="B458" s="18" t="s">
        <v>32</v>
      </c>
      <c r="C458" s="18"/>
      <c r="D458" s="26"/>
      <c r="E458" s="2"/>
      <c r="F458" s="2"/>
      <c r="G458" s="2"/>
      <c r="H458" s="2"/>
      <c r="I458" s="2"/>
      <c r="J458" s="2"/>
      <c r="K458" s="2"/>
      <c r="L458" s="2"/>
      <c r="M458" s="27"/>
      <c r="N458" s="26"/>
      <c r="O458" s="2"/>
      <c r="P458" s="24"/>
    </row>
    <row r="459" spans="1:16" ht="9.75" customHeight="1">
      <c r="A459" s="18"/>
      <c r="B459" s="18" t="s">
        <v>104</v>
      </c>
      <c r="C459" s="18"/>
      <c r="D459" s="26"/>
      <c r="E459" s="2"/>
      <c r="F459" s="2"/>
      <c r="G459" s="2"/>
      <c r="H459" s="2"/>
      <c r="I459" s="2"/>
      <c r="J459" s="2"/>
      <c r="K459" s="2"/>
      <c r="L459" s="2"/>
      <c r="M459" s="27"/>
      <c r="N459" s="26"/>
      <c r="O459" s="2"/>
      <c r="P459" s="24"/>
    </row>
    <row r="460" spans="1:16" ht="9.75" customHeight="1">
      <c r="A460" s="18"/>
      <c r="B460" s="18" t="s">
        <v>104</v>
      </c>
      <c r="C460" s="18"/>
      <c r="D460" s="26"/>
      <c r="E460" s="2"/>
      <c r="F460" s="2"/>
      <c r="G460" s="2"/>
      <c r="H460" s="2"/>
      <c r="I460" s="2"/>
      <c r="J460" s="2"/>
      <c r="K460" s="2"/>
      <c r="L460" s="2"/>
      <c r="M460" s="27"/>
      <c r="N460" s="26"/>
      <c r="O460" s="2"/>
      <c r="P460" s="24"/>
    </row>
    <row r="461" spans="1:16" ht="9.75" customHeight="1">
      <c r="A461" s="18"/>
      <c r="B461" s="18" t="s">
        <v>104</v>
      </c>
      <c r="C461" s="18"/>
      <c r="D461" s="26"/>
      <c r="E461" s="2"/>
      <c r="F461" s="2"/>
      <c r="G461" s="2"/>
      <c r="H461" s="2"/>
      <c r="I461" s="2"/>
      <c r="J461" s="2"/>
      <c r="K461" s="2"/>
      <c r="L461" s="2"/>
      <c r="M461" s="27"/>
      <c r="N461" s="26"/>
      <c r="O461" s="2"/>
      <c r="P461" s="24"/>
    </row>
    <row r="462" spans="1:16" ht="9.75" customHeight="1">
      <c r="A462" s="18"/>
      <c r="B462" s="18" t="s">
        <v>104</v>
      </c>
      <c r="C462" s="18"/>
      <c r="D462" s="26"/>
      <c r="E462" s="2"/>
      <c r="F462" s="2"/>
      <c r="G462" s="2"/>
      <c r="H462" s="2"/>
      <c r="I462" s="2"/>
      <c r="J462" s="2"/>
      <c r="K462" s="2"/>
      <c r="L462" s="2"/>
      <c r="M462" s="27"/>
      <c r="N462" s="26"/>
      <c r="O462" s="2"/>
      <c r="P462" s="24"/>
    </row>
    <row r="463" spans="1:16" ht="9.75" customHeight="1">
      <c r="A463" s="18"/>
      <c r="B463" s="18" t="s">
        <v>104</v>
      </c>
      <c r="C463" s="18"/>
      <c r="D463" s="26"/>
      <c r="E463" s="2"/>
      <c r="F463" s="2"/>
      <c r="G463" s="2"/>
      <c r="H463" s="2"/>
      <c r="I463" s="2"/>
      <c r="J463" s="2"/>
      <c r="K463" s="2"/>
      <c r="L463" s="2"/>
      <c r="M463" s="27"/>
      <c r="N463" s="26"/>
      <c r="O463" s="2"/>
      <c r="P463" s="24"/>
    </row>
    <row r="464" spans="1:16" ht="9.75" customHeight="1">
      <c r="A464" s="18"/>
      <c r="B464" s="18" t="s">
        <v>104</v>
      </c>
      <c r="C464" s="18"/>
      <c r="D464" s="26"/>
      <c r="E464" s="2"/>
      <c r="F464" s="2"/>
      <c r="G464" s="2"/>
      <c r="H464" s="2"/>
      <c r="I464" s="2"/>
      <c r="J464" s="2"/>
      <c r="K464" s="2"/>
      <c r="L464" s="2"/>
      <c r="M464" s="27"/>
      <c r="N464" s="26"/>
      <c r="O464" s="2"/>
      <c r="P464" s="24"/>
    </row>
    <row r="465" spans="1:16" ht="9.75" customHeight="1">
      <c r="A465" s="18"/>
      <c r="B465" s="18" t="s">
        <v>34</v>
      </c>
      <c r="C465" s="18"/>
      <c r="D465" s="26"/>
      <c r="E465" s="2"/>
      <c r="F465" s="2"/>
      <c r="G465" s="2"/>
      <c r="H465" s="2"/>
      <c r="I465" s="2"/>
      <c r="J465" s="2"/>
      <c r="K465" s="2"/>
      <c r="L465" s="2"/>
      <c r="M465" s="27"/>
      <c r="N465" s="26"/>
      <c r="O465" s="2"/>
      <c r="P465" s="24"/>
    </row>
    <row r="466" spans="1:16" ht="9.75" customHeight="1">
      <c r="A466" s="18"/>
      <c r="B466" s="18" t="s">
        <v>35</v>
      </c>
      <c r="C466" s="18"/>
      <c r="D466" s="26"/>
      <c r="E466" s="2"/>
      <c r="F466" s="2"/>
      <c r="G466" s="2"/>
      <c r="H466" s="2"/>
      <c r="I466" s="2"/>
      <c r="J466" s="2"/>
      <c r="K466" s="2"/>
      <c r="L466" s="2"/>
      <c r="M466" s="27"/>
      <c r="N466" s="26"/>
      <c r="O466" s="2"/>
      <c r="P466" s="24"/>
    </row>
    <row r="467" spans="1:16" ht="9.75" customHeight="1">
      <c r="A467" s="18"/>
      <c r="B467" s="18" t="s">
        <v>36</v>
      </c>
      <c r="C467" s="18"/>
      <c r="D467" s="26"/>
      <c r="E467" s="2"/>
      <c r="F467" s="2"/>
      <c r="G467" s="2"/>
      <c r="H467" s="2"/>
      <c r="I467" s="2"/>
      <c r="J467" s="2"/>
      <c r="K467" s="2"/>
      <c r="L467" s="2"/>
      <c r="M467" s="27"/>
      <c r="N467" s="26"/>
      <c r="O467" s="2"/>
      <c r="P467" s="24"/>
    </row>
    <row r="468" spans="1:16" ht="9.75" customHeight="1">
      <c r="A468" s="18"/>
      <c r="B468" s="18" t="s">
        <v>37</v>
      </c>
      <c r="C468" s="18"/>
      <c r="D468" s="26"/>
      <c r="E468" s="2"/>
      <c r="F468" s="2"/>
      <c r="G468" s="2"/>
      <c r="H468" s="2"/>
      <c r="I468" s="2"/>
      <c r="J468" s="2"/>
      <c r="K468" s="2"/>
      <c r="L468" s="2"/>
      <c r="M468" s="27"/>
      <c r="N468" s="26"/>
      <c r="O468" s="2"/>
      <c r="P468" s="24"/>
    </row>
    <row r="469" spans="1:16" ht="9.75" customHeight="1">
      <c r="A469" s="18"/>
      <c r="B469" s="33" t="s">
        <v>38</v>
      </c>
      <c r="C469" s="33">
        <f t="shared" ref="C469:M469" si="81">SUM(C453:C468)</f>
        <v>10</v>
      </c>
      <c r="D469" s="70">
        <f t="shared" si="81"/>
        <v>7</v>
      </c>
      <c r="E469" s="71">
        <f t="shared" si="81"/>
        <v>0</v>
      </c>
      <c r="F469" s="71">
        <f t="shared" si="81"/>
        <v>0</v>
      </c>
      <c r="G469" s="71">
        <f t="shared" si="81"/>
        <v>1</v>
      </c>
      <c r="H469" s="71">
        <f t="shared" si="81"/>
        <v>1</v>
      </c>
      <c r="I469" s="39">
        <f t="shared" si="81"/>
        <v>1</v>
      </c>
      <c r="J469" s="39">
        <f t="shared" si="81"/>
        <v>1</v>
      </c>
      <c r="K469" s="39">
        <f t="shared" si="81"/>
        <v>1</v>
      </c>
      <c r="L469" s="39">
        <f t="shared" si="81"/>
        <v>1</v>
      </c>
      <c r="M469" s="95">
        <f t="shared" si="81"/>
        <v>2</v>
      </c>
      <c r="N469" s="70">
        <f>MIN(D469:M469)</f>
        <v>0</v>
      </c>
      <c r="O469" s="71">
        <f>C469-N469</f>
        <v>10</v>
      </c>
      <c r="P469" s="40">
        <f>O469/C469</f>
        <v>1</v>
      </c>
    </row>
    <row r="470" spans="1:16" ht="9.75" customHeight="1">
      <c r="A470" s="66" t="s">
        <v>155</v>
      </c>
      <c r="B470" s="66" t="s">
        <v>23</v>
      </c>
      <c r="C470" s="66"/>
      <c r="D470" s="41"/>
      <c r="E470" s="72"/>
      <c r="F470" s="72"/>
      <c r="G470" s="72"/>
      <c r="H470" s="72"/>
      <c r="I470" s="72"/>
      <c r="J470" s="72"/>
      <c r="K470" s="72"/>
      <c r="L470" s="72"/>
      <c r="M470" s="73"/>
      <c r="N470" s="41"/>
      <c r="O470" s="72"/>
      <c r="P470" s="99"/>
    </row>
    <row r="471" spans="1:16" ht="9.75" customHeight="1">
      <c r="A471" s="18"/>
      <c r="B471" s="18" t="s">
        <v>25</v>
      </c>
      <c r="C471" s="18"/>
      <c r="D471" s="26"/>
      <c r="E471" s="2"/>
      <c r="F471" s="2"/>
      <c r="G471" s="2"/>
      <c r="H471" s="2"/>
      <c r="I471" s="2"/>
      <c r="J471" s="2"/>
      <c r="K471" s="2"/>
      <c r="L471" s="2"/>
      <c r="M471" s="27"/>
      <c r="N471" s="26"/>
      <c r="O471" s="2"/>
      <c r="P471" s="24"/>
    </row>
    <row r="472" spans="1:16" ht="9.75" customHeight="1">
      <c r="A472" s="18"/>
      <c r="B472" s="18" t="s">
        <v>27</v>
      </c>
      <c r="C472" s="18"/>
      <c r="D472" s="26"/>
      <c r="E472" s="2"/>
      <c r="F472" s="2"/>
      <c r="G472" s="2"/>
      <c r="H472" s="2"/>
      <c r="I472" s="2"/>
      <c r="J472" s="2"/>
      <c r="K472" s="2"/>
      <c r="L472" s="2"/>
      <c r="M472" s="27"/>
      <c r="N472" s="26"/>
      <c r="O472" s="2"/>
      <c r="P472" s="24"/>
    </row>
    <row r="473" spans="1:16" ht="9.75" customHeight="1">
      <c r="A473" s="18"/>
      <c r="B473" s="18" t="s">
        <v>99</v>
      </c>
      <c r="C473" s="18"/>
      <c r="D473" s="26"/>
      <c r="E473" s="2"/>
      <c r="F473" s="2"/>
      <c r="G473" s="2"/>
      <c r="H473" s="2"/>
      <c r="I473" s="2"/>
      <c r="J473" s="2"/>
      <c r="K473" s="2"/>
      <c r="L473" s="2"/>
      <c r="M473" s="27"/>
      <c r="N473" s="26"/>
      <c r="O473" s="2"/>
      <c r="P473" s="24"/>
    </row>
    <row r="474" spans="1:16" ht="9.75" customHeight="1">
      <c r="A474" s="18"/>
      <c r="B474" s="18" t="s">
        <v>99</v>
      </c>
      <c r="C474" s="18"/>
      <c r="D474" s="26"/>
      <c r="E474" s="2"/>
      <c r="F474" s="2"/>
      <c r="G474" s="2"/>
      <c r="H474" s="2"/>
      <c r="I474" s="2"/>
      <c r="J474" s="2"/>
      <c r="K474" s="2"/>
      <c r="L474" s="2"/>
      <c r="M474" s="27"/>
      <c r="N474" s="26"/>
      <c r="O474" s="2"/>
      <c r="P474" s="24"/>
    </row>
    <row r="475" spans="1:16" ht="9.75" customHeight="1">
      <c r="A475" s="18"/>
      <c r="B475" s="18" t="s">
        <v>32</v>
      </c>
      <c r="C475" s="18"/>
      <c r="D475" s="26"/>
      <c r="E475" s="2"/>
      <c r="F475" s="2"/>
      <c r="G475" s="2"/>
      <c r="H475" s="2"/>
      <c r="I475" s="2"/>
      <c r="J475" s="2"/>
      <c r="K475" s="2"/>
      <c r="L475" s="2"/>
      <c r="M475" s="27"/>
      <c r="N475" s="26"/>
      <c r="O475" s="2"/>
      <c r="P475" s="24"/>
    </row>
    <row r="476" spans="1:16" ht="9.75" customHeight="1">
      <c r="A476" s="18"/>
      <c r="B476" s="18" t="s">
        <v>104</v>
      </c>
      <c r="C476" s="18"/>
      <c r="D476" s="26"/>
      <c r="E476" s="2"/>
      <c r="F476" s="2"/>
      <c r="G476" s="2"/>
      <c r="H476" s="2"/>
      <c r="I476" s="2"/>
      <c r="J476" s="2"/>
      <c r="K476" s="2"/>
      <c r="L476" s="2"/>
      <c r="M476" s="27"/>
      <c r="N476" s="26"/>
      <c r="O476" s="2"/>
      <c r="P476" s="24"/>
    </row>
    <row r="477" spans="1:16" ht="9.75" customHeight="1">
      <c r="A477" s="18"/>
      <c r="B477" s="18" t="s">
        <v>104</v>
      </c>
      <c r="C477" s="18"/>
      <c r="D477" s="26"/>
      <c r="E477" s="2"/>
      <c r="F477" s="2"/>
      <c r="G477" s="2"/>
      <c r="H477" s="2"/>
      <c r="I477" s="2"/>
      <c r="J477" s="2"/>
      <c r="K477" s="2"/>
      <c r="L477" s="2"/>
      <c r="M477" s="27"/>
      <c r="N477" s="26"/>
      <c r="O477" s="2"/>
      <c r="P477" s="24"/>
    </row>
    <row r="478" spans="1:16" ht="9.75" customHeight="1">
      <c r="A478" s="18"/>
      <c r="B478" s="18" t="s">
        <v>104</v>
      </c>
      <c r="C478" s="18"/>
      <c r="D478" s="26"/>
      <c r="E478" s="2"/>
      <c r="F478" s="2"/>
      <c r="G478" s="2"/>
      <c r="H478" s="2"/>
      <c r="I478" s="2"/>
      <c r="J478" s="2"/>
      <c r="K478" s="2"/>
      <c r="L478" s="2"/>
      <c r="M478" s="27"/>
      <c r="N478" s="26"/>
      <c r="O478" s="2"/>
      <c r="P478" s="24"/>
    </row>
    <row r="479" spans="1:16" ht="9.75" customHeight="1">
      <c r="A479" s="18"/>
      <c r="B479" s="18" t="s">
        <v>104</v>
      </c>
      <c r="C479" s="18"/>
      <c r="D479" s="26"/>
      <c r="E479" s="2"/>
      <c r="F479" s="2"/>
      <c r="G479" s="2"/>
      <c r="H479" s="2"/>
      <c r="I479" s="2"/>
      <c r="J479" s="2"/>
      <c r="K479" s="2"/>
      <c r="L479" s="2"/>
      <c r="M479" s="27"/>
      <c r="N479" s="26"/>
      <c r="O479" s="2"/>
      <c r="P479" s="24"/>
    </row>
    <row r="480" spans="1:16" ht="9.75" customHeight="1">
      <c r="A480" s="18"/>
      <c r="B480" s="18" t="s">
        <v>104</v>
      </c>
      <c r="C480" s="18"/>
      <c r="D480" s="26"/>
      <c r="E480" s="2"/>
      <c r="F480" s="2"/>
      <c r="G480" s="2"/>
      <c r="H480" s="2"/>
      <c r="I480" s="2"/>
      <c r="J480" s="2"/>
      <c r="K480" s="2"/>
      <c r="L480" s="2"/>
      <c r="M480" s="27"/>
      <c r="N480" s="26"/>
      <c r="O480" s="2"/>
      <c r="P480" s="24"/>
    </row>
    <row r="481" spans="1:16" ht="9.75" customHeight="1">
      <c r="A481" s="18"/>
      <c r="B481" s="18" t="s">
        <v>104</v>
      </c>
      <c r="C481" s="18"/>
      <c r="D481" s="26"/>
      <c r="E481" s="2"/>
      <c r="F481" s="2"/>
      <c r="G481" s="2"/>
      <c r="H481" s="2"/>
      <c r="I481" s="2"/>
      <c r="J481" s="2"/>
      <c r="K481" s="2"/>
      <c r="L481" s="2"/>
      <c r="M481" s="27"/>
      <c r="N481" s="26"/>
      <c r="O481" s="2"/>
      <c r="P481" s="24"/>
    </row>
    <row r="482" spans="1:16" ht="9.75" customHeight="1">
      <c r="A482" s="18"/>
      <c r="B482" s="18" t="s">
        <v>34</v>
      </c>
      <c r="C482" s="18"/>
      <c r="D482" s="26"/>
      <c r="E482" s="2"/>
      <c r="F482" s="2"/>
      <c r="G482" s="2"/>
      <c r="H482" s="2"/>
      <c r="I482" s="2"/>
      <c r="J482" s="2"/>
      <c r="K482" s="2"/>
      <c r="L482" s="2"/>
      <c r="M482" s="27"/>
      <c r="N482" s="26"/>
      <c r="O482" s="2"/>
      <c r="P482" s="24"/>
    </row>
    <row r="483" spans="1:16" ht="9.75" customHeight="1">
      <c r="A483" s="18"/>
      <c r="B483" s="18" t="s">
        <v>35</v>
      </c>
      <c r="C483" s="18"/>
      <c r="D483" s="26"/>
      <c r="E483" s="2"/>
      <c r="F483" s="2"/>
      <c r="G483" s="2"/>
      <c r="H483" s="2"/>
      <c r="I483" s="111"/>
      <c r="J483" s="111"/>
      <c r="K483" s="111"/>
      <c r="L483" s="111"/>
      <c r="M483" s="112"/>
      <c r="N483" s="26"/>
      <c r="O483" s="2"/>
      <c r="P483" s="24"/>
    </row>
    <row r="484" spans="1:16" ht="9.75" customHeight="1">
      <c r="A484" s="18"/>
      <c r="B484" s="18" t="s">
        <v>36</v>
      </c>
      <c r="C484" s="18">
        <v>4</v>
      </c>
      <c r="D484" s="26">
        <v>3</v>
      </c>
      <c r="E484" s="2">
        <v>3</v>
      </c>
      <c r="F484" s="2">
        <v>2</v>
      </c>
      <c r="G484" s="2">
        <v>1</v>
      </c>
      <c r="H484" s="2">
        <v>1</v>
      </c>
      <c r="I484" s="52">
        <v>1</v>
      </c>
      <c r="J484" s="52">
        <v>3</v>
      </c>
      <c r="K484" s="52">
        <v>3</v>
      </c>
      <c r="L484" s="52">
        <v>2</v>
      </c>
      <c r="M484" s="87">
        <v>2</v>
      </c>
      <c r="N484" s="26">
        <f>MIN(D484:M484)</f>
        <v>1</v>
      </c>
      <c r="O484" s="2">
        <f>C484-N484</f>
        <v>3</v>
      </c>
      <c r="P484" s="24">
        <f>O484/C484</f>
        <v>0.75</v>
      </c>
    </row>
    <row r="485" spans="1:16" ht="9.75" customHeight="1">
      <c r="A485" s="18"/>
      <c r="B485" s="18" t="s">
        <v>37</v>
      </c>
      <c r="C485" s="18"/>
      <c r="D485" s="26"/>
      <c r="E485" s="2"/>
      <c r="F485" s="2"/>
      <c r="G485" s="2"/>
      <c r="H485" s="2"/>
      <c r="I485" s="2"/>
      <c r="J485" s="2"/>
      <c r="K485" s="2"/>
      <c r="L485" s="2"/>
      <c r="M485" s="27"/>
      <c r="N485" s="26"/>
      <c r="O485" s="2"/>
      <c r="P485" s="24"/>
    </row>
    <row r="486" spans="1:16" ht="9.75" customHeight="1">
      <c r="A486" s="32"/>
      <c r="B486" s="33" t="s">
        <v>38</v>
      </c>
      <c r="C486" s="33">
        <f t="shared" ref="C486:M486" si="82">SUM(C470:C485)</f>
        <v>4</v>
      </c>
      <c r="D486" s="70">
        <f t="shared" si="82"/>
        <v>3</v>
      </c>
      <c r="E486" s="71">
        <f t="shared" si="82"/>
        <v>3</v>
      </c>
      <c r="F486" s="71">
        <f t="shared" si="82"/>
        <v>2</v>
      </c>
      <c r="G486" s="71">
        <f t="shared" si="82"/>
        <v>1</v>
      </c>
      <c r="H486" s="71">
        <f t="shared" si="82"/>
        <v>1</v>
      </c>
      <c r="I486" s="71">
        <f t="shared" si="82"/>
        <v>1</v>
      </c>
      <c r="J486" s="71">
        <f t="shared" si="82"/>
        <v>3</v>
      </c>
      <c r="K486" s="71">
        <f t="shared" si="82"/>
        <v>3</v>
      </c>
      <c r="L486" s="71">
        <f t="shared" si="82"/>
        <v>2</v>
      </c>
      <c r="M486" s="93">
        <f t="shared" si="82"/>
        <v>2</v>
      </c>
      <c r="N486" s="70">
        <f>MIN(D486:M486)</f>
        <v>1</v>
      </c>
      <c r="O486" s="71">
        <f>C486-N486</f>
        <v>3</v>
      </c>
      <c r="P486" s="40">
        <f>O486/C486</f>
        <v>0.75</v>
      </c>
    </row>
    <row r="487" spans="1:16" ht="9.75" customHeight="1">
      <c r="A487" s="66" t="s">
        <v>156</v>
      </c>
      <c r="B487" s="66" t="s">
        <v>23</v>
      </c>
      <c r="C487" s="66"/>
      <c r="D487" s="41"/>
      <c r="E487" s="72"/>
      <c r="F487" s="72"/>
      <c r="G487" s="72"/>
      <c r="H487" s="72"/>
      <c r="I487" s="72"/>
      <c r="J487" s="72"/>
      <c r="K487" s="72"/>
      <c r="L487" s="72"/>
      <c r="M487" s="73"/>
      <c r="N487" s="41"/>
      <c r="O487" s="72"/>
      <c r="P487" s="99"/>
    </row>
    <row r="488" spans="1:16" ht="9.75" customHeight="1">
      <c r="A488" s="18"/>
      <c r="B488" s="18" t="s">
        <v>25</v>
      </c>
      <c r="C488" s="18"/>
      <c r="D488" s="26"/>
      <c r="E488" s="2"/>
      <c r="F488" s="2"/>
      <c r="G488" s="2"/>
      <c r="H488" s="2"/>
      <c r="I488" s="2"/>
      <c r="J488" s="2"/>
      <c r="K488" s="2"/>
      <c r="L488" s="2"/>
      <c r="M488" s="27"/>
      <c r="N488" s="26"/>
      <c r="O488" s="2"/>
      <c r="P488" s="24"/>
    </row>
    <row r="489" spans="1:16" ht="9.75" customHeight="1">
      <c r="A489" s="18"/>
      <c r="B489" s="18" t="s">
        <v>27</v>
      </c>
      <c r="C489" s="18"/>
      <c r="D489" s="26"/>
      <c r="E489" s="2"/>
      <c r="F489" s="2"/>
      <c r="G489" s="2"/>
      <c r="H489" s="2"/>
      <c r="I489" s="2"/>
      <c r="J489" s="2"/>
      <c r="K489" s="2"/>
      <c r="L489" s="2"/>
      <c r="M489" s="27"/>
      <c r="N489" s="26"/>
      <c r="O489" s="2"/>
      <c r="P489" s="24"/>
    </row>
    <row r="490" spans="1:16" ht="9.75" customHeight="1">
      <c r="A490" s="18"/>
      <c r="B490" s="18" t="s">
        <v>157</v>
      </c>
      <c r="C490" s="51">
        <v>21</v>
      </c>
      <c r="D490" s="23">
        <f>21-5</f>
        <v>16</v>
      </c>
      <c r="E490" s="23">
        <f>21-7</f>
        <v>14</v>
      </c>
      <c r="F490" s="23">
        <f>21-11</f>
        <v>10</v>
      </c>
      <c r="G490" s="23">
        <f>21-10</f>
        <v>11</v>
      </c>
      <c r="H490" s="23">
        <f>21-12</f>
        <v>9</v>
      </c>
      <c r="I490" s="52">
        <v>8</v>
      </c>
      <c r="J490" s="52">
        <v>5</v>
      </c>
      <c r="K490" s="52">
        <v>5</v>
      </c>
      <c r="L490" s="52">
        <v>7</v>
      </c>
      <c r="M490" s="87">
        <v>11</v>
      </c>
      <c r="N490" s="19">
        <f>MIN(D490:M490)</f>
        <v>5</v>
      </c>
      <c r="O490" s="23">
        <f>C490-N490</f>
        <v>16</v>
      </c>
      <c r="P490" s="24">
        <f>O490/C490</f>
        <v>0.76190476190476186</v>
      </c>
    </row>
    <row r="491" spans="1:16" ht="9.75" customHeight="1">
      <c r="A491" s="18"/>
      <c r="B491" s="18" t="s">
        <v>99</v>
      </c>
      <c r="C491" s="144"/>
      <c r="D491" s="111"/>
      <c r="E491" s="111"/>
      <c r="F491" s="111"/>
      <c r="G491" s="111"/>
      <c r="H491" s="111"/>
      <c r="I491" s="111"/>
      <c r="J491" s="111"/>
      <c r="K491" s="111"/>
      <c r="L491" s="111"/>
      <c r="M491" s="112"/>
      <c r="N491" s="26"/>
      <c r="O491" s="2"/>
      <c r="P491" s="24"/>
    </row>
    <row r="492" spans="1:16" ht="9.75" customHeight="1">
      <c r="A492" s="18"/>
      <c r="B492" s="18" t="s">
        <v>32</v>
      </c>
      <c r="C492" s="51">
        <v>1</v>
      </c>
      <c r="D492" s="23">
        <v>0</v>
      </c>
      <c r="E492" s="23">
        <v>0</v>
      </c>
      <c r="F492" s="23">
        <v>0</v>
      </c>
      <c r="G492" s="23">
        <v>0</v>
      </c>
      <c r="H492" s="23">
        <v>0</v>
      </c>
      <c r="I492" s="52">
        <v>0</v>
      </c>
      <c r="J492" s="52">
        <v>0</v>
      </c>
      <c r="K492" s="52">
        <v>0</v>
      </c>
      <c r="L492" s="52">
        <v>0</v>
      </c>
      <c r="M492" s="87">
        <v>0</v>
      </c>
      <c r="N492" s="19">
        <f>MIN(D492:M492)</f>
        <v>0</v>
      </c>
      <c r="O492" s="23">
        <f>C492-N492</f>
        <v>1</v>
      </c>
      <c r="P492" s="24">
        <f>O492/C492</f>
        <v>1</v>
      </c>
    </row>
    <row r="493" spans="1:16" ht="9.75" customHeight="1">
      <c r="A493" s="18"/>
      <c r="B493" s="18" t="s">
        <v>104</v>
      </c>
      <c r="C493" s="144"/>
      <c r="D493" s="23"/>
      <c r="E493" s="23"/>
      <c r="F493" s="23"/>
      <c r="G493" s="23"/>
      <c r="H493" s="23"/>
      <c r="I493" s="111"/>
      <c r="J493" s="111"/>
      <c r="K493" s="111"/>
      <c r="L493" s="111"/>
      <c r="M493" s="112"/>
      <c r="N493" s="26"/>
      <c r="O493" s="2"/>
      <c r="P493" s="24"/>
    </row>
    <row r="494" spans="1:16" ht="9.75" customHeight="1">
      <c r="A494" s="18"/>
      <c r="B494" s="18" t="s">
        <v>104</v>
      </c>
      <c r="C494" s="144"/>
      <c r="D494" s="111"/>
      <c r="E494" s="111"/>
      <c r="F494" s="111"/>
      <c r="G494" s="111"/>
      <c r="H494" s="111"/>
      <c r="I494" s="111"/>
      <c r="J494" s="111"/>
      <c r="K494" s="111"/>
      <c r="L494" s="111"/>
      <c r="M494" s="112"/>
      <c r="N494" s="26"/>
      <c r="O494" s="2"/>
      <c r="P494" s="24"/>
    </row>
    <row r="495" spans="1:16" ht="9.75" customHeight="1">
      <c r="A495" s="18"/>
      <c r="B495" s="18" t="s">
        <v>104</v>
      </c>
      <c r="C495" s="144"/>
      <c r="D495" s="111"/>
      <c r="E495" s="111"/>
      <c r="F495" s="111"/>
      <c r="G495" s="111"/>
      <c r="H495" s="111"/>
      <c r="I495" s="111"/>
      <c r="J495" s="111"/>
      <c r="K495" s="111"/>
      <c r="L495" s="111"/>
      <c r="M495" s="112"/>
      <c r="N495" s="26"/>
      <c r="O495" s="2"/>
      <c r="P495" s="24"/>
    </row>
    <row r="496" spans="1:16" ht="9.75" customHeight="1">
      <c r="A496" s="18"/>
      <c r="B496" s="18" t="s">
        <v>104</v>
      </c>
      <c r="C496" s="144"/>
      <c r="D496" s="111"/>
      <c r="E496" s="111"/>
      <c r="F496" s="111"/>
      <c r="G496" s="111"/>
      <c r="H496" s="111"/>
      <c r="I496" s="111"/>
      <c r="J496" s="111"/>
      <c r="K496" s="111"/>
      <c r="L496" s="111"/>
      <c r="M496" s="112"/>
      <c r="N496" s="26"/>
      <c r="O496" s="2"/>
      <c r="P496" s="24"/>
    </row>
    <row r="497" spans="1:16" ht="9.75" customHeight="1">
      <c r="A497" s="18"/>
      <c r="B497" s="18" t="s">
        <v>104</v>
      </c>
      <c r="C497" s="144"/>
      <c r="D497" s="111"/>
      <c r="E497" s="111"/>
      <c r="F497" s="111"/>
      <c r="G497" s="111"/>
      <c r="H497" s="111"/>
      <c r="I497" s="111"/>
      <c r="J497" s="111"/>
      <c r="K497" s="111"/>
      <c r="L497" s="111"/>
      <c r="M497" s="112"/>
      <c r="N497" s="26"/>
      <c r="O497" s="2"/>
      <c r="P497" s="24"/>
    </row>
    <row r="498" spans="1:16" ht="9.75" customHeight="1">
      <c r="A498" s="18"/>
      <c r="B498" s="18" t="s">
        <v>104</v>
      </c>
      <c r="C498" s="144"/>
      <c r="D498" s="111"/>
      <c r="E498" s="111"/>
      <c r="F498" s="111"/>
      <c r="G498" s="111"/>
      <c r="H498" s="111"/>
      <c r="I498" s="111"/>
      <c r="J498" s="111"/>
      <c r="K498" s="111"/>
      <c r="L498" s="111"/>
      <c r="M498" s="112"/>
      <c r="N498" s="26"/>
      <c r="O498" s="2"/>
      <c r="P498" s="24"/>
    </row>
    <row r="499" spans="1:16" ht="9.75" customHeight="1">
      <c r="A499" s="18"/>
      <c r="B499" s="18" t="s">
        <v>34</v>
      </c>
      <c r="C499" s="51">
        <v>2</v>
      </c>
      <c r="D499" s="23">
        <v>2</v>
      </c>
      <c r="E499" s="23">
        <v>2</v>
      </c>
      <c r="F499" s="23">
        <v>1</v>
      </c>
      <c r="G499" s="23">
        <v>1</v>
      </c>
      <c r="H499" s="23">
        <v>1</v>
      </c>
      <c r="I499" s="52">
        <v>1</v>
      </c>
      <c r="J499" s="52">
        <v>2</v>
      </c>
      <c r="K499" s="52">
        <v>2</v>
      </c>
      <c r="L499" s="52">
        <v>2</v>
      </c>
      <c r="M499" s="87">
        <v>2</v>
      </c>
      <c r="N499" s="19">
        <f>MIN(D499:M499)</f>
        <v>1</v>
      </c>
      <c r="O499" s="23">
        <f>C499-N499</f>
        <v>1</v>
      </c>
      <c r="P499" s="24">
        <f>O499/C499</f>
        <v>0.5</v>
      </c>
    </row>
    <row r="500" spans="1:16" ht="9.75" customHeight="1">
      <c r="A500" s="18"/>
      <c r="B500" s="18" t="s">
        <v>35</v>
      </c>
      <c r="C500" s="144"/>
      <c r="D500" s="111"/>
      <c r="E500" s="111"/>
      <c r="F500" s="111"/>
      <c r="G500" s="111"/>
      <c r="H500" s="111"/>
      <c r="I500" s="111"/>
      <c r="J500" s="111"/>
      <c r="K500" s="111"/>
      <c r="L500" s="111"/>
      <c r="M500" s="112"/>
      <c r="N500" s="26"/>
      <c r="O500" s="2"/>
      <c r="P500" s="24"/>
    </row>
    <row r="501" spans="1:16" ht="9.75" customHeight="1">
      <c r="A501" s="18"/>
      <c r="B501" s="18" t="s">
        <v>36</v>
      </c>
      <c r="C501" s="144"/>
      <c r="D501" s="23"/>
      <c r="E501" s="23"/>
      <c r="F501" s="23"/>
      <c r="G501" s="23"/>
      <c r="H501" s="23"/>
      <c r="I501" s="23"/>
      <c r="J501" s="111"/>
      <c r="K501" s="111"/>
      <c r="L501" s="111"/>
      <c r="M501" s="112"/>
      <c r="N501" s="26"/>
      <c r="O501" s="2"/>
      <c r="P501" s="24"/>
    </row>
    <row r="502" spans="1:16" ht="9.75" customHeight="1">
      <c r="A502" s="18"/>
      <c r="B502" s="18" t="s">
        <v>37</v>
      </c>
      <c r="C502" s="58">
        <v>5</v>
      </c>
      <c r="D502" s="30">
        <v>5</v>
      </c>
      <c r="E502" s="30">
        <v>4</v>
      </c>
      <c r="F502" s="30">
        <v>4</v>
      </c>
      <c r="G502" s="30">
        <v>4</v>
      </c>
      <c r="H502" s="30">
        <v>4</v>
      </c>
      <c r="I502" s="113">
        <v>4</v>
      </c>
      <c r="J502" s="113">
        <v>5</v>
      </c>
      <c r="K502" s="113">
        <v>5</v>
      </c>
      <c r="L502" s="113">
        <v>3</v>
      </c>
      <c r="M502" s="114">
        <v>4</v>
      </c>
      <c r="N502" s="19">
        <f t="shared" ref="N502:N503" si="83">MIN(D502:M502)</f>
        <v>3</v>
      </c>
      <c r="O502" s="23">
        <f t="shared" ref="O502:O503" si="84">C502-N502</f>
        <v>2</v>
      </c>
      <c r="P502" s="24">
        <f t="shared" ref="P502:P503" si="85">O502/C502</f>
        <v>0.4</v>
      </c>
    </row>
    <row r="503" spans="1:16" ht="9.75" customHeight="1">
      <c r="A503" s="32"/>
      <c r="B503" s="33" t="s">
        <v>38</v>
      </c>
      <c r="C503" s="33">
        <f t="shared" ref="C503:M503" si="86">SUM(C487:C502)</f>
        <v>29</v>
      </c>
      <c r="D503" s="70">
        <f t="shared" si="86"/>
        <v>23</v>
      </c>
      <c r="E503" s="71">
        <f t="shared" si="86"/>
        <v>20</v>
      </c>
      <c r="F503" s="71">
        <f t="shared" si="86"/>
        <v>15</v>
      </c>
      <c r="G503" s="71">
        <f t="shared" si="86"/>
        <v>16</v>
      </c>
      <c r="H503" s="71">
        <f t="shared" si="86"/>
        <v>14</v>
      </c>
      <c r="I503" s="71">
        <f t="shared" si="86"/>
        <v>13</v>
      </c>
      <c r="J503" s="71">
        <f t="shared" si="86"/>
        <v>12</v>
      </c>
      <c r="K503" s="71">
        <f t="shared" si="86"/>
        <v>12</v>
      </c>
      <c r="L503" s="71">
        <f t="shared" si="86"/>
        <v>12</v>
      </c>
      <c r="M503" s="93">
        <f t="shared" si="86"/>
        <v>17</v>
      </c>
      <c r="N503" s="70">
        <f t="shared" si="83"/>
        <v>12</v>
      </c>
      <c r="O503" s="71">
        <f t="shared" si="84"/>
        <v>17</v>
      </c>
      <c r="P503" s="40">
        <f t="shared" si="85"/>
        <v>0.58620689655172409</v>
      </c>
    </row>
    <row r="504" spans="1:16" ht="9.75" customHeight="1">
      <c r="A504" s="100" t="s">
        <v>158</v>
      </c>
      <c r="B504" s="100" t="s">
        <v>23</v>
      </c>
      <c r="C504" s="100"/>
      <c r="D504" s="101"/>
      <c r="E504" s="102"/>
      <c r="F504" s="102"/>
      <c r="G504" s="102"/>
      <c r="H504" s="102"/>
      <c r="I504" s="102"/>
      <c r="J504" s="102"/>
      <c r="K504" s="102"/>
      <c r="L504" s="102"/>
      <c r="M504" s="103"/>
      <c r="N504" s="101"/>
      <c r="O504" s="102"/>
      <c r="P504" s="104"/>
    </row>
    <row r="505" spans="1:16" ht="9.75" customHeight="1">
      <c r="A505" s="105" t="s">
        <v>114</v>
      </c>
      <c r="B505" s="105" t="s">
        <v>25</v>
      </c>
      <c r="C505" s="105"/>
      <c r="D505" s="106"/>
      <c r="E505" s="107"/>
      <c r="F505" s="107"/>
      <c r="G505" s="107"/>
      <c r="H505" s="107"/>
      <c r="I505" s="107"/>
      <c r="J505" s="107"/>
      <c r="K505" s="107"/>
      <c r="L505" s="107"/>
      <c r="M505" s="108"/>
      <c r="N505" s="106"/>
      <c r="O505" s="107"/>
      <c r="P505" s="109"/>
    </row>
    <row r="506" spans="1:16" ht="9.75" customHeight="1">
      <c r="A506" s="105" t="s">
        <v>115</v>
      </c>
      <c r="B506" s="105" t="s">
        <v>27</v>
      </c>
      <c r="C506" s="105"/>
      <c r="D506" s="106"/>
      <c r="E506" s="107"/>
      <c r="F506" s="107"/>
      <c r="G506" s="107"/>
      <c r="H506" s="107"/>
      <c r="I506" s="107"/>
      <c r="J506" s="107"/>
      <c r="K506" s="107"/>
      <c r="L506" s="107"/>
      <c r="M506" s="108"/>
      <c r="N506" s="106"/>
      <c r="O506" s="107"/>
      <c r="P506" s="109"/>
    </row>
    <row r="507" spans="1:16" ht="9.75" customHeight="1">
      <c r="A507" s="105"/>
      <c r="B507" s="105" t="s">
        <v>99</v>
      </c>
      <c r="C507" s="105"/>
      <c r="D507" s="106"/>
      <c r="E507" s="107"/>
      <c r="F507" s="107"/>
      <c r="G507" s="107"/>
      <c r="H507" s="107"/>
      <c r="I507" s="107"/>
      <c r="J507" s="107"/>
      <c r="K507" s="107"/>
      <c r="L507" s="107"/>
      <c r="M507" s="108"/>
      <c r="N507" s="106"/>
      <c r="O507" s="107"/>
      <c r="P507" s="109"/>
    </row>
    <row r="508" spans="1:16" ht="9.75" customHeight="1">
      <c r="A508" s="105"/>
      <c r="B508" s="105" t="s">
        <v>99</v>
      </c>
      <c r="C508" s="105"/>
      <c r="D508" s="106"/>
      <c r="E508" s="107"/>
      <c r="F508" s="107"/>
      <c r="G508" s="107"/>
      <c r="H508" s="107"/>
      <c r="I508" s="107"/>
      <c r="J508" s="107"/>
      <c r="K508" s="107"/>
      <c r="L508" s="107"/>
      <c r="M508" s="108"/>
      <c r="N508" s="106"/>
      <c r="O508" s="107"/>
      <c r="P508" s="109"/>
    </row>
    <row r="509" spans="1:16" ht="9.75" customHeight="1">
      <c r="A509" s="105"/>
      <c r="B509" s="105" t="s">
        <v>32</v>
      </c>
      <c r="C509" s="105"/>
      <c r="D509" s="106"/>
      <c r="E509" s="107"/>
      <c r="F509" s="107"/>
      <c r="G509" s="107"/>
      <c r="H509" s="107"/>
      <c r="I509" s="107"/>
      <c r="J509" s="107"/>
      <c r="K509" s="107"/>
      <c r="L509" s="107"/>
      <c r="M509" s="108"/>
      <c r="N509" s="106"/>
      <c r="O509" s="107"/>
      <c r="P509" s="109"/>
    </row>
    <row r="510" spans="1:16" ht="9.75" customHeight="1">
      <c r="A510" s="105"/>
      <c r="B510" s="105" t="s">
        <v>104</v>
      </c>
      <c r="C510" s="105"/>
      <c r="D510" s="106"/>
      <c r="E510" s="107"/>
      <c r="F510" s="107"/>
      <c r="G510" s="107"/>
      <c r="H510" s="107"/>
      <c r="I510" s="107"/>
      <c r="J510" s="107"/>
      <c r="K510" s="107"/>
      <c r="L510" s="107"/>
      <c r="M510" s="108"/>
      <c r="N510" s="106"/>
      <c r="O510" s="107"/>
      <c r="P510" s="109"/>
    </row>
    <row r="511" spans="1:16" ht="9.75" customHeight="1">
      <c r="A511" s="105"/>
      <c r="B511" s="105" t="s">
        <v>104</v>
      </c>
      <c r="C511" s="105"/>
      <c r="D511" s="106"/>
      <c r="E511" s="107"/>
      <c r="F511" s="107"/>
      <c r="G511" s="107"/>
      <c r="H511" s="107"/>
      <c r="I511" s="107"/>
      <c r="J511" s="107"/>
      <c r="K511" s="107"/>
      <c r="L511" s="107"/>
      <c r="M511" s="108"/>
      <c r="N511" s="106"/>
      <c r="O511" s="107"/>
      <c r="P511" s="109"/>
    </row>
    <row r="512" spans="1:16" ht="9.75" customHeight="1">
      <c r="A512" s="105"/>
      <c r="B512" s="105" t="s">
        <v>104</v>
      </c>
      <c r="C512" s="105"/>
      <c r="D512" s="106"/>
      <c r="E512" s="107"/>
      <c r="F512" s="107"/>
      <c r="G512" s="107"/>
      <c r="H512" s="107"/>
      <c r="I512" s="107"/>
      <c r="J512" s="107"/>
      <c r="K512" s="107"/>
      <c r="L512" s="107"/>
      <c r="M512" s="108"/>
      <c r="N512" s="106"/>
      <c r="O512" s="107"/>
      <c r="P512" s="109"/>
    </row>
    <row r="513" spans="1:16" ht="9.75" customHeight="1">
      <c r="A513" s="105"/>
      <c r="B513" s="105" t="s">
        <v>104</v>
      </c>
      <c r="C513" s="105"/>
      <c r="D513" s="106"/>
      <c r="E513" s="107"/>
      <c r="F513" s="107"/>
      <c r="G513" s="107"/>
      <c r="H513" s="107"/>
      <c r="I513" s="107"/>
      <c r="J513" s="107"/>
      <c r="K513" s="107"/>
      <c r="L513" s="107"/>
      <c r="M513" s="108"/>
      <c r="N513" s="106"/>
      <c r="O513" s="107"/>
      <c r="P513" s="109"/>
    </row>
    <row r="514" spans="1:16" ht="9.75" customHeight="1">
      <c r="A514" s="105"/>
      <c r="B514" s="105" t="s">
        <v>104</v>
      </c>
      <c r="C514" s="105"/>
      <c r="D514" s="106"/>
      <c r="E514" s="107"/>
      <c r="F514" s="107"/>
      <c r="G514" s="107"/>
      <c r="H514" s="107"/>
      <c r="I514" s="107"/>
      <c r="J514" s="107"/>
      <c r="K514" s="107"/>
      <c r="L514" s="107"/>
      <c r="M514" s="108"/>
      <c r="N514" s="106"/>
      <c r="O514" s="107"/>
      <c r="P514" s="109"/>
    </row>
    <row r="515" spans="1:16" ht="9.75" customHeight="1">
      <c r="A515" s="105"/>
      <c r="B515" s="105" t="s">
        <v>104</v>
      </c>
      <c r="C515" s="105"/>
      <c r="D515" s="106"/>
      <c r="E515" s="107"/>
      <c r="F515" s="107"/>
      <c r="G515" s="107"/>
      <c r="H515" s="107"/>
      <c r="I515" s="107"/>
      <c r="J515" s="107"/>
      <c r="K515" s="107"/>
      <c r="L515" s="107"/>
      <c r="M515" s="108"/>
      <c r="N515" s="106"/>
      <c r="O515" s="107"/>
      <c r="P515" s="109"/>
    </row>
    <row r="516" spans="1:16" ht="9.75" customHeight="1">
      <c r="A516" s="105"/>
      <c r="B516" s="105" t="s">
        <v>34</v>
      </c>
      <c r="C516" s="105"/>
      <c r="D516" s="106"/>
      <c r="E516" s="107"/>
      <c r="F516" s="107"/>
      <c r="G516" s="107"/>
      <c r="H516" s="107"/>
      <c r="I516" s="107"/>
      <c r="J516" s="107"/>
      <c r="K516" s="107"/>
      <c r="L516" s="107"/>
      <c r="M516" s="108"/>
      <c r="N516" s="106"/>
      <c r="O516" s="107"/>
      <c r="P516" s="109"/>
    </row>
    <row r="517" spans="1:16" ht="9.75" customHeight="1">
      <c r="A517" s="105"/>
      <c r="B517" s="105" t="s">
        <v>35</v>
      </c>
      <c r="C517" s="105"/>
      <c r="D517" s="106"/>
      <c r="E517" s="107"/>
      <c r="F517" s="107"/>
      <c r="G517" s="107"/>
      <c r="H517" s="107"/>
      <c r="I517" s="107"/>
      <c r="J517" s="107"/>
      <c r="K517" s="107"/>
      <c r="L517" s="107"/>
      <c r="M517" s="108"/>
      <c r="N517" s="106"/>
      <c r="O517" s="107"/>
      <c r="P517" s="109"/>
    </row>
    <row r="518" spans="1:16" ht="9.75" customHeight="1">
      <c r="A518" s="105"/>
      <c r="B518" s="105" t="s">
        <v>36</v>
      </c>
      <c r="C518" s="105"/>
      <c r="D518" s="106"/>
      <c r="E518" s="107"/>
      <c r="F518" s="107"/>
      <c r="G518" s="107"/>
      <c r="H518" s="107"/>
      <c r="I518" s="107"/>
      <c r="J518" s="107"/>
      <c r="K518" s="107"/>
      <c r="L518" s="107"/>
      <c r="M518" s="108"/>
      <c r="N518" s="106"/>
      <c r="O518" s="107"/>
      <c r="P518" s="109"/>
    </row>
    <row r="519" spans="1:16" ht="9.75" customHeight="1">
      <c r="A519" s="105"/>
      <c r="B519" s="105" t="s">
        <v>37</v>
      </c>
      <c r="C519" s="105"/>
      <c r="D519" s="106"/>
      <c r="E519" s="107"/>
      <c r="F519" s="107"/>
      <c r="G519" s="107"/>
      <c r="H519" s="107"/>
      <c r="I519" s="107"/>
      <c r="J519" s="107"/>
      <c r="K519" s="107"/>
      <c r="L519" s="107"/>
      <c r="M519" s="108"/>
      <c r="N519" s="106"/>
      <c r="O519" s="107"/>
      <c r="P519" s="109"/>
    </row>
    <row r="520" spans="1:16" ht="9.75" customHeight="1">
      <c r="A520" s="32"/>
      <c r="B520" s="33" t="s">
        <v>38</v>
      </c>
      <c r="C520" s="33"/>
      <c r="D520" s="70"/>
      <c r="E520" s="71"/>
      <c r="F520" s="71"/>
      <c r="G520" s="71"/>
      <c r="H520" s="71"/>
      <c r="I520" s="71"/>
      <c r="J520" s="71"/>
      <c r="K520" s="71"/>
      <c r="L520" s="71"/>
      <c r="M520" s="93"/>
      <c r="N520" s="70"/>
      <c r="O520" s="71"/>
      <c r="P520" s="40"/>
    </row>
    <row r="521" spans="1:16" ht="9.75" customHeight="1">
      <c r="A521" s="66" t="s">
        <v>159</v>
      </c>
      <c r="B521" s="66" t="s">
        <v>23</v>
      </c>
      <c r="C521" s="66"/>
      <c r="D521" s="41"/>
      <c r="E521" s="72"/>
      <c r="F521" s="72"/>
      <c r="G521" s="72"/>
      <c r="H521" s="72"/>
      <c r="I521" s="72"/>
      <c r="J521" s="72"/>
      <c r="K521" s="72"/>
      <c r="L521" s="72"/>
      <c r="M521" s="73"/>
      <c r="N521" s="41"/>
      <c r="O521" s="72"/>
      <c r="P521" s="99"/>
    </row>
    <row r="522" spans="1:16" ht="9.75" customHeight="1">
      <c r="A522" s="18"/>
      <c r="B522" s="18" t="s">
        <v>25</v>
      </c>
      <c r="C522" s="18"/>
      <c r="D522" s="26"/>
      <c r="E522" s="2"/>
      <c r="F522" s="2"/>
      <c r="G522" s="2"/>
      <c r="H522" s="2"/>
      <c r="I522" s="2"/>
      <c r="J522" s="2"/>
      <c r="K522" s="2"/>
      <c r="L522" s="2"/>
      <c r="M522" s="27"/>
      <c r="N522" s="26"/>
      <c r="O522" s="2"/>
      <c r="P522" s="24"/>
    </row>
    <row r="523" spans="1:16" ht="9.75" customHeight="1">
      <c r="A523" s="18"/>
      <c r="B523" s="18" t="s">
        <v>27</v>
      </c>
      <c r="C523" s="18"/>
      <c r="D523" s="26"/>
      <c r="E523" s="2"/>
      <c r="F523" s="2"/>
      <c r="G523" s="2"/>
      <c r="H523" s="2"/>
      <c r="I523" s="2"/>
      <c r="J523" s="2"/>
      <c r="K523" s="2"/>
      <c r="L523" s="2"/>
      <c r="M523" s="27"/>
      <c r="N523" s="26"/>
      <c r="O523" s="2"/>
      <c r="P523" s="24"/>
    </row>
    <row r="524" spans="1:16" ht="9.75" customHeight="1">
      <c r="A524" s="18"/>
      <c r="B524" s="18" t="s">
        <v>99</v>
      </c>
      <c r="C524" s="18"/>
      <c r="D524" s="26"/>
      <c r="E524" s="2"/>
      <c r="F524" s="2"/>
      <c r="G524" s="2"/>
      <c r="H524" s="2"/>
      <c r="I524" s="2"/>
      <c r="J524" s="2"/>
      <c r="K524" s="2"/>
      <c r="L524" s="2"/>
      <c r="M524" s="27"/>
      <c r="N524" s="26"/>
      <c r="O524" s="2"/>
      <c r="P524" s="24"/>
    </row>
    <row r="525" spans="1:16" ht="9.75" customHeight="1">
      <c r="A525" s="18"/>
      <c r="B525" s="18" t="s">
        <v>99</v>
      </c>
      <c r="C525" s="18"/>
      <c r="D525" s="26"/>
      <c r="E525" s="2"/>
      <c r="F525" s="2"/>
      <c r="G525" s="2"/>
      <c r="H525" s="2"/>
      <c r="I525" s="2"/>
      <c r="J525" s="2"/>
      <c r="K525" s="2"/>
      <c r="L525" s="2"/>
      <c r="M525" s="27"/>
      <c r="N525" s="26"/>
      <c r="O525" s="2"/>
      <c r="P525" s="24"/>
    </row>
    <row r="526" spans="1:16" ht="9.75" customHeight="1">
      <c r="A526" s="18"/>
      <c r="B526" s="18" t="s">
        <v>32</v>
      </c>
      <c r="C526" s="18"/>
      <c r="D526" s="26"/>
      <c r="E526" s="2"/>
      <c r="F526" s="2"/>
      <c r="G526" s="2"/>
      <c r="H526" s="2"/>
      <c r="I526" s="2"/>
      <c r="J526" s="2"/>
      <c r="K526" s="2"/>
      <c r="L526" s="2"/>
      <c r="M526" s="27"/>
      <c r="N526" s="26"/>
      <c r="O526" s="2"/>
      <c r="P526" s="24"/>
    </row>
    <row r="527" spans="1:16" ht="9.75" customHeight="1">
      <c r="A527" s="18"/>
      <c r="B527" s="18" t="s">
        <v>160</v>
      </c>
      <c r="C527" s="18">
        <v>5</v>
      </c>
      <c r="D527" s="115">
        <v>0</v>
      </c>
      <c r="E527" s="116">
        <v>0</v>
      </c>
      <c r="F527" s="116">
        <v>0</v>
      </c>
      <c r="G527" s="116">
        <v>0</v>
      </c>
      <c r="H527" s="116">
        <v>0</v>
      </c>
      <c r="I527" s="52">
        <v>0</v>
      </c>
      <c r="J527" s="52">
        <v>0</v>
      </c>
      <c r="K527" s="52">
        <v>1</v>
      </c>
      <c r="L527" s="52">
        <v>1</v>
      </c>
      <c r="M527" s="52">
        <v>1</v>
      </c>
      <c r="N527" s="26">
        <f t="shared" ref="N527:N529" si="87">MIN(D527:M527)</f>
        <v>0</v>
      </c>
      <c r="O527" s="2">
        <f t="shared" ref="O527:O529" si="88">C527-N527</f>
        <v>5</v>
      </c>
      <c r="P527" s="24">
        <f t="shared" ref="P527:P529" si="89">O527/C527</f>
        <v>1</v>
      </c>
    </row>
    <row r="528" spans="1:16" ht="9.75" customHeight="1">
      <c r="A528" s="18"/>
      <c r="B528" s="18" t="s">
        <v>161</v>
      </c>
      <c r="C528" s="18">
        <v>5</v>
      </c>
      <c r="D528" s="115">
        <v>0</v>
      </c>
      <c r="E528" s="116">
        <v>0</v>
      </c>
      <c r="F528" s="116">
        <v>0</v>
      </c>
      <c r="G528" s="116">
        <v>0</v>
      </c>
      <c r="H528" s="116">
        <v>0</v>
      </c>
      <c r="I528" s="52">
        <v>0</v>
      </c>
      <c r="J528" s="52">
        <v>0</v>
      </c>
      <c r="K528" s="52">
        <v>0</v>
      </c>
      <c r="L528" s="52">
        <v>0</v>
      </c>
      <c r="M528" s="52">
        <v>0</v>
      </c>
      <c r="N528" s="26">
        <f t="shared" si="87"/>
        <v>0</v>
      </c>
      <c r="O528" s="2">
        <f t="shared" si="88"/>
        <v>5</v>
      </c>
      <c r="P528" s="24">
        <f t="shared" si="89"/>
        <v>1</v>
      </c>
    </row>
    <row r="529" spans="1:16" ht="9.75" customHeight="1">
      <c r="A529" s="18"/>
      <c r="B529" s="18" t="s">
        <v>162</v>
      </c>
      <c r="C529" s="18">
        <v>1</v>
      </c>
      <c r="D529" s="115">
        <v>0</v>
      </c>
      <c r="E529" s="116">
        <v>0</v>
      </c>
      <c r="F529" s="116">
        <v>0</v>
      </c>
      <c r="G529" s="116">
        <v>0</v>
      </c>
      <c r="H529" s="116">
        <v>0</v>
      </c>
      <c r="I529" s="52">
        <v>0</v>
      </c>
      <c r="J529" s="52">
        <v>0</v>
      </c>
      <c r="K529" s="52">
        <v>0</v>
      </c>
      <c r="L529" s="52">
        <v>0</v>
      </c>
      <c r="M529" s="87">
        <v>0</v>
      </c>
      <c r="N529" s="26">
        <f t="shared" si="87"/>
        <v>0</v>
      </c>
      <c r="O529" s="2">
        <f t="shared" si="88"/>
        <v>1</v>
      </c>
      <c r="P529" s="24">
        <f t="shared" si="89"/>
        <v>1</v>
      </c>
    </row>
    <row r="530" spans="1:16" ht="9.75" customHeight="1">
      <c r="A530" s="18"/>
      <c r="B530" s="18" t="s">
        <v>104</v>
      </c>
      <c r="C530" s="18"/>
      <c r="D530" s="26"/>
      <c r="E530" s="2"/>
      <c r="F530" s="2"/>
      <c r="G530" s="2"/>
      <c r="H530" s="2"/>
      <c r="I530" s="111"/>
      <c r="J530" s="111"/>
      <c r="K530" s="111"/>
      <c r="L530" s="111"/>
      <c r="M530" s="112"/>
      <c r="N530" s="26"/>
      <c r="O530" s="2"/>
      <c r="P530" s="24"/>
    </row>
    <row r="531" spans="1:16" ht="9.75" customHeight="1">
      <c r="A531" s="18"/>
      <c r="B531" s="18" t="s">
        <v>104</v>
      </c>
      <c r="C531" s="18"/>
      <c r="D531" s="26"/>
      <c r="E531" s="2"/>
      <c r="F531" s="2"/>
      <c r="G531" s="2"/>
      <c r="H531" s="2"/>
      <c r="I531" s="111"/>
      <c r="J531" s="111"/>
      <c r="K531" s="111"/>
      <c r="L531" s="111"/>
      <c r="M531" s="112"/>
      <c r="N531" s="26"/>
      <c r="O531" s="2"/>
      <c r="P531" s="24"/>
    </row>
    <row r="532" spans="1:16" ht="9.75" customHeight="1">
      <c r="A532" s="18"/>
      <c r="B532" s="18" t="s">
        <v>104</v>
      </c>
      <c r="C532" s="18"/>
      <c r="D532" s="26"/>
      <c r="E532" s="2"/>
      <c r="F532" s="2"/>
      <c r="G532" s="2"/>
      <c r="H532" s="2"/>
      <c r="I532" s="111"/>
      <c r="J532" s="111"/>
      <c r="K532" s="111"/>
      <c r="L532" s="111"/>
      <c r="M532" s="112"/>
      <c r="N532" s="26"/>
      <c r="O532" s="2"/>
      <c r="P532" s="24"/>
    </row>
    <row r="533" spans="1:16" ht="9.75" customHeight="1">
      <c r="A533" s="18"/>
      <c r="B533" s="18" t="s">
        <v>34</v>
      </c>
      <c r="C533" s="18"/>
      <c r="D533" s="26"/>
      <c r="E533" s="2"/>
      <c r="F533" s="2"/>
      <c r="G533" s="2"/>
      <c r="H533" s="2"/>
      <c r="I533" s="111"/>
      <c r="J533" s="111"/>
      <c r="K533" s="111"/>
      <c r="L533" s="111"/>
      <c r="M533" s="112"/>
      <c r="N533" s="26"/>
      <c r="O533" s="2"/>
      <c r="P533" s="24"/>
    </row>
    <row r="534" spans="1:16" ht="9.75" customHeight="1">
      <c r="A534" s="18"/>
      <c r="B534" s="18" t="s">
        <v>35</v>
      </c>
      <c r="C534" s="18">
        <v>2</v>
      </c>
      <c r="D534" s="115">
        <v>0</v>
      </c>
      <c r="E534" s="116">
        <v>1</v>
      </c>
      <c r="F534" s="116">
        <v>0</v>
      </c>
      <c r="G534" s="116">
        <v>0</v>
      </c>
      <c r="H534" s="116">
        <v>0</v>
      </c>
      <c r="I534" s="52">
        <v>0</v>
      </c>
      <c r="J534" s="52">
        <v>0</v>
      </c>
      <c r="K534" s="52">
        <v>0</v>
      </c>
      <c r="L534" s="52">
        <v>0</v>
      </c>
      <c r="M534" s="87">
        <v>0</v>
      </c>
      <c r="N534" s="26">
        <f>MIN(D534:M534)</f>
        <v>0</v>
      </c>
      <c r="O534" s="2">
        <f>C534-N534</f>
        <v>2</v>
      </c>
      <c r="P534" s="24">
        <f>O534/C534</f>
        <v>1</v>
      </c>
    </row>
    <row r="535" spans="1:16" ht="9.75" customHeight="1">
      <c r="A535" s="18"/>
      <c r="B535" s="18" t="s">
        <v>36</v>
      </c>
      <c r="C535" s="18"/>
      <c r="D535" s="26"/>
      <c r="E535" s="2"/>
      <c r="F535" s="2"/>
      <c r="G535" s="2"/>
      <c r="H535" s="2"/>
      <c r="I535" s="2"/>
      <c r="J535" s="2"/>
      <c r="K535" s="2"/>
      <c r="L535" s="2"/>
      <c r="M535" s="27"/>
      <c r="N535" s="26"/>
      <c r="O535" s="2"/>
      <c r="P535" s="24"/>
    </row>
    <row r="536" spans="1:16" ht="9.75" customHeight="1">
      <c r="A536" s="18"/>
      <c r="B536" s="18" t="s">
        <v>37</v>
      </c>
      <c r="C536" s="18"/>
      <c r="D536" s="26"/>
      <c r="E536" s="2"/>
      <c r="F536" s="2"/>
      <c r="G536" s="2"/>
      <c r="H536" s="2"/>
      <c r="I536" s="2"/>
      <c r="J536" s="2"/>
      <c r="K536" s="2"/>
      <c r="L536" s="2"/>
      <c r="M536" s="27"/>
      <c r="N536" s="26"/>
      <c r="O536" s="2"/>
      <c r="P536" s="24"/>
    </row>
    <row r="537" spans="1:16" ht="9.75" customHeight="1">
      <c r="A537" s="32"/>
      <c r="B537" s="33" t="s">
        <v>38</v>
      </c>
      <c r="C537" s="33">
        <f t="shared" ref="C537:M537" si="90">SUM(C521:C536)</f>
        <v>13</v>
      </c>
      <c r="D537" s="70">
        <f t="shared" si="90"/>
        <v>0</v>
      </c>
      <c r="E537" s="71">
        <f t="shared" si="90"/>
        <v>1</v>
      </c>
      <c r="F537" s="71">
        <f t="shared" si="90"/>
        <v>0</v>
      </c>
      <c r="G537" s="71">
        <f t="shared" si="90"/>
        <v>0</v>
      </c>
      <c r="H537" s="71">
        <f t="shared" si="90"/>
        <v>0</v>
      </c>
      <c r="I537" s="71">
        <f t="shared" si="90"/>
        <v>0</v>
      </c>
      <c r="J537" s="71">
        <f t="shared" si="90"/>
        <v>0</v>
      </c>
      <c r="K537" s="71">
        <f t="shared" si="90"/>
        <v>1</v>
      </c>
      <c r="L537" s="71">
        <f t="shared" si="90"/>
        <v>1</v>
      </c>
      <c r="M537" s="93">
        <f t="shared" si="90"/>
        <v>1</v>
      </c>
      <c r="N537" s="70">
        <f t="shared" ref="N537:N538" si="91">MIN(D537:M537)</f>
        <v>0</v>
      </c>
      <c r="O537" s="71">
        <f t="shared" ref="O537:O538" si="92">C537-N537</f>
        <v>13</v>
      </c>
      <c r="P537" s="40">
        <f t="shared" ref="P537:P538" si="93">O537/C537</f>
        <v>1</v>
      </c>
    </row>
    <row r="538" spans="1:16" ht="9.75" customHeight="1">
      <c r="A538" s="66" t="s">
        <v>163</v>
      </c>
      <c r="B538" s="66" t="s">
        <v>23</v>
      </c>
      <c r="C538" s="145">
        <v>8</v>
      </c>
      <c r="D538" s="115">
        <v>0</v>
      </c>
      <c r="E538" s="116">
        <v>0</v>
      </c>
      <c r="F538" s="116">
        <v>0</v>
      </c>
      <c r="G538" s="116">
        <v>0</v>
      </c>
      <c r="H538" s="116">
        <v>0</v>
      </c>
      <c r="I538" s="48">
        <v>0</v>
      </c>
      <c r="J538" s="48">
        <v>1</v>
      </c>
      <c r="K538" s="48">
        <v>2</v>
      </c>
      <c r="L538" s="48">
        <v>1</v>
      </c>
      <c r="M538" s="86">
        <v>3</v>
      </c>
      <c r="N538" s="26">
        <f t="shared" si="91"/>
        <v>0</v>
      </c>
      <c r="O538" s="2">
        <f t="shared" si="92"/>
        <v>8</v>
      </c>
      <c r="P538" s="24">
        <f t="shared" si="93"/>
        <v>1</v>
      </c>
    </row>
    <row r="539" spans="1:16" ht="9.75" customHeight="1">
      <c r="A539" s="18"/>
      <c r="B539" s="18" t="s">
        <v>25</v>
      </c>
      <c r="C539" s="18"/>
      <c r="D539" s="26"/>
      <c r="E539" s="2"/>
      <c r="F539" s="2"/>
      <c r="G539" s="2"/>
      <c r="H539" s="2"/>
      <c r="I539" s="111"/>
      <c r="J539" s="111"/>
      <c r="K539" s="111"/>
      <c r="L539" s="111"/>
      <c r="M539" s="112"/>
      <c r="N539" s="26"/>
      <c r="O539" s="2"/>
      <c r="P539" s="24"/>
    </row>
    <row r="540" spans="1:16" ht="9.75" customHeight="1">
      <c r="A540" s="18"/>
      <c r="B540" s="18" t="s">
        <v>27</v>
      </c>
      <c r="C540" s="18"/>
      <c r="D540" s="26"/>
      <c r="E540" s="2"/>
      <c r="F540" s="2"/>
      <c r="G540" s="2"/>
      <c r="H540" s="2"/>
      <c r="I540" s="111"/>
      <c r="J540" s="111"/>
      <c r="K540" s="111"/>
      <c r="L540" s="111"/>
      <c r="M540" s="112"/>
      <c r="N540" s="26"/>
      <c r="O540" s="2"/>
      <c r="P540" s="24"/>
    </row>
    <row r="541" spans="1:16" ht="9.75" customHeight="1">
      <c r="A541" s="18"/>
      <c r="B541" s="18" t="s">
        <v>99</v>
      </c>
      <c r="C541" s="18"/>
      <c r="D541" s="26"/>
      <c r="E541" s="2"/>
      <c r="F541" s="2"/>
      <c r="G541" s="2"/>
      <c r="H541" s="2"/>
      <c r="I541" s="111"/>
      <c r="J541" s="111"/>
      <c r="K541" s="111"/>
      <c r="L541" s="111"/>
      <c r="M541" s="112"/>
      <c r="N541" s="26"/>
      <c r="O541" s="2"/>
      <c r="P541" s="24"/>
    </row>
    <row r="542" spans="1:16" ht="9.75" customHeight="1">
      <c r="A542" s="18"/>
      <c r="B542" s="18" t="s">
        <v>99</v>
      </c>
      <c r="C542" s="18"/>
      <c r="D542" s="26"/>
      <c r="E542" s="2"/>
      <c r="F542" s="2"/>
      <c r="G542" s="2"/>
      <c r="H542" s="2"/>
      <c r="I542" s="111"/>
      <c r="J542" s="111"/>
      <c r="K542" s="111"/>
      <c r="L542" s="111"/>
      <c r="M542" s="112"/>
      <c r="N542" s="26"/>
      <c r="O542" s="2"/>
      <c r="P542" s="24"/>
    </row>
    <row r="543" spans="1:16" ht="9.75" customHeight="1">
      <c r="A543" s="18"/>
      <c r="B543" s="18" t="s">
        <v>32</v>
      </c>
      <c r="C543" s="18"/>
      <c r="D543" s="26"/>
      <c r="E543" s="2"/>
      <c r="F543" s="2"/>
      <c r="G543" s="2"/>
      <c r="H543" s="2"/>
      <c r="I543" s="111"/>
      <c r="J543" s="111"/>
      <c r="K543" s="111"/>
      <c r="L543" s="111"/>
      <c r="M543" s="112"/>
      <c r="N543" s="26"/>
      <c r="O543" s="2"/>
      <c r="P543" s="24"/>
    </row>
    <row r="544" spans="1:16" ht="9.75" customHeight="1">
      <c r="A544" s="18"/>
      <c r="B544" s="18" t="s">
        <v>104</v>
      </c>
      <c r="C544" s="18"/>
      <c r="D544" s="26"/>
      <c r="E544" s="2"/>
      <c r="F544" s="2"/>
      <c r="G544" s="2"/>
      <c r="H544" s="2"/>
      <c r="I544" s="111"/>
      <c r="J544" s="111"/>
      <c r="K544" s="111"/>
      <c r="L544" s="111"/>
      <c r="M544" s="112"/>
      <c r="N544" s="26"/>
      <c r="O544" s="2"/>
      <c r="P544" s="24"/>
    </row>
    <row r="545" spans="1:16" ht="9.75" customHeight="1">
      <c r="A545" s="18"/>
      <c r="B545" s="18" t="s">
        <v>104</v>
      </c>
      <c r="C545" s="18"/>
      <c r="D545" s="26"/>
      <c r="E545" s="2"/>
      <c r="F545" s="2"/>
      <c r="G545" s="2"/>
      <c r="H545" s="2"/>
      <c r="I545" s="111"/>
      <c r="J545" s="111"/>
      <c r="K545" s="146"/>
      <c r="L545" s="111"/>
      <c r="M545" s="112"/>
      <c r="N545" s="26"/>
      <c r="O545" s="2"/>
      <c r="P545" s="24"/>
    </row>
    <row r="546" spans="1:16" ht="9.75" customHeight="1">
      <c r="A546" s="18"/>
      <c r="B546" s="18" t="s">
        <v>104</v>
      </c>
      <c r="C546" s="18"/>
      <c r="D546" s="26"/>
      <c r="E546" s="2"/>
      <c r="F546" s="2"/>
      <c r="G546" s="2"/>
      <c r="H546" s="2"/>
      <c r="I546" s="111"/>
      <c r="J546" s="111"/>
      <c r="K546" s="111"/>
      <c r="L546" s="111"/>
      <c r="M546" s="112"/>
      <c r="N546" s="26"/>
      <c r="O546" s="2"/>
      <c r="P546" s="24"/>
    </row>
    <row r="547" spans="1:16" ht="9.75" customHeight="1">
      <c r="A547" s="18"/>
      <c r="B547" s="18" t="s">
        <v>104</v>
      </c>
      <c r="C547" s="18"/>
      <c r="D547" s="26"/>
      <c r="E547" s="2"/>
      <c r="F547" s="2"/>
      <c r="G547" s="2"/>
      <c r="H547" s="2"/>
      <c r="I547" s="111"/>
      <c r="J547" s="111"/>
      <c r="K547" s="111"/>
      <c r="L547" s="111"/>
      <c r="M547" s="112"/>
      <c r="N547" s="26"/>
      <c r="O547" s="2"/>
      <c r="P547" s="24"/>
    </row>
    <row r="548" spans="1:16" ht="9.75" customHeight="1">
      <c r="A548" s="18"/>
      <c r="B548" s="18" t="s">
        <v>104</v>
      </c>
      <c r="C548" s="18"/>
      <c r="D548" s="26"/>
      <c r="E548" s="2"/>
      <c r="F548" s="2"/>
      <c r="G548" s="2"/>
      <c r="H548" s="2"/>
      <c r="I548" s="111"/>
      <c r="J548" s="111"/>
      <c r="K548" s="111"/>
      <c r="L548" s="111"/>
      <c r="M548" s="112"/>
      <c r="N548" s="26"/>
      <c r="O548" s="2"/>
      <c r="P548" s="24"/>
    </row>
    <row r="549" spans="1:16" ht="9.75" customHeight="1">
      <c r="A549" s="18"/>
      <c r="B549" s="18" t="s">
        <v>104</v>
      </c>
      <c r="C549" s="18"/>
      <c r="D549" s="26"/>
      <c r="E549" s="2"/>
      <c r="F549" s="2"/>
      <c r="G549" s="2"/>
      <c r="H549" s="2"/>
      <c r="I549" s="111"/>
      <c r="J549" s="111"/>
      <c r="K549" s="111"/>
      <c r="L549" s="111"/>
      <c r="M549" s="112"/>
      <c r="N549" s="26"/>
      <c r="O549" s="2"/>
      <c r="P549" s="24"/>
    </row>
    <row r="550" spans="1:16" ht="9.75" customHeight="1">
      <c r="A550" s="18"/>
      <c r="B550" s="18" t="s">
        <v>34</v>
      </c>
      <c r="C550" s="18">
        <v>3</v>
      </c>
      <c r="D550" s="115">
        <v>3</v>
      </c>
      <c r="E550" s="116">
        <v>3</v>
      </c>
      <c r="F550" s="116">
        <v>3</v>
      </c>
      <c r="G550" s="116">
        <v>3</v>
      </c>
      <c r="H550" s="116">
        <v>3</v>
      </c>
      <c r="I550" s="52">
        <v>3</v>
      </c>
      <c r="J550" s="52">
        <v>3</v>
      </c>
      <c r="K550" s="52">
        <v>3</v>
      </c>
      <c r="L550" s="52">
        <v>2</v>
      </c>
      <c r="M550" s="87">
        <v>3</v>
      </c>
      <c r="N550" s="26">
        <f>MIN(D550:M550)</f>
        <v>2</v>
      </c>
      <c r="O550" s="2">
        <f>C550-N550</f>
        <v>1</v>
      </c>
      <c r="P550" s="24">
        <f>O550/C550</f>
        <v>0.33333333333333331</v>
      </c>
    </row>
    <row r="551" spans="1:16" ht="9.75" customHeight="1">
      <c r="A551" s="18"/>
      <c r="B551" s="18" t="s">
        <v>35</v>
      </c>
      <c r="C551" s="18"/>
      <c r="D551" s="26"/>
      <c r="E551" s="2"/>
      <c r="F551" s="2"/>
      <c r="G551" s="2"/>
      <c r="H551" s="2"/>
      <c r="I551" s="111"/>
      <c r="J551" s="111"/>
      <c r="K551" s="111"/>
      <c r="L551" s="111"/>
      <c r="M551" s="112"/>
      <c r="N551" s="26"/>
      <c r="O551" s="2"/>
      <c r="P551" s="24"/>
    </row>
    <row r="552" spans="1:16" ht="9.75" customHeight="1">
      <c r="A552" s="18"/>
      <c r="B552" s="18" t="s">
        <v>36</v>
      </c>
      <c r="C552" s="18"/>
      <c r="D552" s="26"/>
      <c r="E552" s="2"/>
      <c r="F552" s="2"/>
      <c r="G552" s="2"/>
      <c r="H552" s="2"/>
      <c r="I552" s="111"/>
      <c r="J552" s="111"/>
      <c r="K552" s="111"/>
      <c r="L552" s="111"/>
      <c r="M552" s="112"/>
      <c r="N552" s="26"/>
      <c r="O552" s="2"/>
      <c r="P552" s="24"/>
    </row>
    <row r="553" spans="1:16" ht="9.75" customHeight="1">
      <c r="A553" s="18"/>
      <c r="B553" s="18" t="s">
        <v>37</v>
      </c>
      <c r="C553" s="18">
        <v>8</v>
      </c>
      <c r="D553" s="115">
        <v>5</v>
      </c>
      <c r="E553" s="116">
        <v>4</v>
      </c>
      <c r="F553" s="116">
        <v>1</v>
      </c>
      <c r="G553" s="116">
        <v>1</v>
      </c>
      <c r="H553" s="116">
        <v>2</v>
      </c>
      <c r="I553" s="113">
        <v>2</v>
      </c>
      <c r="J553" s="113">
        <v>3</v>
      </c>
      <c r="K553" s="113">
        <v>4</v>
      </c>
      <c r="L553" s="113">
        <v>1</v>
      </c>
      <c r="M553" s="114">
        <v>2</v>
      </c>
      <c r="N553" s="26">
        <f t="shared" ref="N553:N554" si="94">MIN(D553:M553)</f>
        <v>1</v>
      </c>
      <c r="O553" s="2">
        <f t="shared" ref="O553:O554" si="95">C553-N553</f>
        <v>7</v>
      </c>
      <c r="P553" s="24">
        <f t="shared" ref="P553:P554" si="96">O553/C553</f>
        <v>0.875</v>
      </c>
    </row>
    <row r="554" spans="1:16" ht="9.75" customHeight="1">
      <c r="A554" s="32"/>
      <c r="B554" s="33" t="s">
        <v>38</v>
      </c>
      <c r="C554" s="33">
        <f t="shared" ref="C554:M554" si="97">SUM(C538:C553)</f>
        <v>19</v>
      </c>
      <c r="D554" s="70">
        <f t="shared" si="97"/>
        <v>8</v>
      </c>
      <c r="E554" s="71">
        <f t="shared" si="97"/>
        <v>7</v>
      </c>
      <c r="F554" s="71">
        <f t="shared" si="97"/>
        <v>4</v>
      </c>
      <c r="G554" s="71">
        <f t="shared" si="97"/>
        <v>4</v>
      </c>
      <c r="H554" s="71">
        <f t="shared" si="97"/>
        <v>5</v>
      </c>
      <c r="I554" s="39">
        <f t="shared" si="97"/>
        <v>5</v>
      </c>
      <c r="J554" s="39">
        <f t="shared" si="97"/>
        <v>7</v>
      </c>
      <c r="K554" s="39">
        <f t="shared" si="97"/>
        <v>9</v>
      </c>
      <c r="L554" s="39">
        <f t="shared" si="97"/>
        <v>4</v>
      </c>
      <c r="M554" s="95">
        <f t="shared" si="97"/>
        <v>8</v>
      </c>
      <c r="N554" s="70">
        <f t="shared" si="94"/>
        <v>4</v>
      </c>
      <c r="O554" s="71">
        <f t="shared" si="95"/>
        <v>15</v>
      </c>
      <c r="P554" s="40">
        <f t="shared" si="96"/>
        <v>0.78947368421052633</v>
      </c>
    </row>
    <row r="555" spans="1:16" ht="9.75" customHeight="1">
      <c r="A555" s="66" t="s">
        <v>164</v>
      </c>
      <c r="B555" s="66" t="s">
        <v>23</v>
      </c>
      <c r="C555" s="66"/>
      <c r="D555" s="41"/>
      <c r="E555" s="72"/>
      <c r="F555" s="72"/>
      <c r="G555" s="72"/>
      <c r="H555" s="72"/>
      <c r="I555" s="72"/>
      <c r="J555" s="72"/>
      <c r="K555" s="72"/>
      <c r="L555" s="72"/>
      <c r="M555" s="73"/>
      <c r="N555" s="41"/>
      <c r="O555" s="72"/>
      <c r="P555" s="99"/>
    </row>
    <row r="556" spans="1:16" ht="9.75" customHeight="1">
      <c r="A556" s="18"/>
      <c r="B556" s="18" t="s">
        <v>25</v>
      </c>
      <c r="C556" s="18"/>
      <c r="D556" s="26"/>
      <c r="E556" s="2"/>
      <c r="F556" s="2"/>
      <c r="G556" s="2"/>
      <c r="H556" s="2"/>
      <c r="I556" s="2"/>
      <c r="J556" s="2"/>
      <c r="K556" s="2"/>
      <c r="L556" s="2"/>
      <c r="M556" s="27"/>
      <c r="N556" s="26"/>
      <c r="O556" s="2"/>
      <c r="P556" s="24"/>
    </row>
    <row r="557" spans="1:16" ht="9.75" customHeight="1">
      <c r="A557" s="18"/>
      <c r="B557" s="18" t="s">
        <v>27</v>
      </c>
      <c r="C557" s="18"/>
      <c r="D557" s="26"/>
      <c r="E557" s="2"/>
      <c r="F557" s="2"/>
      <c r="G557" s="2"/>
      <c r="H557" s="2"/>
      <c r="I557" s="2"/>
      <c r="J557" s="2"/>
      <c r="K557" s="2"/>
      <c r="L557" s="2"/>
      <c r="M557" s="27"/>
      <c r="N557" s="26"/>
      <c r="O557" s="2"/>
      <c r="P557" s="24"/>
    </row>
    <row r="558" spans="1:16" ht="9.75" customHeight="1">
      <c r="A558" s="18"/>
      <c r="B558" s="18" t="s">
        <v>99</v>
      </c>
      <c r="C558" s="18"/>
      <c r="D558" s="26"/>
      <c r="E558" s="2"/>
      <c r="F558" s="2"/>
      <c r="G558" s="2"/>
      <c r="H558" s="2"/>
      <c r="I558" s="2"/>
      <c r="J558" s="2"/>
      <c r="K558" s="2"/>
      <c r="L558" s="2"/>
      <c r="M558" s="27"/>
      <c r="N558" s="26"/>
      <c r="O558" s="2"/>
      <c r="P558" s="24"/>
    </row>
    <row r="559" spans="1:16" ht="9.75" customHeight="1">
      <c r="A559" s="18"/>
      <c r="B559" s="18" t="s">
        <v>99</v>
      </c>
      <c r="C559" s="18"/>
      <c r="D559" s="26"/>
      <c r="E559" s="2"/>
      <c r="F559" s="2"/>
      <c r="G559" s="2"/>
      <c r="H559" s="2"/>
      <c r="I559" s="2"/>
      <c r="J559" s="2"/>
      <c r="K559" s="2"/>
      <c r="L559" s="2"/>
      <c r="M559" s="27"/>
      <c r="N559" s="26"/>
      <c r="O559" s="2"/>
      <c r="P559" s="24"/>
    </row>
    <row r="560" spans="1:16" ht="9.75" customHeight="1">
      <c r="A560" s="18"/>
      <c r="B560" s="18" t="s">
        <v>32</v>
      </c>
      <c r="C560" s="18">
        <v>1</v>
      </c>
      <c r="D560" s="115">
        <v>0</v>
      </c>
      <c r="E560" s="116">
        <v>0</v>
      </c>
      <c r="F560" s="116">
        <v>0</v>
      </c>
      <c r="G560" s="116">
        <v>0</v>
      </c>
      <c r="H560" s="116">
        <v>0</v>
      </c>
      <c r="I560" s="137">
        <v>0</v>
      </c>
      <c r="J560" s="137">
        <v>0</v>
      </c>
      <c r="K560" s="137">
        <v>0</v>
      </c>
      <c r="L560" s="137">
        <v>0</v>
      </c>
      <c r="M560" s="138">
        <v>0</v>
      </c>
      <c r="N560" s="26">
        <f>MIN(D560:M560)</f>
        <v>0</v>
      </c>
      <c r="O560" s="2">
        <f>C560-N560</f>
        <v>1</v>
      </c>
      <c r="P560" s="24">
        <f>O560/C560</f>
        <v>1</v>
      </c>
    </row>
    <row r="561" spans="1:16" ht="9.75" customHeight="1">
      <c r="A561" s="18"/>
      <c r="B561" s="18" t="s">
        <v>104</v>
      </c>
      <c r="C561" s="18"/>
      <c r="D561" s="26"/>
      <c r="E561" s="2"/>
      <c r="F561" s="2"/>
      <c r="G561" s="2"/>
      <c r="H561" s="2"/>
      <c r="I561" s="111"/>
      <c r="J561" s="111"/>
      <c r="K561" s="111"/>
      <c r="L561" s="111"/>
      <c r="M561" s="112"/>
      <c r="N561" s="26"/>
      <c r="O561" s="2"/>
      <c r="P561" s="24"/>
    </row>
    <row r="562" spans="1:16" ht="9.75" customHeight="1">
      <c r="A562" s="18"/>
      <c r="B562" s="18" t="s">
        <v>104</v>
      </c>
      <c r="C562" s="18"/>
      <c r="D562" s="26"/>
      <c r="E562" s="2"/>
      <c r="F562" s="2"/>
      <c r="G562" s="2"/>
      <c r="H562" s="2"/>
      <c r="I562" s="111"/>
      <c r="J562" s="111"/>
      <c r="K562" s="111"/>
      <c r="L562" s="111"/>
      <c r="M562" s="112"/>
      <c r="N562" s="26"/>
      <c r="O562" s="2"/>
      <c r="P562" s="24"/>
    </row>
    <row r="563" spans="1:16" ht="9.75" customHeight="1">
      <c r="A563" s="18"/>
      <c r="B563" s="18" t="s">
        <v>104</v>
      </c>
      <c r="C563" s="18"/>
      <c r="D563" s="26"/>
      <c r="E563" s="2"/>
      <c r="F563" s="2"/>
      <c r="G563" s="2"/>
      <c r="H563" s="2"/>
      <c r="I563" s="111"/>
      <c r="J563" s="111"/>
      <c r="K563" s="111"/>
      <c r="L563" s="111"/>
      <c r="M563" s="112"/>
      <c r="N563" s="26"/>
      <c r="O563" s="2"/>
      <c r="P563" s="24"/>
    </row>
    <row r="564" spans="1:16" ht="9.75" customHeight="1">
      <c r="A564" s="18"/>
      <c r="B564" s="18" t="s">
        <v>104</v>
      </c>
      <c r="C564" s="18"/>
      <c r="D564" s="26"/>
      <c r="E564" s="2"/>
      <c r="F564" s="2"/>
      <c r="G564" s="2"/>
      <c r="H564" s="2"/>
      <c r="I564" s="111"/>
      <c r="J564" s="111"/>
      <c r="K564" s="111"/>
      <c r="L564" s="111"/>
      <c r="M564" s="112"/>
      <c r="N564" s="26"/>
      <c r="O564" s="2"/>
      <c r="P564" s="24"/>
    </row>
    <row r="565" spans="1:16" ht="9.75" customHeight="1">
      <c r="A565" s="18"/>
      <c r="B565" s="18" t="s">
        <v>104</v>
      </c>
      <c r="C565" s="18"/>
      <c r="D565" s="26"/>
      <c r="E565" s="2"/>
      <c r="F565" s="2"/>
      <c r="G565" s="2"/>
      <c r="H565" s="2"/>
      <c r="I565" s="111"/>
      <c r="J565" s="111"/>
      <c r="K565" s="111"/>
      <c r="L565" s="111"/>
      <c r="M565" s="112"/>
      <c r="N565" s="26"/>
      <c r="O565" s="2"/>
      <c r="P565" s="24"/>
    </row>
    <row r="566" spans="1:16" ht="9.75" customHeight="1">
      <c r="A566" s="18"/>
      <c r="B566" s="18" t="s">
        <v>104</v>
      </c>
      <c r="C566" s="18"/>
      <c r="D566" s="26"/>
      <c r="E566" s="2"/>
      <c r="F566" s="2"/>
      <c r="G566" s="2"/>
      <c r="H566" s="2"/>
      <c r="I566" s="111"/>
      <c r="J566" s="111"/>
      <c r="K566" s="111"/>
      <c r="L566" s="111"/>
      <c r="M566" s="112"/>
      <c r="N566" s="26"/>
      <c r="O566" s="2"/>
      <c r="P566" s="24"/>
    </row>
    <row r="567" spans="1:16" ht="9.75" customHeight="1">
      <c r="A567" s="18"/>
      <c r="B567" s="18" t="s">
        <v>34</v>
      </c>
      <c r="C567" s="18">
        <v>3</v>
      </c>
      <c r="D567" s="115">
        <v>3</v>
      </c>
      <c r="E567" s="116">
        <v>3</v>
      </c>
      <c r="F567" s="116">
        <v>2</v>
      </c>
      <c r="G567" s="116">
        <v>2</v>
      </c>
      <c r="H567" s="116">
        <v>2</v>
      </c>
      <c r="I567" s="137">
        <v>1</v>
      </c>
      <c r="J567" s="137">
        <v>1</v>
      </c>
      <c r="K567" s="137">
        <v>2</v>
      </c>
      <c r="L567" s="137">
        <v>3</v>
      </c>
      <c r="M567" s="138">
        <v>3</v>
      </c>
      <c r="N567" s="26">
        <f>MIN(D567:M567)</f>
        <v>1</v>
      </c>
      <c r="O567" s="2">
        <f>C567-N567</f>
        <v>2</v>
      </c>
      <c r="P567" s="24">
        <f>O567/C567</f>
        <v>0.66666666666666663</v>
      </c>
    </row>
    <row r="568" spans="1:16" ht="9.75" customHeight="1">
      <c r="A568" s="18"/>
      <c r="B568" s="18" t="s">
        <v>35</v>
      </c>
      <c r="C568" s="18"/>
      <c r="D568" s="26"/>
      <c r="E568" s="2"/>
      <c r="F568" s="2"/>
      <c r="G568" s="2"/>
      <c r="H568" s="2"/>
      <c r="I568" s="111"/>
      <c r="J568" s="111"/>
      <c r="K568" s="111"/>
      <c r="L568" s="111"/>
      <c r="M568" s="112"/>
      <c r="N568" s="26"/>
      <c r="O568" s="2"/>
      <c r="P568" s="24"/>
    </row>
    <row r="569" spans="1:16" ht="9.75" customHeight="1">
      <c r="A569" s="18"/>
      <c r="B569" s="18" t="s">
        <v>36</v>
      </c>
      <c r="C569" s="18">
        <v>2</v>
      </c>
      <c r="D569" s="115">
        <v>2</v>
      </c>
      <c r="E569" s="116">
        <v>2</v>
      </c>
      <c r="F569" s="116">
        <v>2</v>
      </c>
      <c r="G569" s="116">
        <v>2</v>
      </c>
      <c r="H569" s="116">
        <v>2</v>
      </c>
      <c r="I569" s="137">
        <v>2</v>
      </c>
      <c r="J569" s="137">
        <v>1</v>
      </c>
      <c r="K569" s="137">
        <v>2</v>
      </c>
      <c r="L569" s="137">
        <v>2</v>
      </c>
      <c r="M569" s="138">
        <v>2</v>
      </c>
      <c r="N569" s="26">
        <f t="shared" ref="N569:N571" si="98">MIN(D569:M569)</f>
        <v>1</v>
      </c>
      <c r="O569" s="2">
        <f t="shared" ref="O569:O571" si="99">C569-N569</f>
        <v>1</v>
      </c>
      <c r="P569" s="24">
        <f t="shared" ref="P569:P571" si="100">O569/C569</f>
        <v>0.5</v>
      </c>
    </row>
    <row r="570" spans="1:16" ht="9.75" customHeight="1">
      <c r="A570" s="18"/>
      <c r="B570" s="18" t="s">
        <v>37</v>
      </c>
      <c r="C570" s="18">
        <v>4</v>
      </c>
      <c r="D570" s="115">
        <v>4</v>
      </c>
      <c r="E570" s="116">
        <v>4</v>
      </c>
      <c r="F570" s="116">
        <v>4</v>
      </c>
      <c r="G570" s="116">
        <v>4</v>
      </c>
      <c r="H570" s="116">
        <v>3</v>
      </c>
      <c r="I570" s="142">
        <v>1</v>
      </c>
      <c r="J570" s="142">
        <v>1</v>
      </c>
      <c r="K570" s="142">
        <v>3</v>
      </c>
      <c r="L570" s="142">
        <v>4</v>
      </c>
      <c r="M570" s="143">
        <v>3</v>
      </c>
      <c r="N570" s="26">
        <f t="shared" si="98"/>
        <v>1</v>
      </c>
      <c r="O570" s="2">
        <f t="shared" si="99"/>
        <v>3</v>
      </c>
      <c r="P570" s="24">
        <f t="shared" si="100"/>
        <v>0.75</v>
      </c>
    </row>
    <row r="571" spans="1:16" ht="9.75" customHeight="1">
      <c r="A571" s="32"/>
      <c r="B571" s="33" t="s">
        <v>38</v>
      </c>
      <c r="C571" s="33">
        <f t="shared" ref="C571:M571" si="101">SUM(C555:C570)</f>
        <v>10</v>
      </c>
      <c r="D571" s="70">
        <f t="shared" si="101"/>
        <v>9</v>
      </c>
      <c r="E571" s="71">
        <f t="shared" si="101"/>
        <v>9</v>
      </c>
      <c r="F571" s="71">
        <f t="shared" si="101"/>
        <v>8</v>
      </c>
      <c r="G571" s="71">
        <f t="shared" si="101"/>
        <v>8</v>
      </c>
      <c r="H571" s="71">
        <f t="shared" si="101"/>
        <v>7</v>
      </c>
      <c r="I571" s="71">
        <f t="shared" si="101"/>
        <v>4</v>
      </c>
      <c r="J571" s="71">
        <f t="shared" si="101"/>
        <v>3</v>
      </c>
      <c r="K571" s="71">
        <f t="shared" si="101"/>
        <v>7</v>
      </c>
      <c r="L571" s="71">
        <f t="shared" si="101"/>
        <v>9</v>
      </c>
      <c r="M571" s="93">
        <f t="shared" si="101"/>
        <v>8</v>
      </c>
      <c r="N571" s="70">
        <f t="shared" si="98"/>
        <v>3</v>
      </c>
      <c r="O571" s="71">
        <f t="shared" si="99"/>
        <v>7</v>
      </c>
      <c r="P571" s="40">
        <f t="shared" si="100"/>
        <v>0.7</v>
      </c>
    </row>
    <row r="572" spans="1:16" ht="9.75" customHeight="1">
      <c r="A572" s="66" t="s">
        <v>165</v>
      </c>
      <c r="B572" s="66" t="s">
        <v>23</v>
      </c>
      <c r="C572" s="66"/>
      <c r="D572" s="41"/>
      <c r="E572" s="72"/>
      <c r="F572" s="72"/>
      <c r="G572" s="72"/>
      <c r="H572" s="72"/>
      <c r="I572" s="72"/>
      <c r="J572" s="72"/>
      <c r="K572" s="72"/>
      <c r="L572" s="72"/>
      <c r="M572" s="73"/>
      <c r="N572" s="41"/>
      <c r="O572" s="72"/>
      <c r="P572" s="99"/>
    </row>
    <row r="573" spans="1:16" ht="9.75" customHeight="1">
      <c r="A573" s="18"/>
      <c r="B573" s="18" t="s">
        <v>25</v>
      </c>
      <c r="C573" s="18"/>
      <c r="D573" s="26"/>
      <c r="E573" s="2"/>
      <c r="F573" s="2"/>
      <c r="G573" s="2"/>
      <c r="H573" s="2"/>
      <c r="I573" s="2"/>
      <c r="J573" s="2"/>
      <c r="K573" s="2"/>
      <c r="L573" s="2"/>
      <c r="M573" s="27"/>
      <c r="N573" s="26"/>
      <c r="O573" s="2"/>
      <c r="P573" s="24"/>
    </row>
    <row r="574" spans="1:16" ht="9.75" customHeight="1">
      <c r="A574" s="18"/>
      <c r="B574" s="18" t="s">
        <v>27</v>
      </c>
      <c r="C574" s="18"/>
      <c r="D574" s="26"/>
      <c r="E574" s="2"/>
      <c r="F574" s="2"/>
      <c r="G574" s="2"/>
      <c r="H574" s="2"/>
      <c r="I574" s="2"/>
      <c r="J574" s="2"/>
      <c r="K574" s="2"/>
      <c r="L574" s="2"/>
      <c r="M574" s="27"/>
      <c r="N574" s="26"/>
      <c r="O574" s="2"/>
      <c r="P574" s="24"/>
    </row>
    <row r="575" spans="1:16" ht="9.75" customHeight="1">
      <c r="A575" s="18"/>
      <c r="B575" s="18" t="s">
        <v>99</v>
      </c>
      <c r="C575" s="18"/>
      <c r="D575" s="26"/>
      <c r="E575" s="2"/>
      <c r="F575" s="2"/>
      <c r="G575" s="2"/>
      <c r="H575" s="2"/>
      <c r="I575" s="2"/>
      <c r="J575" s="2"/>
      <c r="K575" s="2"/>
      <c r="L575" s="2"/>
      <c r="M575" s="27"/>
      <c r="N575" s="26"/>
      <c r="O575" s="2"/>
      <c r="P575" s="24"/>
    </row>
    <row r="576" spans="1:16" ht="9.75" customHeight="1">
      <c r="A576" s="18"/>
      <c r="B576" s="18" t="s">
        <v>99</v>
      </c>
      <c r="C576" s="18"/>
      <c r="D576" s="26"/>
      <c r="E576" s="2"/>
      <c r="F576" s="2"/>
      <c r="G576" s="2"/>
      <c r="H576" s="2"/>
      <c r="I576" s="2"/>
      <c r="J576" s="2"/>
      <c r="K576" s="2"/>
      <c r="L576" s="2"/>
      <c r="M576" s="27"/>
      <c r="N576" s="26"/>
      <c r="O576" s="2"/>
      <c r="P576" s="24"/>
    </row>
    <row r="577" spans="1:16" ht="9.75" customHeight="1">
      <c r="A577" s="18"/>
      <c r="B577" s="18" t="s">
        <v>32</v>
      </c>
      <c r="C577" s="18">
        <v>5</v>
      </c>
      <c r="D577" s="115">
        <v>0</v>
      </c>
      <c r="E577" s="116">
        <v>2</v>
      </c>
      <c r="F577" s="116">
        <v>1</v>
      </c>
      <c r="G577" s="116">
        <v>1</v>
      </c>
      <c r="H577" s="116">
        <v>1</v>
      </c>
      <c r="I577" s="52">
        <v>2</v>
      </c>
      <c r="J577" s="52">
        <v>2</v>
      </c>
      <c r="K577" s="52">
        <v>2</v>
      </c>
      <c r="L577" s="52">
        <v>2</v>
      </c>
      <c r="M577" s="87">
        <v>2</v>
      </c>
      <c r="N577" s="26">
        <f>MIN(D577:M577)</f>
        <v>0</v>
      </c>
      <c r="O577" s="2">
        <f>C577-N577</f>
        <v>5</v>
      </c>
      <c r="P577" s="24">
        <f>O577/C577</f>
        <v>1</v>
      </c>
    </row>
    <row r="578" spans="1:16" ht="9.75" customHeight="1">
      <c r="A578" s="18"/>
      <c r="B578" s="18" t="s">
        <v>104</v>
      </c>
      <c r="C578" s="18"/>
      <c r="D578" s="26"/>
      <c r="E578" s="2"/>
      <c r="F578" s="2"/>
      <c r="G578" s="2"/>
      <c r="H578" s="2"/>
      <c r="I578" s="2"/>
      <c r="J578" s="2"/>
      <c r="K578" s="2"/>
      <c r="L578" s="2"/>
      <c r="M578" s="27"/>
      <c r="N578" s="26"/>
      <c r="O578" s="2"/>
      <c r="P578" s="24"/>
    </row>
    <row r="579" spans="1:16" ht="9.75" customHeight="1">
      <c r="A579" s="18"/>
      <c r="B579" s="18" t="s">
        <v>104</v>
      </c>
      <c r="C579" s="18"/>
      <c r="D579" s="26"/>
      <c r="E579" s="2"/>
      <c r="F579" s="2"/>
      <c r="G579" s="2"/>
      <c r="H579" s="2"/>
      <c r="I579" s="2"/>
      <c r="J579" s="2"/>
      <c r="K579" s="2"/>
      <c r="L579" s="2"/>
      <c r="M579" s="27"/>
      <c r="N579" s="26"/>
      <c r="O579" s="2"/>
      <c r="P579" s="24"/>
    </row>
    <row r="580" spans="1:16" ht="9.75" customHeight="1">
      <c r="A580" s="18"/>
      <c r="B580" s="18" t="s">
        <v>104</v>
      </c>
      <c r="C580" s="18"/>
      <c r="D580" s="26"/>
      <c r="E580" s="2"/>
      <c r="F580" s="2"/>
      <c r="G580" s="2"/>
      <c r="H580" s="2"/>
      <c r="I580" s="2"/>
      <c r="J580" s="2"/>
      <c r="K580" s="2"/>
      <c r="L580" s="2"/>
      <c r="M580" s="27"/>
      <c r="N580" s="26"/>
      <c r="O580" s="2"/>
      <c r="P580" s="24"/>
    </row>
    <row r="581" spans="1:16" ht="9.75" customHeight="1">
      <c r="A581" s="18"/>
      <c r="B581" s="18" t="s">
        <v>104</v>
      </c>
      <c r="C581" s="18"/>
      <c r="D581" s="26"/>
      <c r="E581" s="2"/>
      <c r="F581" s="2"/>
      <c r="G581" s="2"/>
      <c r="H581" s="2"/>
      <c r="I581" s="2"/>
      <c r="J581" s="2"/>
      <c r="K581" s="2"/>
      <c r="L581" s="2"/>
      <c r="M581" s="27"/>
      <c r="N581" s="26"/>
      <c r="O581" s="2"/>
      <c r="P581" s="24"/>
    </row>
    <row r="582" spans="1:16" ht="9.75" customHeight="1">
      <c r="A582" s="18"/>
      <c r="B582" s="18" t="s">
        <v>104</v>
      </c>
      <c r="C582" s="18"/>
      <c r="D582" s="26"/>
      <c r="E582" s="2"/>
      <c r="F582" s="2"/>
      <c r="G582" s="2"/>
      <c r="H582" s="2"/>
      <c r="I582" s="2"/>
      <c r="J582" s="2"/>
      <c r="K582" s="2"/>
      <c r="L582" s="2"/>
      <c r="M582" s="27"/>
      <c r="N582" s="26"/>
      <c r="O582" s="2"/>
      <c r="P582" s="24"/>
    </row>
    <row r="583" spans="1:16" ht="9.75" customHeight="1">
      <c r="A583" s="18"/>
      <c r="B583" s="18" t="s">
        <v>104</v>
      </c>
      <c r="C583" s="18"/>
      <c r="D583" s="26"/>
      <c r="E583" s="2"/>
      <c r="F583" s="2"/>
      <c r="G583" s="2"/>
      <c r="H583" s="2"/>
      <c r="I583" s="2"/>
      <c r="J583" s="2"/>
      <c r="K583" s="2"/>
      <c r="L583" s="2"/>
      <c r="M583" s="27"/>
      <c r="N583" s="26"/>
      <c r="O583" s="2"/>
      <c r="P583" s="24"/>
    </row>
    <row r="584" spans="1:16" ht="9.75" customHeight="1">
      <c r="A584" s="18"/>
      <c r="B584" s="18" t="s">
        <v>34</v>
      </c>
      <c r="C584" s="18"/>
      <c r="D584" s="26"/>
      <c r="E584" s="2"/>
      <c r="F584" s="2"/>
      <c r="G584" s="2"/>
      <c r="H584" s="2"/>
      <c r="I584" s="2"/>
      <c r="J584" s="2"/>
      <c r="K584" s="2"/>
      <c r="L584" s="2"/>
      <c r="M584" s="27"/>
      <c r="N584" s="26"/>
      <c r="O584" s="2"/>
      <c r="P584" s="24"/>
    </row>
    <row r="585" spans="1:16" ht="9.75" customHeight="1">
      <c r="A585" s="18"/>
      <c r="B585" s="18" t="s">
        <v>35</v>
      </c>
      <c r="C585" s="18"/>
      <c r="D585" s="26"/>
      <c r="E585" s="2"/>
      <c r="F585" s="2"/>
      <c r="G585" s="2"/>
      <c r="H585" s="2"/>
      <c r="I585" s="2"/>
      <c r="J585" s="2"/>
      <c r="K585" s="2"/>
      <c r="L585" s="2"/>
      <c r="M585" s="27"/>
      <c r="N585" s="26"/>
      <c r="O585" s="2"/>
      <c r="P585" s="24"/>
    </row>
    <row r="586" spans="1:16" ht="9.75" customHeight="1">
      <c r="A586" s="18"/>
      <c r="B586" s="18" t="s">
        <v>36</v>
      </c>
      <c r="C586" s="18"/>
      <c r="D586" s="26"/>
      <c r="E586" s="2"/>
      <c r="F586" s="2"/>
      <c r="G586" s="2"/>
      <c r="H586" s="2"/>
      <c r="I586" s="2"/>
      <c r="J586" s="2"/>
      <c r="K586" s="2"/>
      <c r="L586" s="2"/>
      <c r="M586" s="27"/>
      <c r="N586" s="26"/>
      <c r="O586" s="2"/>
      <c r="P586" s="24"/>
    </row>
    <row r="587" spans="1:16" ht="9.75" customHeight="1">
      <c r="A587" s="18"/>
      <c r="B587" s="18" t="s">
        <v>37</v>
      </c>
      <c r="C587" s="18"/>
      <c r="D587" s="26"/>
      <c r="E587" s="2"/>
      <c r="F587" s="2"/>
      <c r="G587" s="2"/>
      <c r="H587" s="2"/>
      <c r="I587" s="2"/>
      <c r="J587" s="2"/>
      <c r="K587" s="2"/>
      <c r="L587" s="2"/>
      <c r="M587" s="27"/>
      <c r="N587" s="26"/>
      <c r="O587" s="2"/>
      <c r="P587" s="24"/>
    </row>
    <row r="588" spans="1:16" ht="9.75" customHeight="1">
      <c r="A588" s="32"/>
      <c r="B588" s="33" t="s">
        <v>38</v>
      </c>
      <c r="C588" s="33">
        <f t="shared" ref="C588:M588" si="102">SUM(C572:C587)</f>
        <v>5</v>
      </c>
      <c r="D588" s="70">
        <f t="shared" si="102"/>
        <v>0</v>
      </c>
      <c r="E588" s="71">
        <f t="shared" si="102"/>
        <v>2</v>
      </c>
      <c r="F588" s="71">
        <f t="shared" si="102"/>
        <v>1</v>
      </c>
      <c r="G588" s="71">
        <f t="shared" si="102"/>
        <v>1</v>
      </c>
      <c r="H588" s="71">
        <f t="shared" si="102"/>
        <v>1</v>
      </c>
      <c r="I588" s="71">
        <f t="shared" si="102"/>
        <v>2</v>
      </c>
      <c r="J588" s="71">
        <f t="shared" si="102"/>
        <v>2</v>
      </c>
      <c r="K588" s="71">
        <f t="shared" si="102"/>
        <v>2</v>
      </c>
      <c r="L588" s="71">
        <f t="shared" si="102"/>
        <v>2</v>
      </c>
      <c r="M588" s="93">
        <f t="shared" si="102"/>
        <v>2</v>
      </c>
      <c r="N588" s="70">
        <f>MIN(D588:M588)</f>
        <v>0</v>
      </c>
      <c r="O588" s="71">
        <f>C588-N588</f>
        <v>5</v>
      </c>
      <c r="P588" s="40">
        <f>O588/C588</f>
        <v>1</v>
      </c>
    </row>
    <row r="589" spans="1:16" ht="9.75" customHeight="1">
      <c r="A589" s="66" t="s">
        <v>166</v>
      </c>
      <c r="B589" s="66" t="s">
        <v>23</v>
      </c>
      <c r="C589" s="66"/>
      <c r="D589" s="41"/>
      <c r="E589" s="72"/>
      <c r="F589" s="72"/>
      <c r="G589" s="72"/>
      <c r="H589" s="72"/>
      <c r="I589" s="72"/>
      <c r="J589" s="72"/>
      <c r="K589" s="72"/>
      <c r="L589" s="72"/>
      <c r="M589" s="73"/>
      <c r="N589" s="41"/>
      <c r="O589" s="72"/>
      <c r="P589" s="99"/>
    </row>
    <row r="590" spans="1:16" ht="9.75" customHeight="1">
      <c r="A590" s="18"/>
      <c r="B590" s="18" t="s">
        <v>25</v>
      </c>
      <c r="C590" s="18"/>
      <c r="D590" s="26"/>
      <c r="E590" s="2"/>
      <c r="F590" s="2"/>
      <c r="G590" s="2"/>
      <c r="H590" s="2"/>
      <c r="I590" s="2"/>
      <c r="J590" s="2"/>
      <c r="K590" s="2"/>
      <c r="L590" s="2"/>
      <c r="M590" s="27"/>
      <c r="N590" s="26"/>
      <c r="O590" s="2"/>
      <c r="P590" s="24"/>
    </row>
    <row r="591" spans="1:16" ht="9.75" customHeight="1">
      <c r="A591" s="18"/>
      <c r="B591" s="18" t="s">
        <v>27</v>
      </c>
      <c r="C591" s="18"/>
      <c r="D591" s="26"/>
      <c r="E591" s="2"/>
      <c r="F591" s="2"/>
      <c r="G591" s="2"/>
      <c r="H591" s="2"/>
      <c r="I591" s="2"/>
      <c r="J591" s="2"/>
      <c r="K591" s="2"/>
      <c r="L591" s="2"/>
      <c r="M591" s="27"/>
      <c r="N591" s="26"/>
      <c r="O591" s="2"/>
      <c r="P591" s="24"/>
    </row>
    <row r="592" spans="1:16" ht="9.75" customHeight="1">
      <c r="A592" s="18"/>
      <c r="B592" s="18" t="s">
        <v>99</v>
      </c>
      <c r="C592" s="18"/>
      <c r="D592" s="26"/>
      <c r="E592" s="2"/>
      <c r="F592" s="2"/>
      <c r="G592" s="2"/>
      <c r="H592" s="2"/>
      <c r="I592" s="2"/>
      <c r="J592" s="2"/>
      <c r="K592" s="2"/>
      <c r="L592" s="2"/>
      <c r="M592" s="27"/>
      <c r="N592" s="26"/>
      <c r="O592" s="2"/>
      <c r="P592" s="24"/>
    </row>
    <row r="593" spans="1:16" ht="9.75" customHeight="1">
      <c r="A593" s="18"/>
      <c r="B593" s="18" t="s">
        <v>99</v>
      </c>
      <c r="C593" s="18"/>
      <c r="D593" s="26"/>
      <c r="E593" s="2"/>
      <c r="F593" s="2"/>
      <c r="G593" s="2"/>
      <c r="H593" s="2"/>
      <c r="I593" s="2"/>
      <c r="J593" s="2"/>
      <c r="K593" s="2"/>
      <c r="L593" s="2"/>
      <c r="M593" s="27"/>
      <c r="N593" s="26"/>
      <c r="O593" s="2"/>
      <c r="P593" s="24"/>
    </row>
    <row r="594" spans="1:16" ht="9.75" customHeight="1">
      <c r="A594" s="18"/>
      <c r="B594" s="18" t="s">
        <v>32</v>
      </c>
      <c r="C594" s="18"/>
      <c r="D594" s="26"/>
      <c r="E594" s="2"/>
      <c r="F594" s="2"/>
      <c r="G594" s="2"/>
      <c r="H594" s="2"/>
      <c r="I594" s="2"/>
      <c r="J594" s="2"/>
      <c r="K594" s="2"/>
      <c r="L594" s="2"/>
      <c r="M594" s="27"/>
      <c r="N594" s="26"/>
      <c r="O594" s="2"/>
      <c r="P594" s="24"/>
    </row>
    <row r="595" spans="1:16" ht="9.75" customHeight="1">
      <c r="A595" s="18"/>
      <c r="B595" s="18" t="s">
        <v>167</v>
      </c>
      <c r="C595" s="18">
        <v>2</v>
      </c>
      <c r="D595" s="115">
        <v>2</v>
      </c>
      <c r="E595" s="116">
        <v>2</v>
      </c>
      <c r="F595" s="116">
        <v>2</v>
      </c>
      <c r="G595" s="116">
        <v>2</v>
      </c>
      <c r="H595" s="116">
        <v>2</v>
      </c>
      <c r="I595" s="52">
        <v>2</v>
      </c>
      <c r="J595" s="52">
        <v>2</v>
      </c>
      <c r="K595" s="52">
        <v>2</v>
      </c>
      <c r="L595" s="52">
        <v>2</v>
      </c>
      <c r="M595" s="87">
        <v>2</v>
      </c>
      <c r="N595" s="26">
        <f>MIN(D595:M595)</f>
        <v>2</v>
      </c>
      <c r="O595" s="2">
        <f>C595-N595</f>
        <v>0</v>
      </c>
      <c r="P595" s="24">
        <f>O595/C595</f>
        <v>0</v>
      </c>
    </row>
    <row r="596" spans="1:16" ht="9.75" customHeight="1">
      <c r="A596" s="18"/>
      <c r="B596" s="18" t="s">
        <v>104</v>
      </c>
      <c r="C596" s="18"/>
      <c r="D596" s="26"/>
      <c r="E596" s="2"/>
      <c r="F596" s="2"/>
      <c r="G596" s="2"/>
      <c r="H596" s="2"/>
      <c r="I596" s="2"/>
      <c r="J596" s="2"/>
      <c r="K596" s="2"/>
      <c r="L596" s="2"/>
      <c r="M596" s="27"/>
      <c r="N596" s="26"/>
      <c r="O596" s="2"/>
      <c r="P596" s="24"/>
    </row>
    <row r="597" spans="1:16" ht="9.75" customHeight="1">
      <c r="A597" s="18"/>
      <c r="B597" s="18" t="s">
        <v>104</v>
      </c>
      <c r="C597" s="18"/>
      <c r="D597" s="26"/>
      <c r="E597" s="2"/>
      <c r="F597" s="2"/>
      <c r="G597" s="2"/>
      <c r="H597" s="2"/>
      <c r="I597" s="2"/>
      <c r="J597" s="2"/>
      <c r="K597" s="2"/>
      <c r="L597" s="2"/>
      <c r="M597" s="27"/>
      <c r="N597" s="26"/>
      <c r="O597" s="2"/>
      <c r="P597" s="24"/>
    </row>
    <row r="598" spans="1:16" ht="9.75" customHeight="1">
      <c r="A598" s="18"/>
      <c r="B598" s="18" t="s">
        <v>104</v>
      </c>
      <c r="C598" s="18"/>
      <c r="D598" s="26"/>
      <c r="E598" s="2"/>
      <c r="F598" s="2"/>
      <c r="G598" s="2"/>
      <c r="H598" s="2"/>
      <c r="I598" s="2"/>
      <c r="J598" s="2"/>
      <c r="K598" s="2"/>
      <c r="L598" s="2"/>
      <c r="M598" s="27"/>
      <c r="N598" s="26"/>
      <c r="O598" s="2"/>
      <c r="P598" s="24"/>
    </row>
    <row r="599" spans="1:16" ht="9.75" customHeight="1">
      <c r="A599" s="18"/>
      <c r="B599" s="18" t="s">
        <v>104</v>
      </c>
      <c r="C599" s="18"/>
      <c r="D599" s="26"/>
      <c r="E599" s="2"/>
      <c r="F599" s="2"/>
      <c r="G599" s="2"/>
      <c r="H599" s="2"/>
      <c r="I599" s="2"/>
      <c r="J599" s="2"/>
      <c r="K599" s="2"/>
      <c r="L599" s="2"/>
      <c r="M599" s="27"/>
      <c r="N599" s="26"/>
      <c r="O599" s="2"/>
      <c r="P599" s="24"/>
    </row>
    <row r="600" spans="1:16" ht="9.75" customHeight="1">
      <c r="A600" s="18"/>
      <c r="B600" s="18" t="s">
        <v>104</v>
      </c>
      <c r="C600" s="18"/>
      <c r="D600" s="26"/>
      <c r="E600" s="2"/>
      <c r="F600" s="2"/>
      <c r="G600" s="2"/>
      <c r="H600" s="2"/>
      <c r="I600" s="2"/>
      <c r="J600" s="2"/>
      <c r="K600" s="2"/>
      <c r="L600" s="2"/>
      <c r="M600" s="27"/>
      <c r="N600" s="26"/>
      <c r="O600" s="2"/>
      <c r="P600" s="24"/>
    </row>
    <row r="601" spans="1:16" ht="9.75" customHeight="1">
      <c r="A601" s="18"/>
      <c r="B601" s="18" t="s">
        <v>34</v>
      </c>
      <c r="C601" s="18"/>
      <c r="D601" s="26"/>
      <c r="E601" s="2"/>
      <c r="F601" s="2"/>
      <c r="G601" s="2"/>
      <c r="H601" s="2"/>
      <c r="I601" s="2"/>
      <c r="J601" s="2"/>
      <c r="K601" s="2"/>
      <c r="L601" s="2"/>
      <c r="M601" s="27"/>
      <c r="N601" s="26"/>
      <c r="O601" s="2"/>
      <c r="P601" s="24"/>
    </row>
    <row r="602" spans="1:16" ht="9.75" customHeight="1">
      <c r="A602" s="18"/>
      <c r="B602" s="18" t="s">
        <v>35</v>
      </c>
      <c r="C602" s="18"/>
      <c r="D602" s="26"/>
      <c r="E602" s="2"/>
      <c r="F602" s="2"/>
      <c r="G602" s="2"/>
      <c r="H602" s="2"/>
      <c r="I602" s="2"/>
      <c r="J602" s="2"/>
      <c r="K602" s="2"/>
      <c r="L602" s="2"/>
      <c r="M602" s="27"/>
      <c r="N602" s="26"/>
      <c r="O602" s="2"/>
      <c r="P602" s="24"/>
    </row>
    <row r="603" spans="1:16" ht="9.75" customHeight="1">
      <c r="A603" s="18"/>
      <c r="B603" s="18" t="s">
        <v>36</v>
      </c>
      <c r="C603" s="18"/>
      <c r="D603" s="26"/>
      <c r="E603" s="2"/>
      <c r="F603" s="2"/>
      <c r="G603" s="2"/>
      <c r="H603" s="2"/>
      <c r="I603" s="2"/>
      <c r="J603" s="2"/>
      <c r="K603" s="2"/>
      <c r="L603" s="2"/>
      <c r="M603" s="27"/>
      <c r="N603" s="26"/>
      <c r="O603" s="2"/>
      <c r="P603" s="24"/>
    </row>
    <row r="604" spans="1:16" ht="9.75" customHeight="1">
      <c r="A604" s="18"/>
      <c r="B604" s="18" t="s">
        <v>37</v>
      </c>
      <c r="C604" s="18"/>
      <c r="D604" s="26"/>
      <c r="E604" s="2"/>
      <c r="F604" s="2"/>
      <c r="G604" s="2"/>
      <c r="H604" s="2"/>
      <c r="I604" s="2"/>
      <c r="J604" s="2"/>
      <c r="K604" s="2"/>
      <c r="L604" s="2"/>
      <c r="M604" s="27"/>
      <c r="N604" s="26"/>
      <c r="O604" s="2"/>
      <c r="P604" s="24"/>
    </row>
    <row r="605" spans="1:16" ht="9.75" customHeight="1">
      <c r="A605" s="32"/>
      <c r="B605" s="33" t="s">
        <v>38</v>
      </c>
      <c r="C605" s="33">
        <f t="shared" ref="C605:M605" si="103">SUM(C589:C604)</f>
        <v>2</v>
      </c>
      <c r="D605" s="70">
        <f t="shared" si="103"/>
        <v>2</v>
      </c>
      <c r="E605" s="71">
        <f t="shared" si="103"/>
        <v>2</v>
      </c>
      <c r="F605" s="71">
        <f t="shared" si="103"/>
        <v>2</v>
      </c>
      <c r="G605" s="71">
        <f t="shared" si="103"/>
        <v>2</v>
      </c>
      <c r="H605" s="71">
        <f t="shared" si="103"/>
        <v>2</v>
      </c>
      <c r="I605" s="71">
        <f t="shared" si="103"/>
        <v>2</v>
      </c>
      <c r="J605" s="71">
        <f t="shared" si="103"/>
        <v>2</v>
      </c>
      <c r="K605" s="71">
        <f t="shared" si="103"/>
        <v>2</v>
      </c>
      <c r="L605" s="71">
        <f t="shared" si="103"/>
        <v>2</v>
      </c>
      <c r="M605" s="93">
        <f t="shared" si="103"/>
        <v>2</v>
      </c>
      <c r="N605" s="70">
        <f>MIN(D605:M605)</f>
        <v>2</v>
      </c>
      <c r="O605" s="71">
        <f>C605-N605</f>
        <v>0</v>
      </c>
      <c r="P605" s="40">
        <f>O605/C605</f>
        <v>0</v>
      </c>
    </row>
    <row r="606" spans="1:16" ht="9.75" customHeight="1">
      <c r="A606" s="66" t="s">
        <v>168</v>
      </c>
      <c r="B606" s="66" t="s">
        <v>23</v>
      </c>
      <c r="C606" s="66"/>
      <c r="D606" s="41"/>
      <c r="E606" s="72"/>
      <c r="F606" s="72"/>
      <c r="G606" s="72"/>
      <c r="H606" s="72"/>
      <c r="I606" s="72"/>
      <c r="J606" s="72"/>
      <c r="K606" s="72"/>
      <c r="L606" s="72"/>
      <c r="M606" s="73"/>
      <c r="N606" s="41"/>
      <c r="O606" s="72"/>
      <c r="P606" s="99"/>
    </row>
    <row r="607" spans="1:16" ht="9.75" customHeight="1">
      <c r="A607" s="18"/>
      <c r="B607" s="18" t="s">
        <v>25</v>
      </c>
      <c r="C607" s="18"/>
      <c r="D607" s="26"/>
      <c r="E607" s="2"/>
      <c r="F607" s="2"/>
      <c r="G607" s="2"/>
      <c r="H607" s="2"/>
      <c r="I607" s="2"/>
      <c r="J607" s="2"/>
      <c r="K607" s="2"/>
      <c r="L607" s="2"/>
      <c r="M607" s="27"/>
      <c r="N607" s="26"/>
      <c r="O607" s="2"/>
      <c r="P607" s="24"/>
    </row>
    <row r="608" spans="1:16" ht="9.75" customHeight="1">
      <c r="A608" s="18"/>
      <c r="B608" s="18" t="s">
        <v>27</v>
      </c>
      <c r="C608" s="18"/>
      <c r="D608" s="26"/>
      <c r="E608" s="2"/>
      <c r="F608" s="2"/>
      <c r="G608" s="2"/>
      <c r="H608" s="2"/>
      <c r="I608" s="2"/>
      <c r="J608" s="2"/>
      <c r="K608" s="2"/>
      <c r="L608" s="2"/>
      <c r="M608" s="27"/>
      <c r="N608" s="26"/>
      <c r="O608" s="2"/>
      <c r="P608" s="24"/>
    </row>
    <row r="609" spans="1:16" ht="9.75" customHeight="1">
      <c r="A609" s="18"/>
      <c r="B609" s="18" t="s">
        <v>99</v>
      </c>
      <c r="C609" s="18"/>
      <c r="D609" s="26"/>
      <c r="E609" s="2"/>
      <c r="F609" s="2"/>
      <c r="G609" s="2"/>
      <c r="H609" s="2"/>
      <c r="I609" s="2"/>
      <c r="J609" s="2"/>
      <c r="K609" s="2"/>
      <c r="L609" s="2"/>
      <c r="M609" s="27"/>
      <c r="N609" s="26"/>
      <c r="O609" s="2"/>
      <c r="P609" s="24"/>
    </row>
    <row r="610" spans="1:16" ht="9.75" customHeight="1">
      <c r="A610" s="18"/>
      <c r="B610" s="18" t="s">
        <v>99</v>
      </c>
      <c r="C610" s="18"/>
      <c r="D610" s="26"/>
      <c r="E610" s="2"/>
      <c r="F610" s="2"/>
      <c r="G610" s="2"/>
      <c r="H610" s="2"/>
      <c r="I610" s="2"/>
      <c r="J610" s="2"/>
      <c r="K610" s="2"/>
      <c r="L610" s="2"/>
      <c r="M610" s="27"/>
      <c r="N610" s="26"/>
      <c r="O610" s="2"/>
      <c r="P610" s="24"/>
    </row>
    <row r="611" spans="1:16" ht="9.75" customHeight="1">
      <c r="A611" s="18"/>
      <c r="B611" s="18" t="s">
        <v>32</v>
      </c>
      <c r="C611" s="18"/>
      <c r="D611" s="26"/>
      <c r="E611" s="2"/>
      <c r="F611" s="2"/>
      <c r="G611" s="2"/>
      <c r="H611" s="2"/>
      <c r="I611" s="2"/>
      <c r="J611" s="2"/>
      <c r="K611" s="2"/>
      <c r="L611" s="2"/>
      <c r="M611" s="27"/>
      <c r="N611" s="26"/>
      <c r="O611" s="2"/>
      <c r="P611" s="24"/>
    </row>
    <row r="612" spans="1:16" ht="9.75" customHeight="1">
      <c r="A612" s="18"/>
      <c r="B612" s="18" t="s">
        <v>104</v>
      </c>
      <c r="C612" s="18"/>
      <c r="D612" s="26"/>
      <c r="E612" s="2"/>
      <c r="F612" s="2"/>
      <c r="G612" s="2"/>
      <c r="H612" s="2"/>
      <c r="I612" s="2"/>
      <c r="J612" s="2"/>
      <c r="K612" s="2"/>
      <c r="L612" s="2"/>
      <c r="M612" s="27"/>
      <c r="N612" s="26"/>
      <c r="O612" s="2"/>
      <c r="P612" s="24"/>
    </row>
    <row r="613" spans="1:16" ht="9.75" customHeight="1">
      <c r="A613" s="18"/>
      <c r="B613" s="18" t="s">
        <v>104</v>
      </c>
      <c r="C613" s="18"/>
      <c r="D613" s="26"/>
      <c r="E613" s="2"/>
      <c r="F613" s="2"/>
      <c r="G613" s="2"/>
      <c r="H613" s="2"/>
      <c r="I613" s="2"/>
      <c r="J613" s="2"/>
      <c r="K613" s="2"/>
      <c r="L613" s="2"/>
      <c r="M613" s="27"/>
      <c r="N613" s="26"/>
      <c r="O613" s="2"/>
      <c r="P613" s="24"/>
    </row>
    <row r="614" spans="1:16" ht="9.75" customHeight="1">
      <c r="A614" s="18"/>
      <c r="B614" s="18" t="s">
        <v>104</v>
      </c>
      <c r="C614" s="18"/>
      <c r="D614" s="26"/>
      <c r="E614" s="2"/>
      <c r="F614" s="2"/>
      <c r="G614" s="2"/>
      <c r="H614" s="2"/>
      <c r="I614" s="2"/>
      <c r="J614" s="2"/>
      <c r="K614" s="2"/>
      <c r="L614" s="2"/>
      <c r="M614" s="27"/>
      <c r="N614" s="26"/>
      <c r="O614" s="2"/>
      <c r="P614" s="24"/>
    </row>
    <row r="615" spans="1:16" ht="9.75" customHeight="1">
      <c r="A615" s="18"/>
      <c r="B615" s="18" t="s">
        <v>104</v>
      </c>
      <c r="C615" s="18"/>
      <c r="D615" s="26"/>
      <c r="E615" s="2"/>
      <c r="F615" s="2"/>
      <c r="G615" s="2"/>
      <c r="H615" s="2"/>
      <c r="I615" s="2"/>
      <c r="J615" s="2"/>
      <c r="K615" s="2"/>
      <c r="L615" s="2"/>
      <c r="M615" s="27"/>
      <c r="N615" s="26"/>
      <c r="O615" s="2"/>
      <c r="P615" s="24"/>
    </row>
    <row r="616" spans="1:16" ht="9.75" customHeight="1">
      <c r="A616" s="18"/>
      <c r="B616" s="18" t="s">
        <v>104</v>
      </c>
      <c r="C616" s="18"/>
      <c r="D616" s="26"/>
      <c r="E616" s="2"/>
      <c r="F616" s="2"/>
      <c r="G616" s="2"/>
      <c r="H616" s="2"/>
      <c r="I616" s="2"/>
      <c r="J616" s="2"/>
      <c r="K616" s="2"/>
      <c r="L616" s="2"/>
      <c r="M616" s="27"/>
      <c r="N616" s="26"/>
      <c r="O616" s="2"/>
      <c r="P616" s="24"/>
    </row>
    <row r="617" spans="1:16" ht="9.75" customHeight="1">
      <c r="A617" s="18"/>
      <c r="B617" s="18" t="s">
        <v>104</v>
      </c>
      <c r="C617" s="18"/>
      <c r="D617" s="26"/>
      <c r="E617" s="2"/>
      <c r="F617" s="2"/>
      <c r="G617" s="2"/>
      <c r="H617" s="2"/>
      <c r="I617" s="2"/>
      <c r="J617" s="2"/>
      <c r="K617" s="2"/>
      <c r="L617" s="2"/>
      <c r="M617" s="27"/>
      <c r="N617" s="26"/>
      <c r="O617" s="2"/>
      <c r="P617" s="24"/>
    </row>
    <row r="618" spans="1:16" ht="9.75" customHeight="1">
      <c r="A618" s="18"/>
      <c r="B618" s="18" t="s">
        <v>34</v>
      </c>
      <c r="C618" s="18"/>
      <c r="D618" s="26"/>
      <c r="E618" s="2"/>
      <c r="F618" s="2"/>
      <c r="G618" s="2"/>
      <c r="H618" s="2"/>
      <c r="I618" s="2"/>
      <c r="J618" s="2"/>
      <c r="K618" s="2"/>
      <c r="L618" s="2"/>
      <c r="M618" s="27"/>
      <c r="N618" s="26"/>
      <c r="O618" s="2"/>
      <c r="P618" s="24"/>
    </row>
    <row r="619" spans="1:16" ht="9.75" customHeight="1">
      <c r="A619" s="18"/>
      <c r="B619" s="18" t="s">
        <v>35</v>
      </c>
      <c r="C619" s="18"/>
      <c r="D619" s="26"/>
      <c r="E619" s="2"/>
      <c r="F619" s="2"/>
      <c r="G619" s="2"/>
      <c r="H619" s="2"/>
      <c r="I619" s="2"/>
      <c r="J619" s="2"/>
      <c r="K619" s="2"/>
      <c r="L619" s="2"/>
      <c r="M619" s="27"/>
      <c r="N619" s="26"/>
      <c r="O619" s="2"/>
      <c r="P619" s="24"/>
    </row>
    <row r="620" spans="1:16" ht="9.75" customHeight="1">
      <c r="A620" s="18"/>
      <c r="B620" s="18" t="s">
        <v>36</v>
      </c>
      <c r="C620" s="18">
        <v>4</v>
      </c>
      <c r="D620" s="115">
        <v>4</v>
      </c>
      <c r="E620" s="116">
        <v>1</v>
      </c>
      <c r="F620" s="116">
        <v>2</v>
      </c>
      <c r="G620" s="116">
        <v>2</v>
      </c>
      <c r="H620" s="116">
        <v>1</v>
      </c>
      <c r="I620" s="52">
        <v>2</v>
      </c>
      <c r="J620" s="52">
        <v>3</v>
      </c>
      <c r="K620" s="52">
        <v>3</v>
      </c>
      <c r="L620" s="52">
        <v>4</v>
      </c>
      <c r="M620" s="87">
        <v>4</v>
      </c>
      <c r="N620" s="26">
        <f>MIN(D620:M620)</f>
        <v>1</v>
      </c>
      <c r="O620" s="2">
        <f>C620-N620</f>
        <v>3</v>
      </c>
      <c r="P620" s="24">
        <f>O620/C620</f>
        <v>0.75</v>
      </c>
    </row>
    <row r="621" spans="1:16" ht="9.75" customHeight="1">
      <c r="A621" s="18"/>
      <c r="B621" s="18" t="s">
        <v>37</v>
      </c>
      <c r="C621" s="18"/>
      <c r="D621" s="26"/>
      <c r="E621" s="2"/>
      <c r="F621" s="2"/>
      <c r="G621" s="2"/>
      <c r="H621" s="2"/>
      <c r="I621" s="2"/>
      <c r="J621" s="2"/>
      <c r="K621" s="2"/>
      <c r="L621" s="2"/>
      <c r="M621" s="27"/>
      <c r="N621" s="26"/>
      <c r="O621" s="2"/>
      <c r="P621" s="24"/>
    </row>
    <row r="622" spans="1:16" ht="9.75" customHeight="1">
      <c r="A622" s="32"/>
      <c r="B622" s="33" t="s">
        <v>38</v>
      </c>
      <c r="C622" s="33">
        <f t="shared" ref="C622:M622" si="104">SUM(C606:C621)</f>
        <v>4</v>
      </c>
      <c r="D622" s="70">
        <f t="shared" si="104"/>
        <v>4</v>
      </c>
      <c r="E622" s="71">
        <f t="shared" si="104"/>
        <v>1</v>
      </c>
      <c r="F622" s="71">
        <f t="shared" si="104"/>
        <v>2</v>
      </c>
      <c r="G622" s="71">
        <f t="shared" si="104"/>
        <v>2</v>
      </c>
      <c r="H622" s="71">
        <f t="shared" si="104"/>
        <v>1</v>
      </c>
      <c r="I622" s="71">
        <f t="shared" si="104"/>
        <v>2</v>
      </c>
      <c r="J622" s="71">
        <f t="shared" si="104"/>
        <v>3</v>
      </c>
      <c r="K622" s="71">
        <f t="shared" si="104"/>
        <v>3</v>
      </c>
      <c r="L622" s="71">
        <f t="shared" si="104"/>
        <v>4</v>
      </c>
      <c r="M622" s="93">
        <f t="shared" si="104"/>
        <v>4</v>
      </c>
      <c r="N622" s="70">
        <f t="shared" ref="N622:N626" si="105">MIN(D622:M622)</f>
        <v>1</v>
      </c>
      <c r="O622" s="71">
        <f t="shared" ref="O622:O626" si="106">C622-N622</f>
        <v>3</v>
      </c>
      <c r="P622" s="40">
        <f t="shared" ref="P622:P626" si="107">O622/C622</f>
        <v>0.75</v>
      </c>
    </row>
    <row r="623" spans="1:16" ht="9.75" customHeight="1">
      <c r="A623" s="66" t="s">
        <v>169</v>
      </c>
      <c r="B623" s="66" t="s">
        <v>170</v>
      </c>
      <c r="C623" s="145">
        <v>2</v>
      </c>
      <c r="D623" s="115">
        <v>2</v>
      </c>
      <c r="E623" s="116">
        <v>2</v>
      </c>
      <c r="F623" s="116">
        <v>2</v>
      </c>
      <c r="G623" s="116">
        <v>2</v>
      </c>
      <c r="H623" s="116">
        <v>2</v>
      </c>
      <c r="I623" s="116">
        <v>2</v>
      </c>
      <c r="J623" s="116">
        <v>2</v>
      </c>
      <c r="K623" s="116">
        <v>2</v>
      </c>
      <c r="L623" s="116">
        <v>2</v>
      </c>
      <c r="M623" s="147">
        <v>2</v>
      </c>
      <c r="N623" s="26">
        <f t="shared" si="105"/>
        <v>2</v>
      </c>
      <c r="O623" s="2">
        <f t="shared" si="106"/>
        <v>0</v>
      </c>
      <c r="P623" s="24">
        <f t="shared" si="107"/>
        <v>0</v>
      </c>
    </row>
    <row r="624" spans="1:16" ht="9.75" customHeight="1">
      <c r="A624" s="18"/>
      <c r="B624" s="18" t="s">
        <v>171</v>
      </c>
      <c r="C624" s="18">
        <f>23+22+22</f>
        <v>67</v>
      </c>
      <c r="D624" s="115">
        <v>42</v>
      </c>
      <c r="E624" s="116">
        <v>38</v>
      </c>
      <c r="F624" s="116">
        <f>67-8</f>
        <v>59</v>
      </c>
      <c r="G624" s="116">
        <v>61</v>
      </c>
      <c r="H624" s="116">
        <v>61</v>
      </c>
      <c r="I624" s="2">
        <f>20+12+14</f>
        <v>46</v>
      </c>
      <c r="J624" s="2">
        <f>20+12+19</f>
        <v>51</v>
      </c>
      <c r="K624" s="2">
        <f t="shared" ref="K624:M624" si="108">20+12+20</f>
        <v>52</v>
      </c>
      <c r="L624" s="2">
        <f t="shared" si="108"/>
        <v>52</v>
      </c>
      <c r="M624" s="2">
        <f t="shared" si="108"/>
        <v>52</v>
      </c>
      <c r="N624" s="26">
        <f t="shared" si="105"/>
        <v>38</v>
      </c>
      <c r="O624" s="2">
        <f t="shared" si="106"/>
        <v>29</v>
      </c>
      <c r="P624" s="24">
        <f t="shared" si="107"/>
        <v>0.43283582089552236</v>
      </c>
    </row>
    <row r="625" spans="1:16" ht="9.75" customHeight="1">
      <c r="A625" s="18"/>
      <c r="B625" s="18" t="s">
        <v>172</v>
      </c>
      <c r="C625" s="145">
        <v>18</v>
      </c>
      <c r="D625" s="115">
        <v>18</v>
      </c>
      <c r="E625" s="116">
        <v>18</v>
      </c>
      <c r="F625" s="116">
        <v>18</v>
      </c>
      <c r="G625" s="116">
        <v>18</v>
      </c>
      <c r="H625" s="116">
        <v>18</v>
      </c>
      <c r="I625" s="116">
        <v>18</v>
      </c>
      <c r="J625" s="116">
        <v>18</v>
      </c>
      <c r="K625" s="116">
        <v>18</v>
      </c>
      <c r="L625" s="116">
        <v>16</v>
      </c>
      <c r="M625" s="147">
        <v>18</v>
      </c>
      <c r="N625" s="26">
        <f t="shared" si="105"/>
        <v>16</v>
      </c>
      <c r="O625" s="2">
        <f t="shared" si="106"/>
        <v>2</v>
      </c>
      <c r="P625" s="24">
        <f t="shared" si="107"/>
        <v>0.1111111111111111</v>
      </c>
    </row>
    <row r="626" spans="1:16" ht="9.75" customHeight="1">
      <c r="A626" s="18"/>
      <c r="B626" s="18" t="s">
        <v>25</v>
      </c>
      <c r="C626" s="18">
        <v>10</v>
      </c>
      <c r="D626" s="115">
        <v>1</v>
      </c>
      <c r="E626" s="116">
        <v>1</v>
      </c>
      <c r="F626" s="116">
        <v>0</v>
      </c>
      <c r="G626" s="116">
        <v>0</v>
      </c>
      <c r="H626" s="116">
        <v>0</v>
      </c>
      <c r="I626" s="116">
        <v>2</v>
      </c>
      <c r="J626" s="116">
        <v>2</v>
      </c>
      <c r="K626" s="116">
        <v>1</v>
      </c>
      <c r="L626" s="116">
        <v>0</v>
      </c>
      <c r="M626" s="147">
        <v>3</v>
      </c>
      <c r="N626" s="26">
        <f t="shared" si="105"/>
        <v>0</v>
      </c>
      <c r="O626" s="2">
        <f t="shared" si="106"/>
        <v>10</v>
      </c>
      <c r="P626" s="24">
        <f t="shared" si="107"/>
        <v>1</v>
      </c>
    </row>
    <row r="627" spans="1:16" ht="9.75" customHeight="1">
      <c r="A627" s="18"/>
      <c r="B627" s="18" t="s">
        <v>27</v>
      </c>
      <c r="C627" s="18"/>
      <c r="D627" s="26"/>
      <c r="E627" s="2"/>
      <c r="F627" s="2"/>
      <c r="G627" s="2"/>
      <c r="H627" s="2"/>
      <c r="I627" s="2"/>
      <c r="J627" s="2"/>
      <c r="K627" s="2"/>
      <c r="L627" s="2"/>
      <c r="M627" s="27"/>
      <c r="N627" s="26"/>
      <c r="O627" s="2"/>
      <c r="P627" s="24"/>
    </row>
    <row r="628" spans="1:16" ht="9.75" customHeight="1">
      <c r="A628" s="18"/>
      <c r="B628" s="18" t="s">
        <v>99</v>
      </c>
      <c r="C628" s="18"/>
      <c r="D628" s="26"/>
      <c r="E628" s="2"/>
      <c r="F628" s="2"/>
      <c r="G628" s="2"/>
      <c r="H628" s="2"/>
      <c r="I628" s="2"/>
      <c r="J628" s="2"/>
      <c r="K628" s="2"/>
      <c r="L628" s="2"/>
      <c r="M628" s="27"/>
      <c r="N628" s="26"/>
      <c r="O628" s="2"/>
      <c r="P628" s="24"/>
    </row>
    <row r="629" spans="1:16" ht="9.75" customHeight="1">
      <c r="A629" s="18"/>
      <c r="B629" s="18" t="s">
        <v>99</v>
      </c>
      <c r="C629" s="18">
        <v>10</v>
      </c>
      <c r="D629" s="115">
        <v>1</v>
      </c>
      <c r="E629" s="116">
        <v>0</v>
      </c>
      <c r="F629" s="116">
        <v>0</v>
      </c>
      <c r="G629" s="116">
        <v>0</v>
      </c>
      <c r="H629" s="116">
        <v>0</v>
      </c>
      <c r="I629" s="116">
        <v>0</v>
      </c>
      <c r="J629" s="116">
        <v>0</v>
      </c>
      <c r="K629" s="116">
        <v>3</v>
      </c>
      <c r="L629" s="116">
        <v>4</v>
      </c>
      <c r="M629" s="147">
        <v>6</v>
      </c>
      <c r="N629" s="26"/>
      <c r="O629" s="2"/>
      <c r="P629" s="24"/>
    </row>
    <row r="630" spans="1:16" ht="9.75" customHeight="1">
      <c r="A630" s="18"/>
      <c r="B630" s="18" t="s">
        <v>32</v>
      </c>
      <c r="C630" s="18">
        <v>15</v>
      </c>
      <c r="D630" s="115">
        <v>14</v>
      </c>
      <c r="E630" s="116">
        <v>13</v>
      </c>
      <c r="F630" s="116">
        <v>13</v>
      </c>
      <c r="G630" s="116">
        <v>13</v>
      </c>
      <c r="H630" s="116">
        <v>13</v>
      </c>
      <c r="I630" s="116">
        <v>15</v>
      </c>
      <c r="J630" s="116">
        <v>13</v>
      </c>
      <c r="K630" s="116">
        <v>12</v>
      </c>
      <c r="L630" s="116">
        <v>12</v>
      </c>
      <c r="M630" s="147">
        <v>13</v>
      </c>
      <c r="N630" s="26"/>
      <c r="O630" s="2"/>
      <c r="P630" s="24"/>
    </row>
    <row r="631" spans="1:16" ht="9.75" customHeight="1">
      <c r="A631" s="18"/>
      <c r="B631" s="18" t="s">
        <v>102</v>
      </c>
      <c r="C631" s="18">
        <v>2</v>
      </c>
      <c r="D631" s="115">
        <v>2</v>
      </c>
      <c r="E631" s="116">
        <v>2</v>
      </c>
      <c r="F631" s="116">
        <v>2</v>
      </c>
      <c r="G631" s="116">
        <v>2</v>
      </c>
      <c r="H631" s="116">
        <v>2</v>
      </c>
      <c r="I631" s="116">
        <v>0</v>
      </c>
      <c r="J631" s="116">
        <v>0</v>
      </c>
      <c r="K631" s="116">
        <v>1</v>
      </c>
      <c r="L631" s="116">
        <v>1</v>
      </c>
      <c r="M631" s="147">
        <v>1</v>
      </c>
      <c r="N631" s="26">
        <f>MIN(D631:M631)</f>
        <v>0</v>
      </c>
      <c r="O631" s="2">
        <f>C631-N631</f>
        <v>2</v>
      </c>
      <c r="P631" s="24">
        <f>O631/C631</f>
        <v>1</v>
      </c>
    </row>
    <row r="632" spans="1:16" ht="9.75" customHeight="1">
      <c r="A632" s="18"/>
      <c r="B632" s="18" t="s">
        <v>173</v>
      </c>
      <c r="C632" s="18"/>
      <c r="D632" s="26"/>
      <c r="E632" s="2"/>
      <c r="F632" s="2"/>
      <c r="G632" s="2"/>
      <c r="H632" s="2"/>
      <c r="I632" s="2"/>
      <c r="J632" s="2"/>
      <c r="K632" s="2"/>
      <c r="L632" s="2"/>
      <c r="M632" s="27"/>
      <c r="N632" s="26"/>
      <c r="O632" s="2"/>
      <c r="P632" s="24"/>
    </row>
    <row r="633" spans="1:16" ht="9.75" customHeight="1">
      <c r="A633" s="18"/>
      <c r="B633" s="18" t="s">
        <v>174</v>
      </c>
      <c r="C633" s="18"/>
      <c r="D633" s="26"/>
      <c r="E633" s="2"/>
      <c r="F633" s="2"/>
      <c r="G633" s="2"/>
      <c r="H633" s="2"/>
      <c r="I633" s="2"/>
      <c r="J633" s="2"/>
      <c r="K633" s="2"/>
      <c r="L633" s="2"/>
      <c r="M633" s="27"/>
      <c r="N633" s="26"/>
      <c r="O633" s="2"/>
      <c r="P633" s="24"/>
    </row>
    <row r="634" spans="1:16" ht="9.75" customHeight="1">
      <c r="A634" s="18"/>
      <c r="B634" s="18" t="s">
        <v>104</v>
      </c>
      <c r="C634" s="18"/>
      <c r="D634" s="26"/>
      <c r="E634" s="2"/>
      <c r="F634" s="2"/>
      <c r="G634" s="2"/>
      <c r="H634" s="2"/>
      <c r="I634" s="2"/>
      <c r="J634" s="2"/>
      <c r="K634" s="2"/>
      <c r="L634" s="2"/>
      <c r="M634" s="27"/>
      <c r="N634" s="26"/>
      <c r="O634" s="2"/>
      <c r="P634" s="24"/>
    </row>
    <row r="635" spans="1:16" ht="9.75" customHeight="1">
      <c r="A635" s="18"/>
      <c r="B635" s="18" t="s">
        <v>104</v>
      </c>
      <c r="C635" s="18"/>
      <c r="D635" s="26"/>
      <c r="E635" s="2"/>
      <c r="F635" s="2"/>
      <c r="G635" s="2"/>
      <c r="H635" s="2"/>
      <c r="I635" s="2"/>
      <c r="J635" s="2"/>
      <c r="K635" s="2"/>
      <c r="L635" s="2"/>
      <c r="M635" s="27"/>
      <c r="N635" s="26"/>
      <c r="O635" s="2"/>
      <c r="P635" s="24"/>
    </row>
    <row r="636" spans="1:16" ht="9.75" customHeight="1">
      <c r="A636" s="18"/>
      <c r="B636" s="18" t="s">
        <v>34</v>
      </c>
      <c r="C636" s="18">
        <v>14</v>
      </c>
      <c r="D636" s="115">
        <v>10</v>
      </c>
      <c r="E636" s="116">
        <v>9</v>
      </c>
      <c r="F636" s="116">
        <v>8</v>
      </c>
      <c r="G636" s="116">
        <v>8</v>
      </c>
      <c r="H636" s="116">
        <v>8</v>
      </c>
      <c r="I636" s="2">
        <f>2+8</f>
        <v>10</v>
      </c>
      <c r="J636" s="2">
        <f>3+3+4</f>
        <v>10</v>
      </c>
      <c r="K636" s="2">
        <f>6+4</f>
        <v>10</v>
      </c>
      <c r="L636" s="116">
        <v>10</v>
      </c>
      <c r="M636" s="147">
        <v>11</v>
      </c>
      <c r="N636" s="26">
        <f>MIN(D636:M636)</f>
        <v>8</v>
      </c>
      <c r="O636" s="2">
        <f>C636-N636</f>
        <v>6</v>
      </c>
      <c r="P636" s="24">
        <f>O636/C636</f>
        <v>0.42857142857142855</v>
      </c>
    </row>
    <row r="637" spans="1:16" ht="9.75" customHeight="1">
      <c r="A637" s="18"/>
      <c r="B637" s="18" t="s">
        <v>35</v>
      </c>
      <c r="C637" s="18"/>
      <c r="D637" s="26"/>
      <c r="E637" s="2"/>
      <c r="F637" s="2"/>
      <c r="G637" s="2"/>
      <c r="H637" s="2"/>
      <c r="I637" s="2"/>
      <c r="J637" s="2"/>
      <c r="K637" s="2"/>
      <c r="L637" s="2"/>
      <c r="M637" s="27"/>
      <c r="N637" s="26"/>
      <c r="O637" s="2"/>
      <c r="P637" s="24"/>
    </row>
    <row r="638" spans="1:16" ht="9.75" customHeight="1">
      <c r="A638" s="18"/>
      <c r="B638" s="18" t="s">
        <v>36</v>
      </c>
      <c r="C638" s="18"/>
      <c r="D638" s="26"/>
      <c r="E638" s="2"/>
      <c r="F638" s="2"/>
      <c r="G638" s="2"/>
      <c r="H638" s="2"/>
      <c r="I638" s="2"/>
      <c r="J638" s="2"/>
      <c r="K638" s="2"/>
      <c r="L638" s="2"/>
      <c r="M638" s="27"/>
      <c r="N638" s="26"/>
      <c r="O638" s="2"/>
      <c r="P638" s="24"/>
    </row>
    <row r="639" spans="1:16" ht="9.75" customHeight="1">
      <c r="A639" s="18"/>
      <c r="B639" s="18" t="s">
        <v>37</v>
      </c>
      <c r="C639" s="18"/>
      <c r="D639" s="26"/>
      <c r="E639" s="2"/>
      <c r="F639" s="2"/>
      <c r="G639" s="2"/>
      <c r="H639" s="2"/>
      <c r="I639" s="2"/>
      <c r="J639" s="2"/>
      <c r="K639" s="2"/>
      <c r="L639" s="2"/>
      <c r="M639" s="27"/>
      <c r="N639" s="26"/>
      <c r="O639" s="2"/>
      <c r="P639" s="24"/>
    </row>
    <row r="640" spans="1:16" ht="9.75" customHeight="1">
      <c r="A640" s="32"/>
      <c r="B640" s="33" t="s">
        <v>38</v>
      </c>
      <c r="C640" s="33">
        <f t="shared" ref="C640:M640" si="109">SUM(C623:C639)</f>
        <v>138</v>
      </c>
      <c r="D640" s="70">
        <f t="shared" si="109"/>
        <v>90</v>
      </c>
      <c r="E640" s="71">
        <f t="shared" si="109"/>
        <v>83</v>
      </c>
      <c r="F640" s="71">
        <f t="shared" si="109"/>
        <v>102</v>
      </c>
      <c r="G640" s="71">
        <f t="shared" si="109"/>
        <v>104</v>
      </c>
      <c r="H640" s="71">
        <f t="shared" si="109"/>
        <v>104</v>
      </c>
      <c r="I640" s="71">
        <f t="shared" si="109"/>
        <v>93</v>
      </c>
      <c r="J640" s="71">
        <f t="shared" si="109"/>
        <v>96</v>
      </c>
      <c r="K640" s="71">
        <f t="shared" si="109"/>
        <v>99</v>
      </c>
      <c r="L640" s="71">
        <f t="shared" si="109"/>
        <v>97</v>
      </c>
      <c r="M640" s="93">
        <f t="shared" si="109"/>
        <v>106</v>
      </c>
      <c r="N640" s="70">
        <f t="shared" ref="N640:N642" si="110">MIN(D640:M640)</f>
        <v>83</v>
      </c>
      <c r="O640" s="71">
        <f t="shared" ref="O640:O642" si="111">C640-N640</f>
        <v>55</v>
      </c>
      <c r="P640" s="40">
        <f t="shared" ref="P640:P642" si="112">O640/C640</f>
        <v>0.39855072463768115</v>
      </c>
    </row>
    <row r="641" spans="1:16" ht="9.75" customHeight="1">
      <c r="A641" s="66" t="s">
        <v>175</v>
      </c>
      <c r="B641" s="66" t="s">
        <v>23</v>
      </c>
      <c r="C641" s="66">
        <v>35</v>
      </c>
      <c r="D641" s="148">
        <f>35-7</f>
        <v>28</v>
      </c>
      <c r="E641" s="149">
        <v>28</v>
      </c>
      <c r="F641" s="149">
        <v>25</v>
      </c>
      <c r="G641" s="149">
        <v>25</v>
      </c>
      <c r="H641" s="149">
        <v>26</v>
      </c>
      <c r="I641" s="150">
        <f>C641-6</f>
        <v>29</v>
      </c>
      <c r="J641" s="150">
        <f>C641-4</f>
        <v>31</v>
      </c>
      <c r="K641" s="150">
        <v>32</v>
      </c>
      <c r="L641" s="150">
        <v>34</v>
      </c>
      <c r="M641" s="151">
        <v>31</v>
      </c>
      <c r="N641" s="20">
        <f t="shared" si="110"/>
        <v>25</v>
      </c>
      <c r="O641" s="21">
        <f t="shared" si="111"/>
        <v>10</v>
      </c>
      <c r="P641" s="99">
        <f t="shared" si="112"/>
        <v>0.2857142857142857</v>
      </c>
    </row>
    <row r="642" spans="1:16" ht="9.75" customHeight="1">
      <c r="A642" s="18"/>
      <c r="B642" s="18" t="s">
        <v>25</v>
      </c>
      <c r="C642" s="18">
        <v>37</v>
      </c>
      <c r="D642" s="152">
        <v>37</v>
      </c>
      <c r="E642" s="153">
        <v>36</v>
      </c>
      <c r="F642" s="153">
        <v>33</v>
      </c>
      <c r="G642" s="153">
        <v>30</v>
      </c>
      <c r="H642" s="153">
        <v>30</v>
      </c>
      <c r="I642" s="154">
        <v>35</v>
      </c>
      <c r="J642" s="154">
        <v>34</v>
      </c>
      <c r="K642" s="154">
        <v>36</v>
      </c>
      <c r="L642" s="154">
        <v>32</v>
      </c>
      <c r="M642" s="155">
        <v>36</v>
      </c>
      <c r="N642" s="19">
        <f t="shared" si="110"/>
        <v>30</v>
      </c>
      <c r="O642" s="23">
        <f t="shared" si="111"/>
        <v>7</v>
      </c>
      <c r="P642" s="24">
        <f t="shared" si="112"/>
        <v>0.1891891891891892</v>
      </c>
    </row>
    <row r="643" spans="1:16" ht="9.75" customHeight="1">
      <c r="A643" s="18"/>
      <c r="B643" s="18" t="s">
        <v>27</v>
      </c>
      <c r="C643" s="18"/>
      <c r="D643" s="19"/>
      <c r="E643" s="23"/>
      <c r="F643" s="23"/>
      <c r="G643" s="23"/>
      <c r="H643" s="23"/>
      <c r="I643" s="111"/>
      <c r="J643" s="111"/>
      <c r="K643" s="111"/>
      <c r="L643" s="111"/>
      <c r="M643" s="112"/>
      <c r="N643" s="26"/>
      <c r="O643" s="2"/>
      <c r="P643" s="24"/>
    </row>
    <row r="644" spans="1:16" ht="9.75" customHeight="1">
      <c r="A644" s="18"/>
      <c r="B644" s="18" t="s">
        <v>99</v>
      </c>
      <c r="C644" s="18">
        <v>2</v>
      </c>
      <c r="D644" s="156">
        <v>0</v>
      </c>
      <c r="E644" s="140">
        <v>0</v>
      </c>
      <c r="F644" s="140">
        <v>0</v>
      </c>
      <c r="G644" s="140">
        <v>0</v>
      </c>
      <c r="H644" s="140">
        <v>0</v>
      </c>
      <c r="I644" s="52">
        <v>2</v>
      </c>
      <c r="J644" s="52">
        <v>0</v>
      </c>
      <c r="K644" s="52">
        <v>1</v>
      </c>
      <c r="L644" s="52">
        <v>1</v>
      </c>
      <c r="M644" s="87">
        <v>1</v>
      </c>
      <c r="N644" s="19">
        <f>MIN(D644:M644)</f>
        <v>0</v>
      </c>
      <c r="O644" s="23">
        <f>C644-N644</f>
        <v>2</v>
      </c>
      <c r="P644" s="24">
        <f>O644/C644</f>
        <v>1</v>
      </c>
    </row>
    <row r="645" spans="1:16" ht="9.75" customHeight="1">
      <c r="A645" s="18"/>
      <c r="B645" s="18" t="s">
        <v>99</v>
      </c>
      <c r="C645" s="18"/>
      <c r="D645" s="157"/>
      <c r="E645" s="111"/>
      <c r="F645" s="111"/>
      <c r="G645" s="111"/>
      <c r="H645" s="111"/>
      <c r="I645" s="111"/>
      <c r="J645" s="111"/>
      <c r="K645" s="111"/>
      <c r="L645" s="111"/>
      <c r="M645" s="112"/>
      <c r="N645" s="26"/>
      <c r="O645" s="2"/>
      <c r="P645" s="24"/>
    </row>
    <row r="646" spans="1:16" ht="9.75" customHeight="1">
      <c r="A646" s="18"/>
      <c r="B646" s="18" t="s">
        <v>32</v>
      </c>
      <c r="C646" s="18"/>
      <c r="D646" s="157"/>
      <c r="E646" s="111"/>
      <c r="F646" s="111"/>
      <c r="G646" s="111"/>
      <c r="H646" s="111"/>
      <c r="I646" s="111"/>
      <c r="J646" s="111"/>
      <c r="K646" s="111"/>
      <c r="L646" s="111"/>
      <c r="M646" s="112"/>
      <c r="N646" s="26"/>
      <c r="O646" s="2"/>
      <c r="P646" s="24"/>
    </row>
    <row r="647" spans="1:16" ht="9.75" customHeight="1">
      <c r="A647" s="18"/>
      <c r="B647" s="18" t="s">
        <v>104</v>
      </c>
      <c r="C647" s="18"/>
      <c r="D647" s="157"/>
      <c r="E647" s="111"/>
      <c r="F647" s="111"/>
      <c r="G647" s="111"/>
      <c r="H647" s="111"/>
      <c r="I647" s="111"/>
      <c r="J647" s="111"/>
      <c r="K647" s="111"/>
      <c r="L647" s="111"/>
      <c r="M647" s="112"/>
      <c r="N647" s="26"/>
      <c r="O647" s="2"/>
      <c r="P647" s="24"/>
    </row>
    <row r="648" spans="1:16" ht="9.75" customHeight="1">
      <c r="A648" s="18"/>
      <c r="B648" s="18" t="s">
        <v>104</v>
      </c>
      <c r="C648" s="18"/>
      <c r="D648" s="157"/>
      <c r="E648" s="111"/>
      <c r="F648" s="111"/>
      <c r="G648" s="111"/>
      <c r="H648" s="111"/>
      <c r="I648" s="111"/>
      <c r="J648" s="111"/>
      <c r="K648" s="111"/>
      <c r="L648" s="111"/>
      <c r="M648" s="112"/>
      <c r="N648" s="26"/>
      <c r="O648" s="2"/>
      <c r="P648" s="24"/>
    </row>
    <row r="649" spans="1:16" ht="9.75" customHeight="1">
      <c r="A649" s="18"/>
      <c r="B649" s="18" t="s">
        <v>104</v>
      </c>
      <c r="C649" s="18"/>
      <c r="D649" s="157"/>
      <c r="E649" s="111"/>
      <c r="F649" s="111"/>
      <c r="G649" s="111"/>
      <c r="H649" s="111"/>
      <c r="I649" s="111"/>
      <c r="J649" s="111"/>
      <c r="K649" s="111"/>
      <c r="L649" s="111"/>
      <c r="M649" s="112"/>
      <c r="N649" s="26"/>
      <c r="O649" s="2"/>
      <c r="P649" s="24"/>
    </row>
    <row r="650" spans="1:16" ht="9.75" customHeight="1">
      <c r="A650" s="18"/>
      <c r="B650" s="18" t="s">
        <v>104</v>
      </c>
      <c r="C650" s="18"/>
      <c r="D650" s="157"/>
      <c r="E650" s="111"/>
      <c r="F650" s="111"/>
      <c r="G650" s="111"/>
      <c r="H650" s="111"/>
      <c r="I650" s="111"/>
      <c r="J650" s="111"/>
      <c r="K650" s="111"/>
      <c r="L650" s="111"/>
      <c r="M650" s="112"/>
      <c r="N650" s="26"/>
      <c r="O650" s="2"/>
      <c r="P650" s="24"/>
    </row>
    <row r="651" spans="1:16" ht="9.75" customHeight="1">
      <c r="A651" s="18"/>
      <c r="B651" s="18" t="s">
        <v>104</v>
      </c>
      <c r="C651" s="18"/>
      <c r="D651" s="157"/>
      <c r="E651" s="111"/>
      <c r="F651" s="111"/>
      <c r="G651" s="111"/>
      <c r="H651" s="111"/>
      <c r="I651" s="111"/>
      <c r="J651" s="111"/>
      <c r="K651" s="111"/>
      <c r="L651" s="111"/>
      <c r="M651" s="112"/>
      <c r="N651" s="26"/>
      <c r="O651" s="2"/>
      <c r="P651" s="24"/>
    </row>
    <row r="652" spans="1:16" ht="9.75" customHeight="1">
      <c r="A652" s="18"/>
      <c r="B652" s="18" t="s">
        <v>104</v>
      </c>
      <c r="C652" s="18"/>
      <c r="D652" s="19"/>
      <c r="E652" s="23"/>
      <c r="F652" s="23"/>
      <c r="G652" s="23"/>
      <c r="H652" s="23"/>
      <c r="I652" s="111"/>
      <c r="J652" s="111"/>
      <c r="K652" s="111"/>
      <c r="L652" s="111"/>
      <c r="M652" s="112"/>
      <c r="N652" s="26"/>
      <c r="O652" s="2"/>
      <c r="P652" s="24"/>
    </row>
    <row r="653" spans="1:16" ht="9.75" customHeight="1">
      <c r="A653" s="18"/>
      <c r="B653" s="18" t="s">
        <v>34</v>
      </c>
      <c r="C653" s="18">
        <v>5</v>
      </c>
      <c r="D653" s="156">
        <v>4</v>
      </c>
      <c r="E653" s="140">
        <v>4</v>
      </c>
      <c r="F653" s="140">
        <v>4</v>
      </c>
      <c r="G653" s="140">
        <v>4</v>
      </c>
      <c r="H653" s="140">
        <v>4</v>
      </c>
      <c r="I653" s="52">
        <v>4</v>
      </c>
      <c r="J653" s="52">
        <v>4</v>
      </c>
      <c r="K653" s="52">
        <v>5</v>
      </c>
      <c r="L653" s="52">
        <v>5</v>
      </c>
      <c r="M653" s="87">
        <v>4</v>
      </c>
      <c r="N653" s="19">
        <f>MIN(D653:M653)</f>
        <v>4</v>
      </c>
      <c r="O653" s="23">
        <f>C653-N653</f>
        <v>1</v>
      </c>
      <c r="P653" s="24">
        <f>O653/C653</f>
        <v>0.2</v>
      </c>
    </row>
    <row r="654" spans="1:16" ht="9.75" customHeight="1">
      <c r="A654" s="18"/>
      <c r="B654" s="18" t="s">
        <v>35</v>
      </c>
      <c r="C654" s="18"/>
      <c r="D654" s="26"/>
      <c r="E654" s="2"/>
      <c r="F654" s="2"/>
      <c r="G654" s="2"/>
      <c r="H654" s="2"/>
      <c r="I654" s="2"/>
      <c r="J654" s="2"/>
      <c r="K654" s="2"/>
      <c r="L654" s="2"/>
      <c r="M654" s="27"/>
      <c r="N654" s="26"/>
      <c r="O654" s="2"/>
      <c r="P654" s="24"/>
    </row>
    <row r="655" spans="1:16" ht="9.75" customHeight="1">
      <c r="A655" s="18"/>
      <c r="B655" s="18" t="s">
        <v>36</v>
      </c>
      <c r="C655" s="18"/>
      <c r="D655" s="26"/>
      <c r="E655" s="2"/>
      <c r="F655" s="2"/>
      <c r="G655" s="2"/>
      <c r="H655" s="2"/>
      <c r="I655" s="2"/>
      <c r="J655" s="2"/>
      <c r="K655" s="2"/>
      <c r="L655" s="2"/>
      <c r="M655" s="27"/>
      <c r="N655" s="26"/>
      <c r="O655" s="2"/>
      <c r="P655" s="24"/>
    </row>
    <row r="656" spans="1:16" ht="9.75" customHeight="1">
      <c r="A656" s="18"/>
      <c r="B656" s="18" t="s">
        <v>37</v>
      </c>
      <c r="C656" s="18"/>
      <c r="D656" s="26"/>
      <c r="E656" s="2"/>
      <c r="F656" s="2"/>
      <c r="G656" s="2"/>
      <c r="H656" s="2"/>
      <c r="I656" s="2"/>
      <c r="J656" s="2"/>
      <c r="K656" s="2"/>
      <c r="L656" s="2"/>
      <c r="M656" s="27"/>
      <c r="N656" s="26"/>
      <c r="O656" s="2"/>
      <c r="P656" s="24"/>
    </row>
    <row r="657" spans="1:16" ht="9.75" customHeight="1">
      <c r="A657" s="32"/>
      <c r="B657" s="33" t="s">
        <v>38</v>
      </c>
      <c r="C657" s="33">
        <f t="shared" ref="C657:M657" si="113">SUM(C641:C656)</f>
        <v>79</v>
      </c>
      <c r="D657" s="38">
        <f t="shared" si="113"/>
        <v>69</v>
      </c>
      <c r="E657" s="39">
        <f t="shared" si="113"/>
        <v>68</v>
      </c>
      <c r="F657" s="39">
        <f t="shared" si="113"/>
        <v>62</v>
      </c>
      <c r="G657" s="39">
        <f t="shared" si="113"/>
        <v>59</v>
      </c>
      <c r="H657" s="39">
        <f t="shared" si="113"/>
        <v>60</v>
      </c>
      <c r="I657" s="39">
        <f t="shared" si="113"/>
        <v>70</v>
      </c>
      <c r="J657" s="39">
        <f t="shared" si="113"/>
        <v>69</v>
      </c>
      <c r="K657" s="39">
        <f t="shared" si="113"/>
        <v>74</v>
      </c>
      <c r="L657" s="39">
        <f t="shared" si="113"/>
        <v>72</v>
      </c>
      <c r="M657" s="95">
        <f t="shared" si="113"/>
        <v>72</v>
      </c>
      <c r="N657" s="38">
        <f t="shared" ref="N657:N658" si="114">MIN(D657:M657)</f>
        <v>59</v>
      </c>
      <c r="O657" s="39">
        <f t="shared" ref="O657:O658" si="115">C657-N657</f>
        <v>20</v>
      </c>
      <c r="P657" s="40">
        <f t="shared" ref="P657:P658" si="116">O657/C657</f>
        <v>0.25316455696202533</v>
      </c>
    </row>
    <row r="658" spans="1:16" ht="9.75" customHeight="1">
      <c r="A658" s="66" t="s">
        <v>176</v>
      </c>
      <c r="B658" s="66" t="s">
        <v>23</v>
      </c>
      <c r="C658" s="66">
        <v>81</v>
      </c>
      <c r="D658" s="158">
        <v>14</v>
      </c>
      <c r="E658" s="159">
        <v>10</v>
      </c>
      <c r="F658" s="159">
        <v>5</v>
      </c>
      <c r="G658" s="159">
        <v>8</v>
      </c>
      <c r="H658" s="159">
        <v>7</v>
      </c>
      <c r="I658" s="48">
        <v>13</v>
      </c>
      <c r="J658" s="48">
        <v>14</v>
      </c>
      <c r="K658" s="48">
        <f>C658-29</f>
        <v>52</v>
      </c>
      <c r="L658" s="48">
        <f>C658-18</f>
        <v>63</v>
      </c>
      <c r="M658" s="86">
        <f>C658-7</f>
        <v>74</v>
      </c>
      <c r="N658" s="41">
        <f t="shared" si="114"/>
        <v>5</v>
      </c>
      <c r="O658" s="72">
        <f t="shared" si="115"/>
        <v>76</v>
      </c>
      <c r="P658" s="99">
        <f t="shared" si="116"/>
        <v>0.93827160493827155</v>
      </c>
    </row>
    <row r="659" spans="1:16" ht="9.75" customHeight="1">
      <c r="A659" s="18"/>
      <c r="B659" s="18" t="s">
        <v>25</v>
      </c>
      <c r="C659" s="18"/>
      <c r="D659" s="26"/>
      <c r="E659" s="2"/>
      <c r="F659" s="2"/>
      <c r="G659" s="2"/>
      <c r="H659" s="2"/>
      <c r="I659" s="111"/>
      <c r="J659" s="111"/>
      <c r="K659" s="111"/>
      <c r="L659" s="111"/>
      <c r="M659" s="112"/>
      <c r="N659" s="26"/>
      <c r="O659" s="2"/>
      <c r="P659" s="24"/>
    </row>
    <row r="660" spans="1:16" ht="9.75" customHeight="1">
      <c r="A660" s="18"/>
      <c r="B660" s="18" t="s">
        <v>27</v>
      </c>
      <c r="C660" s="18"/>
      <c r="D660" s="26"/>
      <c r="E660" s="2"/>
      <c r="F660" s="2"/>
      <c r="G660" s="2"/>
      <c r="H660" s="2"/>
      <c r="I660" s="111"/>
      <c r="J660" s="111"/>
      <c r="K660" s="111"/>
      <c r="L660" s="111"/>
      <c r="M660" s="112"/>
      <c r="N660" s="26"/>
      <c r="O660" s="2"/>
      <c r="P660" s="24"/>
    </row>
    <row r="661" spans="1:16" ht="9.75" customHeight="1">
      <c r="A661" s="18"/>
      <c r="B661" s="18" t="s">
        <v>177</v>
      </c>
      <c r="C661" s="18">
        <v>26</v>
      </c>
      <c r="D661" s="115">
        <v>1</v>
      </c>
      <c r="E661" s="116">
        <v>1</v>
      </c>
      <c r="F661" s="116">
        <v>2</v>
      </c>
      <c r="G661" s="116">
        <v>3</v>
      </c>
      <c r="H661" s="116">
        <v>6</v>
      </c>
      <c r="I661" s="52">
        <v>3</v>
      </c>
      <c r="J661" s="52">
        <v>3</v>
      </c>
      <c r="K661" s="52">
        <v>23</v>
      </c>
      <c r="L661" s="52">
        <v>24</v>
      </c>
      <c r="M661" s="87">
        <v>23</v>
      </c>
      <c r="N661" s="26">
        <f>MIN(D661:M661)</f>
        <v>1</v>
      </c>
      <c r="O661" s="2">
        <f>C661-N661</f>
        <v>25</v>
      </c>
      <c r="P661" s="24">
        <f>O661/C661</f>
        <v>0.96153846153846156</v>
      </c>
    </row>
    <row r="662" spans="1:16" ht="9.75" customHeight="1">
      <c r="A662" s="18"/>
      <c r="B662" s="18" t="s">
        <v>99</v>
      </c>
      <c r="C662" s="18"/>
      <c r="D662" s="26"/>
      <c r="E662" s="2"/>
      <c r="F662" s="2"/>
      <c r="G662" s="2"/>
      <c r="H662" s="2"/>
      <c r="I662" s="111"/>
      <c r="J662" s="111"/>
      <c r="K662" s="111"/>
      <c r="L662" s="111"/>
      <c r="M662" s="112"/>
      <c r="N662" s="26"/>
      <c r="O662" s="2"/>
      <c r="P662" s="24"/>
    </row>
    <row r="663" spans="1:16" ht="9.75" customHeight="1">
      <c r="A663" s="18"/>
      <c r="B663" s="18" t="s">
        <v>32</v>
      </c>
      <c r="C663" s="18">
        <v>5</v>
      </c>
      <c r="D663" s="115">
        <v>5</v>
      </c>
      <c r="E663" s="116">
        <v>5</v>
      </c>
      <c r="F663" s="116">
        <v>5</v>
      </c>
      <c r="G663" s="116">
        <v>5</v>
      </c>
      <c r="H663" s="116">
        <v>5</v>
      </c>
      <c r="I663" s="52">
        <v>2</v>
      </c>
      <c r="J663" s="52">
        <v>1</v>
      </c>
      <c r="K663" s="52">
        <v>3</v>
      </c>
      <c r="L663" s="52">
        <v>3</v>
      </c>
      <c r="M663" s="87">
        <v>3</v>
      </c>
      <c r="N663" s="26">
        <f t="shared" ref="N663:N664" si="117">MIN(D663:M663)</f>
        <v>1</v>
      </c>
      <c r="O663" s="2">
        <f t="shared" ref="O663:O664" si="118">C663-N663</f>
        <v>4</v>
      </c>
      <c r="P663" s="24">
        <f t="shared" ref="P663:P664" si="119">O663/C663</f>
        <v>0.8</v>
      </c>
    </row>
    <row r="664" spans="1:16" ht="9.75" customHeight="1">
      <c r="A664" s="18"/>
      <c r="B664" s="18" t="s">
        <v>178</v>
      </c>
      <c r="C664" s="18">
        <v>2</v>
      </c>
      <c r="D664" s="115">
        <v>2</v>
      </c>
      <c r="E664" s="116">
        <v>2</v>
      </c>
      <c r="F664" s="116">
        <v>2</v>
      </c>
      <c r="G664" s="116">
        <v>2</v>
      </c>
      <c r="H664" s="116">
        <v>2</v>
      </c>
      <c r="I664" s="52">
        <v>2</v>
      </c>
      <c r="J664" s="52">
        <v>1</v>
      </c>
      <c r="K664" s="52">
        <v>2</v>
      </c>
      <c r="L664" s="52">
        <v>2</v>
      </c>
      <c r="M664" s="87">
        <v>2</v>
      </c>
      <c r="N664" s="26">
        <f t="shared" si="117"/>
        <v>1</v>
      </c>
      <c r="O664" s="2">
        <f t="shared" si="118"/>
        <v>1</v>
      </c>
      <c r="P664" s="24">
        <f t="shared" si="119"/>
        <v>0.5</v>
      </c>
    </row>
    <row r="665" spans="1:16" ht="9.75" customHeight="1">
      <c r="A665" s="18"/>
      <c r="B665" s="18" t="s">
        <v>104</v>
      </c>
      <c r="C665" s="18"/>
      <c r="D665" s="26"/>
      <c r="E665" s="2"/>
      <c r="F665" s="2"/>
      <c r="G665" s="2"/>
      <c r="H665" s="2"/>
      <c r="I665" s="111"/>
      <c r="J665" s="111"/>
      <c r="K665" s="111"/>
      <c r="L665" s="111"/>
      <c r="M665" s="112"/>
      <c r="N665" s="26"/>
      <c r="O665" s="2"/>
      <c r="P665" s="24"/>
    </row>
    <row r="666" spans="1:16" ht="9.75" customHeight="1">
      <c r="A666" s="18"/>
      <c r="B666" s="18" t="s">
        <v>104</v>
      </c>
      <c r="C666" s="18"/>
      <c r="D666" s="26"/>
      <c r="E666" s="2"/>
      <c r="F666" s="2"/>
      <c r="G666" s="2"/>
      <c r="H666" s="2"/>
      <c r="I666" s="111"/>
      <c r="J666" s="111"/>
      <c r="K666" s="111"/>
      <c r="L666" s="111"/>
      <c r="M666" s="112"/>
      <c r="N666" s="26"/>
      <c r="O666" s="2"/>
      <c r="P666" s="24"/>
    </row>
    <row r="667" spans="1:16" ht="9.75" customHeight="1">
      <c r="A667" s="18"/>
      <c r="B667" s="18" t="s">
        <v>104</v>
      </c>
      <c r="C667" s="18"/>
      <c r="D667" s="26"/>
      <c r="E667" s="2"/>
      <c r="F667" s="2"/>
      <c r="G667" s="2"/>
      <c r="H667" s="2"/>
      <c r="I667" s="111"/>
      <c r="J667" s="111"/>
      <c r="K667" s="111"/>
      <c r="L667" s="111"/>
      <c r="M667" s="112"/>
      <c r="N667" s="26"/>
      <c r="O667" s="2"/>
      <c r="P667" s="24"/>
    </row>
    <row r="668" spans="1:16" ht="9.75" customHeight="1">
      <c r="A668" s="18"/>
      <c r="B668" s="18" t="s">
        <v>104</v>
      </c>
      <c r="C668" s="18"/>
      <c r="D668" s="26"/>
      <c r="E668" s="2"/>
      <c r="F668" s="2"/>
      <c r="G668" s="2"/>
      <c r="H668" s="2"/>
      <c r="I668" s="111"/>
      <c r="J668" s="111"/>
      <c r="K668" s="111"/>
      <c r="L668" s="111"/>
      <c r="M668" s="112"/>
      <c r="N668" s="26"/>
      <c r="O668" s="2"/>
      <c r="P668" s="24"/>
    </row>
    <row r="669" spans="1:16" ht="9.75" customHeight="1">
      <c r="A669" s="18"/>
      <c r="B669" s="18" t="s">
        <v>104</v>
      </c>
      <c r="C669" s="18"/>
      <c r="D669" s="26"/>
      <c r="E669" s="2"/>
      <c r="F669" s="2"/>
      <c r="G669" s="2"/>
      <c r="H669" s="2"/>
      <c r="I669" s="111"/>
      <c r="J669" s="111"/>
      <c r="K669" s="111"/>
      <c r="L669" s="111"/>
      <c r="M669" s="112"/>
      <c r="N669" s="26"/>
      <c r="O669" s="2"/>
      <c r="P669" s="24"/>
    </row>
    <row r="670" spans="1:16" ht="9.75" customHeight="1">
      <c r="A670" s="18"/>
      <c r="B670" s="18" t="s">
        <v>34</v>
      </c>
      <c r="C670" s="18">
        <v>6</v>
      </c>
      <c r="D670" s="115">
        <v>6</v>
      </c>
      <c r="E670" s="116">
        <v>6</v>
      </c>
      <c r="F670" s="116">
        <v>6</v>
      </c>
      <c r="G670" s="116">
        <v>6</v>
      </c>
      <c r="H670" s="116">
        <v>6</v>
      </c>
      <c r="I670" s="52">
        <v>6</v>
      </c>
      <c r="J670" s="52">
        <v>6</v>
      </c>
      <c r="K670" s="52">
        <v>6</v>
      </c>
      <c r="L670" s="52">
        <v>6</v>
      </c>
      <c r="M670" s="87">
        <v>6</v>
      </c>
      <c r="N670" s="26">
        <f>MIN(D670:M670)</f>
        <v>6</v>
      </c>
      <c r="O670" s="2">
        <f>C670-N670</f>
        <v>0</v>
      </c>
      <c r="P670" s="24">
        <f>O670/C670</f>
        <v>0</v>
      </c>
    </row>
    <row r="671" spans="1:16" ht="9.75" customHeight="1">
      <c r="A671" s="18"/>
      <c r="B671" s="18" t="s">
        <v>35</v>
      </c>
      <c r="C671" s="18"/>
      <c r="D671" s="26"/>
      <c r="E671" s="2"/>
      <c r="F671" s="2"/>
      <c r="G671" s="2"/>
      <c r="H671" s="2"/>
      <c r="I671" s="111"/>
      <c r="J671" s="111"/>
      <c r="K671" s="111"/>
      <c r="L671" s="111"/>
      <c r="M671" s="112"/>
      <c r="N671" s="26"/>
      <c r="O671" s="2"/>
      <c r="P671" s="24"/>
    </row>
    <row r="672" spans="1:16" ht="9.75" customHeight="1">
      <c r="A672" s="18"/>
      <c r="B672" s="18" t="s">
        <v>36</v>
      </c>
      <c r="C672" s="18">
        <v>2</v>
      </c>
      <c r="D672" s="115">
        <v>0</v>
      </c>
      <c r="E672" s="116">
        <v>0</v>
      </c>
      <c r="F672" s="116">
        <v>1</v>
      </c>
      <c r="G672" s="116">
        <v>1</v>
      </c>
      <c r="H672" s="116">
        <v>1</v>
      </c>
      <c r="I672" s="52">
        <v>2</v>
      </c>
      <c r="J672" s="52">
        <v>2</v>
      </c>
      <c r="K672" s="52">
        <v>2</v>
      </c>
      <c r="L672" s="52">
        <v>2</v>
      </c>
      <c r="M672" s="87">
        <v>2</v>
      </c>
      <c r="N672" s="26">
        <f t="shared" ref="N672:N675" si="120">MIN(D672:M672)</f>
        <v>0</v>
      </c>
      <c r="O672" s="2">
        <f t="shared" ref="O672:O675" si="121">C672-N672</f>
        <v>2</v>
      </c>
      <c r="P672" s="24">
        <f t="shared" ref="P672:P675" si="122">O672/C672</f>
        <v>1</v>
      </c>
    </row>
    <row r="673" spans="1:16" ht="9.75" customHeight="1">
      <c r="A673" s="18"/>
      <c r="B673" s="18" t="s">
        <v>37</v>
      </c>
      <c r="C673" s="18">
        <v>2</v>
      </c>
      <c r="D673" s="115">
        <v>0</v>
      </c>
      <c r="E673" s="116">
        <v>0</v>
      </c>
      <c r="F673" s="116">
        <v>0</v>
      </c>
      <c r="G673" s="116">
        <v>0</v>
      </c>
      <c r="H673" s="116">
        <v>0</v>
      </c>
      <c r="I673" s="113">
        <v>1</v>
      </c>
      <c r="J673" s="113">
        <v>1</v>
      </c>
      <c r="K673" s="113">
        <v>2</v>
      </c>
      <c r="L673" s="113">
        <v>2</v>
      </c>
      <c r="M673" s="114">
        <v>2</v>
      </c>
      <c r="N673" s="26">
        <f t="shared" si="120"/>
        <v>0</v>
      </c>
      <c r="O673" s="2">
        <f t="shared" si="121"/>
        <v>2</v>
      </c>
      <c r="P673" s="24">
        <f t="shared" si="122"/>
        <v>1</v>
      </c>
    </row>
    <row r="674" spans="1:16" ht="9.75" customHeight="1">
      <c r="A674" s="32"/>
      <c r="B674" s="33" t="s">
        <v>38</v>
      </c>
      <c r="C674" s="33">
        <f t="shared" ref="C674:M674" si="123">SUM(C658:C673)</f>
        <v>124</v>
      </c>
      <c r="D674" s="70">
        <f t="shared" si="123"/>
        <v>28</v>
      </c>
      <c r="E674" s="71">
        <f t="shared" si="123"/>
        <v>24</v>
      </c>
      <c r="F674" s="71">
        <f t="shared" si="123"/>
        <v>21</v>
      </c>
      <c r="G674" s="71">
        <f t="shared" si="123"/>
        <v>25</v>
      </c>
      <c r="H674" s="71">
        <f t="shared" si="123"/>
        <v>27</v>
      </c>
      <c r="I674" s="39">
        <f t="shared" si="123"/>
        <v>29</v>
      </c>
      <c r="J674" s="39">
        <f t="shared" si="123"/>
        <v>28</v>
      </c>
      <c r="K674" s="39">
        <f t="shared" si="123"/>
        <v>90</v>
      </c>
      <c r="L674" s="39">
        <f t="shared" si="123"/>
        <v>102</v>
      </c>
      <c r="M674" s="95">
        <f t="shared" si="123"/>
        <v>112</v>
      </c>
      <c r="N674" s="70">
        <f t="shared" si="120"/>
        <v>21</v>
      </c>
      <c r="O674" s="71">
        <f t="shared" si="121"/>
        <v>103</v>
      </c>
      <c r="P674" s="40">
        <f t="shared" si="122"/>
        <v>0.83064516129032262</v>
      </c>
    </row>
    <row r="675" spans="1:16" ht="9.75" customHeight="1">
      <c r="A675" s="66" t="s">
        <v>179</v>
      </c>
      <c r="B675" s="66" t="s">
        <v>23</v>
      </c>
      <c r="C675" s="66">
        <v>73</v>
      </c>
      <c r="D675" s="41">
        <f>C675-11</f>
        <v>62</v>
      </c>
      <c r="E675" s="72">
        <f>C675-15</f>
        <v>58</v>
      </c>
      <c r="F675" s="72">
        <f>C675-20</f>
        <v>53</v>
      </c>
      <c r="G675" s="72">
        <f>C675-25</f>
        <v>48</v>
      </c>
      <c r="H675" s="72">
        <f>C675-23</f>
        <v>50</v>
      </c>
      <c r="I675" s="48">
        <f>C675-12</f>
        <v>61</v>
      </c>
      <c r="J675" s="48">
        <f>C675-9</f>
        <v>64</v>
      </c>
      <c r="K675" s="48">
        <f>C675-7</f>
        <v>66</v>
      </c>
      <c r="L675" s="48">
        <f>C675-5</f>
        <v>68</v>
      </c>
      <c r="M675" s="86">
        <f>C675-4</f>
        <v>69</v>
      </c>
      <c r="N675" s="26">
        <f t="shared" si="120"/>
        <v>48</v>
      </c>
      <c r="O675" s="2">
        <f t="shared" si="121"/>
        <v>25</v>
      </c>
      <c r="P675" s="24">
        <f t="shared" si="122"/>
        <v>0.34246575342465752</v>
      </c>
    </row>
    <row r="676" spans="1:16" ht="9.75" customHeight="1">
      <c r="A676" s="18"/>
      <c r="B676" s="18" t="s">
        <v>25</v>
      </c>
      <c r="C676" s="18"/>
      <c r="D676" s="26"/>
      <c r="E676" s="2"/>
      <c r="F676" s="2"/>
      <c r="G676" s="2"/>
      <c r="H676" s="2"/>
      <c r="I676" s="111"/>
      <c r="J676" s="111"/>
      <c r="K676" s="111"/>
      <c r="L676" s="111"/>
      <c r="M676" s="112"/>
      <c r="N676" s="26"/>
      <c r="O676" s="2"/>
      <c r="P676" s="24"/>
    </row>
    <row r="677" spans="1:16" ht="9.75" customHeight="1">
      <c r="A677" s="18"/>
      <c r="B677" s="18" t="s">
        <v>27</v>
      </c>
      <c r="C677" s="18"/>
      <c r="D677" s="26"/>
      <c r="E677" s="2"/>
      <c r="F677" s="2"/>
      <c r="G677" s="2"/>
      <c r="H677" s="2"/>
      <c r="I677" s="111"/>
      <c r="J677" s="111"/>
      <c r="K677" s="111"/>
      <c r="L677" s="111"/>
      <c r="M677" s="112"/>
      <c r="N677" s="26"/>
      <c r="O677" s="2"/>
      <c r="P677" s="24"/>
    </row>
    <row r="678" spans="1:16" ht="9.75" customHeight="1">
      <c r="A678" s="18"/>
      <c r="B678" s="18" t="s">
        <v>99</v>
      </c>
      <c r="C678" s="18"/>
      <c r="D678" s="26"/>
      <c r="E678" s="2"/>
      <c r="F678" s="2"/>
      <c r="G678" s="2"/>
      <c r="H678" s="2"/>
      <c r="I678" s="111"/>
      <c r="J678" s="111"/>
      <c r="K678" s="111"/>
      <c r="L678" s="111"/>
      <c r="M678" s="112"/>
      <c r="N678" s="26"/>
      <c r="O678" s="2"/>
      <c r="P678" s="24"/>
    </row>
    <row r="679" spans="1:16" ht="9.75" customHeight="1">
      <c r="A679" s="18"/>
      <c r="B679" s="18" t="s">
        <v>99</v>
      </c>
      <c r="C679" s="18"/>
      <c r="D679" s="26"/>
      <c r="E679" s="2"/>
      <c r="F679" s="2"/>
      <c r="G679" s="2"/>
      <c r="H679" s="2"/>
      <c r="I679" s="111"/>
      <c r="J679" s="111"/>
      <c r="K679" s="111"/>
      <c r="L679" s="111"/>
      <c r="M679" s="112"/>
      <c r="N679" s="26"/>
      <c r="O679" s="2"/>
      <c r="P679" s="24"/>
    </row>
    <row r="680" spans="1:16" ht="9.75" customHeight="1">
      <c r="A680" s="18"/>
      <c r="B680" s="18" t="s">
        <v>32</v>
      </c>
      <c r="C680" s="18"/>
      <c r="D680" s="26"/>
      <c r="E680" s="2"/>
      <c r="F680" s="2"/>
      <c r="G680" s="2"/>
      <c r="H680" s="2"/>
      <c r="I680" s="111"/>
      <c r="J680" s="111"/>
      <c r="K680" s="111"/>
      <c r="L680" s="111"/>
      <c r="M680" s="112"/>
      <c r="N680" s="26"/>
      <c r="O680" s="2"/>
      <c r="P680" s="24"/>
    </row>
    <row r="681" spans="1:16" ht="9.75" customHeight="1">
      <c r="A681" s="18"/>
      <c r="B681" s="18" t="s">
        <v>104</v>
      </c>
      <c r="C681" s="18"/>
      <c r="D681" s="26"/>
      <c r="E681" s="2"/>
      <c r="F681" s="2"/>
      <c r="G681" s="2"/>
      <c r="H681" s="2"/>
      <c r="I681" s="111"/>
      <c r="J681" s="111"/>
      <c r="K681" s="111"/>
      <c r="L681" s="111"/>
      <c r="M681" s="112"/>
      <c r="N681" s="26"/>
      <c r="O681" s="2"/>
      <c r="P681" s="24"/>
    </row>
    <row r="682" spans="1:16" ht="9.75" customHeight="1">
      <c r="A682" s="18"/>
      <c r="B682" s="18" t="s">
        <v>104</v>
      </c>
      <c r="C682" s="18"/>
      <c r="D682" s="26"/>
      <c r="E682" s="2"/>
      <c r="F682" s="2"/>
      <c r="G682" s="2"/>
      <c r="H682" s="2"/>
      <c r="I682" s="111"/>
      <c r="J682" s="111"/>
      <c r="K682" s="111"/>
      <c r="L682" s="111"/>
      <c r="M682" s="112"/>
      <c r="N682" s="26"/>
      <c r="O682" s="2"/>
      <c r="P682" s="24"/>
    </row>
    <row r="683" spans="1:16" ht="9.75" customHeight="1">
      <c r="A683" s="18"/>
      <c r="B683" s="18" t="s">
        <v>104</v>
      </c>
      <c r="C683" s="18"/>
      <c r="D683" s="26"/>
      <c r="E683" s="2"/>
      <c r="F683" s="2"/>
      <c r="G683" s="2"/>
      <c r="H683" s="2"/>
      <c r="I683" s="111"/>
      <c r="J683" s="111"/>
      <c r="K683" s="111"/>
      <c r="L683" s="111"/>
      <c r="M683" s="112"/>
      <c r="N683" s="26"/>
      <c r="O683" s="2"/>
      <c r="P683" s="24"/>
    </row>
    <row r="684" spans="1:16" ht="9.75" customHeight="1">
      <c r="A684" s="18"/>
      <c r="B684" s="18" t="s">
        <v>104</v>
      </c>
      <c r="C684" s="18"/>
      <c r="D684" s="26"/>
      <c r="E684" s="2"/>
      <c r="F684" s="2"/>
      <c r="G684" s="2"/>
      <c r="H684" s="2"/>
      <c r="I684" s="111"/>
      <c r="J684" s="111"/>
      <c r="K684" s="111"/>
      <c r="L684" s="111"/>
      <c r="M684" s="112"/>
      <c r="N684" s="26"/>
      <c r="O684" s="2"/>
      <c r="P684" s="24"/>
    </row>
    <row r="685" spans="1:16" ht="9.75" customHeight="1">
      <c r="A685" s="18"/>
      <c r="B685" s="18" t="s">
        <v>104</v>
      </c>
      <c r="C685" s="18"/>
      <c r="D685" s="26"/>
      <c r="E685" s="2"/>
      <c r="F685" s="2"/>
      <c r="G685" s="2"/>
      <c r="H685" s="2"/>
      <c r="I685" s="111"/>
      <c r="J685" s="111"/>
      <c r="K685" s="111"/>
      <c r="L685" s="111"/>
      <c r="M685" s="112"/>
      <c r="N685" s="26"/>
      <c r="O685" s="2"/>
      <c r="P685" s="24"/>
    </row>
    <row r="686" spans="1:16" ht="9.75" customHeight="1">
      <c r="A686" s="18"/>
      <c r="B686" s="18" t="s">
        <v>104</v>
      </c>
      <c r="C686" s="18"/>
      <c r="D686" s="26"/>
      <c r="E686" s="2"/>
      <c r="F686" s="2"/>
      <c r="G686" s="2"/>
      <c r="H686" s="2"/>
      <c r="I686" s="111"/>
      <c r="J686" s="111"/>
      <c r="K686" s="111"/>
      <c r="L686" s="111"/>
      <c r="M686" s="112"/>
      <c r="N686" s="26"/>
      <c r="O686" s="2"/>
      <c r="P686" s="24"/>
    </row>
    <row r="687" spans="1:16" ht="9.75" customHeight="1">
      <c r="A687" s="18"/>
      <c r="B687" s="18" t="s">
        <v>34</v>
      </c>
      <c r="C687" s="18">
        <v>2</v>
      </c>
      <c r="D687" s="115">
        <v>2</v>
      </c>
      <c r="E687" s="116">
        <v>2</v>
      </c>
      <c r="F687" s="116">
        <v>2</v>
      </c>
      <c r="G687" s="116">
        <v>2</v>
      </c>
      <c r="H687" s="116">
        <v>2</v>
      </c>
      <c r="I687" s="52">
        <v>2</v>
      </c>
      <c r="J687" s="52">
        <v>2</v>
      </c>
      <c r="K687" s="52">
        <v>2</v>
      </c>
      <c r="L687" s="52">
        <v>2</v>
      </c>
      <c r="M687" s="87">
        <v>2</v>
      </c>
      <c r="N687" s="26">
        <f>MIN(D687:M687)</f>
        <v>2</v>
      </c>
      <c r="O687" s="2">
        <f>C687-N687</f>
        <v>0</v>
      </c>
      <c r="P687" s="24">
        <f>O687/C687</f>
        <v>0</v>
      </c>
    </row>
    <row r="688" spans="1:16" ht="9.75" customHeight="1">
      <c r="A688" s="18"/>
      <c r="B688" s="18" t="s">
        <v>35</v>
      </c>
      <c r="C688" s="18"/>
      <c r="D688" s="26"/>
      <c r="E688" s="2"/>
      <c r="F688" s="2"/>
      <c r="G688" s="2"/>
      <c r="H688" s="2"/>
      <c r="I688" s="111"/>
      <c r="J688" s="111"/>
      <c r="K688" s="111"/>
      <c r="L688" s="111"/>
      <c r="M688" s="112"/>
      <c r="N688" s="26"/>
      <c r="O688" s="2"/>
      <c r="P688" s="24"/>
    </row>
    <row r="689" spans="1:16" ht="9.75" customHeight="1">
      <c r="A689" s="18"/>
      <c r="B689" s="18" t="s">
        <v>36</v>
      </c>
      <c r="C689" s="18">
        <v>2</v>
      </c>
      <c r="D689" s="115">
        <v>0</v>
      </c>
      <c r="E689" s="116">
        <v>0</v>
      </c>
      <c r="F689" s="116">
        <v>1</v>
      </c>
      <c r="G689" s="116">
        <v>1</v>
      </c>
      <c r="H689" s="116">
        <v>1</v>
      </c>
      <c r="I689" s="52">
        <v>1</v>
      </c>
      <c r="J689" s="52">
        <v>1</v>
      </c>
      <c r="K689" s="52">
        <v>1</v>
      </c>
      <c r="L689" s="52">
        <v>1</v>
      </c>
      <c r="M689" s="87">
        <v>1</v>
      </c>
      <c r="N689" s="26">
        <f t="shared" ref="N689:N691" si="124">MIN(D689:M689)</f>
        <v>0</v>
      </c>
      <c r="O689" s="2">
        <f t="shared" ref="O689:O691" si="125">C689-N689</f>
        <v>2</v>
      </c>
      <c r="P689" s="24">
        <f t="shared" ref="P689:P691" si="126">O689/C689</f>
        <v>1</v>
      </c>
    </row>
    <row r="690" spans="1:16" ht="9.75" customHeight="1">
      <c r="A690" s="18"/>
      <c r="B690" s="18" t="s">
        <v>37</v>
      </c>
      <c r="C690" s="18">
        <v>2</v>
      </c>
      <c r="D690" s="115">
        <v>0</v>
      </c>
      <c r="E690" s="116">
        <v>0</v>
      </c>
      <c r="F690" s="116">
        <v>0</v>
      </c>
      <c r="G690" s="116">
        <v>0</v>
      </c>
      <c r="H690" s="116">
        <v>0</v>
      </c>
      <c r="I690" s="113">
        <v>2</v>
      </c>
      <c r="J690" s="113">
        <v>2</v>
      </c>
      <c r="K690" s="113">
        <v>2</v>
      </c>
      <c r="L690" s="113">
        <v>2</v>
      </c>
      <c r="M690" s="114">
        <v>2</v>
      </c>
      <c r="N690" s="26">
        <f t="shared" si="124"/>
        <v>0</v>
      </c>
      <c r="O690" s="2">
        <f t="shared" si="125"/>
        <v>2</v>
      </c>
      <c r="P690" s="24">
        <f t="shared" si="126"/>
        <v>1</v>
      </c>
    </row>
    <row r="691" spans="1:16" ht="9.75" customHeight="1">
      <c r="A691" s="32"/>
      <c r="B691" s="33" t="s">
        <v>38</v>
      </c>
      <c r="C691" s="33">
        <f t="shared" ref="C691:M691" si="127">SUM(C675:C690)</f>
        <v>79</v>
      </c>
      <c r="D691" s="70">
        <f t="shared" si="127"/>
        <v>64</v>
      </c>
      <c r="E691" s="71">
        <f t="shared" si="127"/>
        <v>60</v>
      </c>
      <c r="F691" s="71">
        <f t="shared" si="127"/>
        <v>56</v>
      </c>
      <c r="G691" s="71">
        <f t="shared" si="127"/>
        <v>51</v>
      </c>
      <c r="H691" s="71">
        <f t="shared" si="127"/>
        <v>53</v>
      </c>
      <c r="I691" s="39">
        <f t="shared" si="127"/>
        <v>66</v>
      </c>
      <c r="J691" s="39">
        <f t="shared" si="127"/>
        <v>69</v>
      </c>
      <c r="K691" s="39">
        <f t="shared" si="127"/>
        <v>71</v>
      </c>
      <c r="L691" s="39">
        <f t="shared" si="127"/>
        <v>73</v>
      </c>
      <c r="M691" s="95">
        <f t="shared" si="127"/>
        <v>74</v>
      </c>
      <c r="N691" s="70">
        <f t="shared" si="124"/>
        <v>51</v>
      </c>
      <c r="O691" s="71">
        <f t="shared" si="125"/>
        <v>28</v>
      </c>
      <c r="P691" s="40">
        <f t="shared" si="126"/>
        <v>0.35443037974683544</v>
      </c>
    </row>
    <row r="692" spans="1:16" ht="9.75" customHeight="1">
      <c r="A692" s="66" t="s">
        <v>180</v>
      </c>
      <c r="B692" s="160" t="s">
        <v>23</v>
      </c>
      <c r="C692" s="66"/>
      <c r="D692" s="41"/>
      <c r="E692" s="72"/>
      <c r="F692" s="72"/>
      <c r="G692" s="72"/>
      <c r="H692" s="72"/>
      <c r="I692" s="72"/>
      <c r="J692" s="72"/>
      <c r="K692" s="72"/>
      <c r="L692" s="72"/>
      <c r="M692" s="73"/>
      <c r="N692" s="41"/>
      <c r="O692" s="72"/>
      <c r="P692" s="99"/>
    </row>
    <row r="693" spans="1:16" ht="9.75" customHeight="1">
      <c r="A693" s="18"/>
      <c r="B693" s="18" t="s">
        <v>25</v>
      </c>
      <c r="C693" s="18"/>
      <c r="D693" s="26"/>
      <c r="E693" s="2"/>
      <c r="F693" s="2"/>
      <c r="G693" s="2"/>
      <c r="H693" s="2"/>
      <c r="I693" s="2"/>
      <c r="J693" s="2"/>
      <c r="K693" s="2"/>
      <c r="L693" s="2"/>
      <c r="M693" s="27"/>
      <c r="N693" s="26"/>
      <c r="O693" s="2"/>
      <c r="P693" s="24"/>
    </row>
    <row r="694" spans="1:16" ht="9.75" customHeight="1">
      <c r="A694" s="18"/>
      <c r="B694" s="18" t="s">
        <v>27</v>
      </c>
      <c r="C694" s="18"/>
      <c r="D694" s="26"/>
      <c r="E694" s="2"/>
      <c r="F694" s="2"/>
      <c r="G694" s="2"/>
      <c r="H694" s="2"/>
      <c r="I694" s="2"/>
      <c r="J694" s="2"/>
      <c r="K694" s="2"/>
      <c r="L694" s="2"/>
      <c r="M694" s="27"/>
      <c r="N694" s="26"/>
      <c r="O694" s="2"/>
      <c r="P694" s="24"/>
    </row>
    <row r="695" spans="1:16" ht="9.75" customHeight="1">
      <c r="A695" s="18"/>
      <c r="B695" s="18" t="s">
        <v>99</v>
      </c>
      <c r="C695" s="18"/>
      <c r="D695" s="26"/>
      <c r="E695" s="2"/>
      <c r="F695" s="2"/>
      <c r="G695" s="2"/>
      <c r="H695" s="2"/>
      <c r="I695" s="2"/>
      <c r="J695" s="2"/>
      <c r="K695" s="2"/>
      <c r="L695" s="2"/>
      <c r="M695" s="27"/>
      <c r="N695" s="26"/>
      <c r="O695" s="2"/>
      <c r="P695" s="24"/>
    </row>
    <row r="696" spans="1:16" ht="9.75" customHeight="1">
      <c r="A696" s="18"/>
      <c r="B696" s="18" t="s">
        <v>99</v>
      </c>
      <c r="C696" s="18"/>
      <c r="D696" s="26"/>
      <c r="E696" s="2"/>
      <c r="F696" s="2"/>
      <c r="G696" s="2"/>
      <c r="H696" s="2"/>
      <c r="I696" s="2"/>
      <c r="J696" s="2"/>
      <c r="K696" s="2"/>
      <c r="L696" s="2"/>
      <c r="M696" s="27"/>
      <c r="N696" s="26"/>
      <c r="O696" s="2"/>
      <c r="P696" s="24"/>
    </row>
    <row r="697" spans="1:16" ht="9.75" customHeight="1">
      <c r="A697" s="18"/>
      <c r="B697" s="18" t="s">
        <v>32</v>
      </c>
      <c r="C697" s="18">
        <v>4</v>
      </c>
      <c r="D697" s="115">
        <v>0</v>
      </c>
      <c r="E697" s="116">
        <v>0</v>
      </c>
      <c r="F697" s="116">
        <v>0</v>
      </c>
      <c r="G697" s="116">
        <v>0</v>
      </c>
      <c r="H697" s="116">
        <v>0</v>
      </c>
      <c r="I697" s="2">
        <v>1</v>
      </c>
      <c r="J697" s="2">
        <v>1</v>
      </c>
      <c r="K697" s="2">
        <v>1</v>
      </c>
      <c r="L697" s="2">
        <v>1</v>
      </c>
      <c r="M697" s="27">
        <v>1</v>
      </c>
      <c r="N697" s="26">
        <f>MIN(D697:M697)</f>
        <v>0</v>
      </c>
      <c r="O697" s="2">
        <f>C697-N697</f>
        <v>4</v>
      </c>
      <c r="P697" s="24">
        <f>O697/C697</f>
        <v>1</v>
      </c>
    </row>
    <row r="698" spans="1:16" ht="9.75" customHeight="1">
      <c r="A698" s="18"/>
      <c r="B698" s="18" t="s">
        <v>104</v>
      </c>
      <c r="C698" s="18"/>
      <c r="D698" s="26"/>
      <c r="E698" s="2"/>
      <c r="F698" s="2"/>
      <c r="G698" s="2"/>
      <c r="H698" s="2"/>
      <c r="I698" s="2"/>
      <c r="J698" s="2"/>
      <c r="K698" s="2"/>
      <c r="L698" s="2"/>
      <c r="M698" s="27"/>
      <c r="N698" s="26"/>
      <c r="O698" s="2"/>
      <c r="P698" s="24"/>
    </row>
    <row r="699" spans="1:16" ht="9.75" customHeight="1">
      <c r="A699" s="18"/>
      <c r="B699" s="18" t="s">
        <v>104</v>
      </c>
      <c r="C699" s="18"/>
      <c r="D699" s="26"/>
      <c r="E699" s="2"/>
      <c r="F699" s="2"/>
      <c r="G699" s="2"/>
      <c r="H699" s="2"/>
      <c r="I699" s="2"/>
      <c r="J699" s="2"/>
      <c r="K699" s="2"/>
      <c r="L699" s="2"/>
      <c r="M699" s="27"/>
      <c r="N699" s="26"/>
      <c r="O699" s="2"/>
      <c r="P699" s="24"/>
    </row>
    <row r="700" spans="1:16" ht="9.75" customHeight="1">
      <c r="A700" s="18"/>
      <c r="B700" s="18" t="s">
        <v>104</v>
      </c>
      <c r="C700" s="18"/>
      <c r="D700" s="26"/>
      <c r="E700" s="2"/>
      <c r="F700" s="2"/>
      <c r="G700" s="2"/>
      <c r="H700" s="2"/>
      <c r="I700" s="2"/>
      <c r="J700" s="2"/>
      <c r="K700" s="2"/>
      <c r="L700" s="2"/>
      <c r="M700" s="27"/>
      <c r="N700" s="26"/>
      <c r="O700" s="2"/>
      <c r="P700" s="24"/>
    </row>
    <row r="701" spans="1:16" ht="9.75" customHeight="1">
      <c r="A701" s="18"/>
      <c r="B701" s="18" t="s">
        <v>104</v>
      </c>
      <c r="C701" s="18"/>
      <c r="D701" s="26"/>
      <c r="E701" s="2"/>
      <c r="F701" s="2"/>
      <c r="G701" s="2"/>
      <c r="H701" s="2"/>
      <c r="I701" s="2"/>
      <c r="J701" s="2"/>
      <c r="K701" s="2"/>
      <c r="L701" s="2"/>
      <c r="M701" s="27"/>
      <c r="N701" s="26"/>
      <c r="O701" s="2"/>
      <c r="P701" s="24"/>
    </row>
    <row r="702" spans="1:16" ht="9.75" customHeight="1">
      <c r="A702" s="18"/>
      <c r="B702" s="18" t="s">
        <v>104</v>
      </c>
      <c r="C702" s="18"/>
      <c r="D702" s="26"/>
      <c r="E702" s="2"/>
      <c r="F702" s="2"/>
      <c r="G702" s="2"/>
      <c r="H702" s="2"/>
      <c r="I702" s="2"/>
      <c r="J702" s="2"/>
      <c r="K702" s="2"/>
      <c r="L702" s="2"/>
      <c r="M702" s="27"/>
      <c r="N702" s="26"/>
      <c r="O702" s="2"/>
      <c r="P702" s="24"/>
    </row>
    <row r="703" spans="1:16" ht="9.75" customHeight="1">
      <c r="A703" s="18"/>
      <c r="B703" s="18" t="s">
        <v>104</v>
      </c>
      <c r="C703" s="18"/>
      <c r="D703" s="26"/>
      <c r="E703" s="2"/>
      <c r="F703" s="2"/>
      <c r="G703" s="2"/>
      <c r="H703" s="2"/>
      <c r="I703" s="2"/>
      <c r="J703" s="2"/>
      <c r="K703" s="2"/>
      <c r="L703" s="2"/>
      <c r="M703" s="27"/>
      <c r="N703" s="26"/>
      <c r="O703" s="2"/>
      <c r="P703" s="24"/>
    </row>
    <row r="704" spans="1:16" ht="9.75" customHeight="1">
      <c r="A704" s="18"/>
      <c r="B704" s="18" t="s">
        <v>34</v>
      </c>
      <c r="C704" s="18">
        <v>3</v>
      </c>
      <c r="D704" s="115">
        <v>3</v>
      </c>
      <c r="E704" s="116">
        <v>3</v>
      </c>
      <c r="F704" s="116">
        <v>3</v>
      </c>
      <c r="G704" s="116">
        <v>3</v>
      </c>
      <c r="H704" s="116">
        <v>3</v>
      </c>
      <c r="I704" s="2">
        <v>3</v>
      </c>
      <c r="J704" s="2">
        <v>3</v>
      </c>
      <c r="K704" s="2">
        <v>3</v>
      </c>
      <c r="L704" s="2">
        <v>3</v>
      </c>
      <c r="M704" s="27">
        <v>3</v>
      </c>
      <c r="N704" s="26">
        <f t="shared" ref="N704:N705" si="128">MIN(D704:M704)</f>
        <v>3</v>
      </c>
      <c r="O704" s="2">
        <f t="shared" ref="O704:O705" si="129">C704-N704</f>
        <v>0</v>
      </c>
      <c r="P704" s="24">
        <f t="shared" ref="P704:P705" si="130">O704/C704</f>
        <v>0</v>
      </c>
    </row>
    <row r="705" spans="1:16" ht="9.75" customHeight="1">
      <c r="A705" s="18"/>
      <c r="B705" s="18" t="s">
        <v>35</v>
      </c>
      <c r="C705" s="18">
        <v>3</v>
      </c>
      <c r="D705" s="161">
        <v>1</v>
      </c>
      <c r="E705" s="137">
        <v>1</v>
      </c>
      <c r="F705" s="137">
        <v>0</v>
      </c>
      <c r="G705" s="137">
        <v>1</v>
      </c>
      <c r="H705" s="137">
        <v>0</v>
      </c>
      <c r="I705" s="2">
        <v>1</v>
      </c>
      <c r="J705" s="2">
        <v>1</v>
      </c>
      <c r="K705" s="2">
        <v>1</v>
      </c>
      <c r="L705" s="2">
        <v>1</v>
      </c>
      <c r="M705" s="27">
        <v>1</v>
      </c>
      <c r="N705" s="19">
        <f t="shared" si="128"/>
        <v>0</v>
      </c>
      <c r="O705" s="23">
        <f t="shared" si="129"/>
        <v>3</v>
      </c>
      <c r="P705" s="24">
        <f t="shared" si="130"/>
        <v>1</v>
      </c>
    </row>
    <row r="706" spans="1:16" ht="9.75" customHeight="1">
      <c r="A706" s="18"/>
      <c r="B706" s="18" t="s">
        <v>36</v>
      </c>
      <c r="C706" s="18"/>
      <c r="D706" s="26"/>
      <c r="E706" s="2"/>
      <c r="F706" s="2"/>
      <c r="G706" s="2"/>
      <c r="H706" s="2"/>
      <c r="I706" s="2"/>
      <c r="J706" s="2"/>
      <c r="K706" s="2"/>
      <c r="L706" s="2"/>
      <c r="M706" s="27"/>
      <c r="N706" s="26"/>
      <c r="O706" s="2"/>
      <c r="P706" s="24"/>
    </row>
    <row r="707" spans="1:16" ht="9.75" customHeight="1">
      <c r="A707" s="18"/>
      <c r="B707" s="18" t="s">
        <v>37</v>
      </c>
      <c r="C707" s="18">
        <v>4</v>
      </c>
      <c r="D707" s="115">
        <v>3</v>
      </c>
      <c r="E707" s="116">
        <v>3</v>
      </c>
      <c r="F707" s="116">
        <v>1</v>
      </c>
      <c r="G707" s="116">
        <v>0</v>
      </c>
      <c r="H707" s="116">
        <v>2</v>
      </c>
      <c r="I707" s="2">
        <v>4</v>
      </c>
      <c r="J707" s="2">
        <v>4</v>
      </c>
      <c r="K707" s="2">
        <v>4</v>
      </c>
      <c r="L707" s="2">
        <v>4</v>
      </c>
      <c r="M707" s="27">
        <v>4</v>
      </c>
      <c r="N707" s="26">
        <f t="shared" ref="N707:N708" si="131">MIN(D707:M707)</f>
        <v>0</v>
      </c>
      <c r="O707" s="2">
        <f t="shared" ref="O707:O708" si="132">C707-N707</f>
        <v>4</v>
      </c>
      <c r="P707" s="24">
        <f t="shared" ref="P707:P708" si="133">O707/C707</f>
        <v>1</v>
      </c>
    </row>
    <row r="708" spans="1:16" ht="9.75" customHeight="1">
      <c r="A708" s="32"/>
      <c r="B708" s="33" t="s">
        <v>38</v>
      </c>
      <c r="C708" s="33">
        <f t="shared" ref="C708:M708" si="134">SUM(C692:C707)</f>
        <v>14</v>
      </c>
      <c r="D708" s="70">
        <f t="shared" si="134"/>
        <v>7</v>
      </c>
      <c r="E708" s="71">
        <f t="shared" si="134"/>
        <v>7</v>
      </c>
      <c r="F708" s="71">
        <f t="shared" si="134"/>
        <v>4</v>
      </c>
      <c r="G708" s="71">
        <f t="shared" si="134"/>
        <v>4</v>
      </c>
      <c r="H708" s="71">
        <f t="shared" si="134"/>
        <v>5</v>
      </c>
      <c r="I708" s="71">
        <f t="shared" si="134"/>
        <v>9</v>
      </c>
      <c r="J708" s="71">
        <f t="shared" si="134"/>
        <v>9</v>
      </c>
      <c r="K708" s="71">
        <f t="shared" si="134"/>
        <v>9</v>
      </c>
      <c r="L708" s="71">
        <f t="shared" si="134"/>
        <v>9</v>
      </c>
      <c r="M708" s="93">
        <f t="shared" si="134"/>
        <v>9</v>
      </c>
      <c r="N708" s="70">
        <f t="shared" si="131"/>
        <v>4</v>
      </c>
      <c r="O708" s="71">
        <f t="shared" si="132"/>
        <v>10</v>
      </c>
      <c r="P708" s="40">
        <f t="shared" si="133"/>
        <v>0.7142857142857143</v>
      </c>
    </row>
    <row r="709" spans="1:16" ht="9.75" customHeight="1">
      <c r="A709" s="66" t="s">
        <v>181</v>
      </c>
      <c r="B709" s="66" t="s">
        <v>23</v>
      </c>
      <c r="C709" s="66"/>
      <c r="D709" s="41"/>
      <c r="E709" s="72"/>
      <c r="F709" s="72"/>
      <c r="G709" s="72"/>
      <c r="H709" s="72"/>
      <c r="I709" s="72"/>
      <c r="J709" s="72"/>
      <c r="K709" s="72"/>
      <c r="L709" s="72"/>
      <c r="M709" s="73"/>
      <c r="N709" s="41"/>
      <c r="O709" s="72"/>
      <c r="P709" s="99"/>
    </row>
    <row r="710" spans="1:16" ht="9.75" customHeight="1">
      <c r="A710" s="18"/>
      <c r="B710" s="18" t="s">
        <v>25</v>
      </c>
      <c r="C710" s="145">
        <v>95</v>
      </c>
      <c r="D710" s="26">
        <f>C710-35</f>
        <v>60</v>
      </c>
      <c r="E710" s="2">
        <f>C710-40</f>
        <v>55</v>
      </c>
      <c r="F710" s="2">
        <f>C710-43</f>
        <v>52</v>
      </c>
      <c r="G710" s="2">
        <f>C710-45</f>
        <v>50</v>
      </c>
      <c r="H710" s="2">
        <f>C710-50</f>
        <v>45</v>
      </c>
      <c r="I710" s="52">
        <f>C710-14</f>
        <v>81</v>
      </c>
      <c r="J710" s="52">
        <f>C710-11</f>
        <v>84</v>
      </c>
      <c r="K710" s="52">
        <f>C710-7</f>
        <v>88</v>
      </c>
      <c r="L710" s="52">
        <f>C710-6</f>
        <v>89</v>
      </c>
      <c r="M710" s="87">
        <f>C710-3</f>
        <v>92</v>
      </c>
      <c r="N710" s="26">
        <f>MIN(D710:M710)</f>
        <v>45</v>
      </c>
      <c r="O710" s="2">
        <f>C710-N710</f>
        <v>50</v>
      </c>
      <c r="P710" s="24">
        <f>O710/C710</f>
        <v>0.52631578947368418</v>
      </c>
    </row>
    <row r="711" spans="1:16" ht="9.75" customHeight="1">
      <c r="A711" s="18"/>
      <c r="B711" s="18" t="s">
        <v>27</v>
      </c>
      <c r="C711" s="18"/>
      <c r="D711" s="26"/>
      <c r="E711" s="2"/>
      <c r="F711" s="2"/>
      <c r="G711" s="2"/>
      <c r="H711" s="2"/>
      <c r="I711" s="111"/>
      <c r="J711" s="111"/>
      <c r="K711" s="111"/>
      <c r="L711" s="111"/>
      <c r="M711" s="112"/>
      <c r="N711" s="26"/>
      <c r="O711" s="2"/>
      <c r="P711" s="24"/>
    </row>
    <row r="712" spans="1:16" ht="9.75" customHeight="1">
      <c r="A712" s="18"/>
      <c r="B712" s="18" t="s">
        <v>99</v>
      </c>
      <c r="C712" s="18"/>
      <c r="D712" s="26"/>
      <c r="E712" s="2"/>
      <c r="F712" s="2"/>
      <c r="G712" s="2"/>
      <c r="H712" s="2"/>
      <c r="I712" s="111"/>
      <c r="J712" s="111"/>
      <c r="K712" s="111"/>
      <c r="L712" s="111"/>
      <c r="M712" s="112"/>
      <c r="N712" s="26"/>
      <c r="O712" s="2"/>
      <c r="P712" s="24"/>
    </row>
    <row r="713" spans="1:16" ht="9.75" customHeight="1">
      <c r="A713" s="18"/>
      <c r="B713" s="18" t="s">
        <v>99</v>
      </c>
      <c r="C713" s="18"/>
      <c r="D713" s="26"/>
      <c r="E713" s="2"/>
      <c r="F713" s="2"/>
      <c r="G713" s="2"/>
      <c r="H713" s="2"/>
      <c r="I713" s="111"/>
      <c r="J713" s="111"/>
      <c r="K713" s="111"/>
      <c r="L713" s="111"/>
      <c r="M713" s="112"/>
      <c r="N713" s="26"/>
      <c r="O713" s="2"/>
      <c r="P713" s="24"/>
    </row>
    <row r="714" spans="1:16" ht="9.75" customHeight="1">
      <c r="A714" s="18"/>
      <c r="B714" s="18" t="s">
        <v>32</v>
      </c>
      <c r="C714" s="18">
        <v>1</v>
      </c>
      <c r="D714" s="115">
        <v>0</v>
      </c>
      <c r="E714" s="116">
        <v>0</v>
      </c>
      <c r="F714" s="116">
        <v>0</v>
      </c>
      <c r="G714" s="116">
        <v>0</v>
      </c>
      <c r="H714" s="116">
        <v>0</v>
      </c>
      <c r="I714" s="52">
        <v>0</v>
      </c>
      <c r="J714" s="52">
        <v>0</v>
      </c>
      <c r="K714" s="52">
        <v>0</v>
      </c>
      <c r="L714" s="52">
        <v>0</v>
      </c>
      <c r="M714" s="87">
        <v>0</v>
      </c>
      <c r="N714" s="26">
        <f t="shared" ref="N714:N716" si="135">MIN(D714:M714)</f>
        <v>0</v>
      </c>
      <c r="O714" s="2">
        <f t="shared" ref="O714:O716" si="136">C714-N714</f>
        <v>1</v>
      </c>
      <c r="P714" s="24">
        <f t="shared" ref="P714:P716" si="137">O714/C714</f>
        <v>1</v>
      </c>
    </row>
    <row r="715" spans="1:16" ht="9.75" customHeight="1">
      <c r="A715" s="18"/>
      <c r="B715" s="18" t="s">
        <v>160</v>
      </c>
      <c r="C715" s="18">
        <v>3</v>
      </c>
      <c r="D715" s="115">
        <v>2</v>
      </c>
      <c r="E715" s="116">
        <v>2</v>
      </c>
      <c r="F715" s="116">
        <v>2</v>
      </c>
      <c r="G715" s="116">
        <v>2</v>
      </c>
      <c r="H715" s="116">
        <v>2</v>
      </c>
      <c r="I715" s="52">
        <v>2</v>
      </c>
      <c r="J715" s="52">
        <v>2</v>
      </c>
      <c r="K715" s="52">
        <v>2</v>
      </c>
      <c r="L715" s="52">
        <v>2</v>
      </c>
      <c r="M715" s="87">
        <v>2</v>
      </c>
      <c r="N715" s="26">
        <f t="shared" si="135"/>
        <v>2</v>
      </c>
      <c r="O715" s="2">
        <f t="shared" si="136"/>
        <v>1</v>
      </c>
      <c r="P715" s="24">
        <f t="shared" si="137"/>
        <v>0.33333333333333331</v>
      </c>
    </row>
    <row r="716" spans="1:16" ht="9.75" customHeight="1">
      <c r="A716" s="18"/>
      <c r="B716" s="18" t="s">
        <v>182</v>
      </c>
      <c r="C716" s="18">
        <v>2</v>
      </c>
      <c r="D716" s="115">
        <v>0</v>
      </c>
      <c r="E716" s="116">
        <v>0</v>
      </c>
      <c r="F716" s="116">
        <v>0</v>
      </c>
      <c r="G716" s="116">
        <v>0</v>
      </c>
      <c r="H716" s="116">
        <v>0</v>
      </c>
      <c r="I716" s="52">
        <v>0</v>
      </c>
      <c r="J716" s="52">
        <v>0</v>
      </c>
      <c r="K716" s="52">
        <v>0</v>
      </c>
      <c r="L716" s="52">
        <v>0</v>
      </c>
      <c r="M716" s="87">
        <v>0</v>
      </c>
      <c r="N716" s="26">
        <f t="shared" si="135"/>
        <v>0</v>
      </c>
      <c r="O716" s="2">
        <f t="shared" si="136"/>
        <v>2</v>
      </c>
      <c r="P716" s="24">
        <f t="shared" si="137"/>
        <v>1</v>
      </c>
    </row>
    <row r="717" spans="1:16" ht="9.75" customHeight="1">
      <c r="A717" s="18"/>
      <c r="B717" s="18" t="s">
        <v>104</v>
      </c>
      <c r="C717" s="18"/>
      <c r="D717" s="26"/>
      <c r="E717" s="2"/>
      <c r="F717" s="2"/>
      <c r="G717" s="2"/>
      <c r="H717" s="2"/>
      <c r="I717" s="111"/>
      <c r="J717" s="111"/>
      <c r="K717" s="111"/>
      <c r="L717" s="111"/>
      <c r="M717" s="112"/>
      <c r="N717" s="26"/>
      <c r="O717" s="2"/>
      <c r="P717" s="24"/>
    </row>
    <row r="718" spans="1:16" ht="9.75" customHeight="1">
      <c r="A718" s="18"/>
      <c r="B718" s="18" t="s">
        <v>104</v>
      </c>
      <c r="C718" s="18"/>
      <c r="D718" s="26"/>
      <c r="E718" s="2"/>
      <c r="F718" s="2"/>
      <c r="G718" s="2"/>
      <c r="H718" s="2"/>
      <c r="I718" s="111"/>
      <c r="J718" s="111"/>
      <c r="K718" s="111"/>
      <c r="L718" s="111"/>
      <c r="M718" s="112"/>
      <c r="N718" s="26"/>
      <c r="O718" s="2"/>
      <c r="P718" s="24"/>
    </row>
    <row r="719" spans="1:16" ht="9.75" customHeight="1">
      <c r="A719" s="18"/>
      <c r="B719" s="18" t="s">
        <v>104</v>
      </c>
      <c r="C719" s="18"/>
      <c r="D719" s="26"/>
      <c r="E719" s="2"/>
      <c r="F719" s="2"/>
      <c r="G719" s="2"/>
      <c r="H719" s="2"/>
      <c r="I719" s="111"/>
      <c r="J719" s="111"/>
      <c r="K719" s="111"/>
      <c r="L719" s="111"/>
      <c r="M719" s="112"/>
      <c r="N719" s="26"/>
      <c r="O719" s="2"/>
      <c r="P719" s="24"/>
    </row>
    <row r="720" spans="1:16" ht="9.75" customHeight="1">
      <c r="A720" s="18"/>
      <c r="B720" s="18" t="s">
        <v>104</v>
      </c>
      <c r="C720" s="18"/>
      <c r="D720" s="26"/>
      <c r="E720" s="2"/>
      <c r="F720" s="2"/>
      <c r="G720" s="2"/>
      <c r="H720" s="2"/>
      <c r="I720" s="111"/>
      <c r="J720" s="111"/>
      <c r="K720" s="111"/>
      <c r="L720" s="111"/>
      <c r="M720" s="112"/>
      <c r="N720" s="26"/>
      <c r="O720" s="2"/>
      <c r="P720" s="24"/>
    </row>
    <row r="721" spans="1:16" ht="9.75" customHeight="1">
      <c r="A721" s="18"/>
      <c r="B721" s="18" t="s">
        <v>34</v>
      </c>
      <c r="C721" s="18">
        <v>3</v>
      </c>
      <c r="D721" s="115">
        <v>1</v>
      </c>
      <c r="E721" s="116">
        <v>1</v>
      </c>
      <c r="F721" s="116">
        <v>1</v>
      </c>
      <c r="G721" s="116">
        <v>1</v>
      </c>
      <c r="H721" s="116">
        <v>1</v>
      </c>
      <c r="I721" s="52">
        <v>3</v>
      </c>
      <c r="J721" s="52">
        <v>3</v>
      </c>
      <c r="K721" s="52">
        <v>3</v>
      </c>
      <c r="L721" s="52">
        <v>3</v>
      </c>
      <c r="M721" s="87">
        <v>3</v>
      </c>
      <c r="N721" s="26">
        <f>MIN(D721:M721)</f>
        <v>1</v>
      </c>
      <c r="O721" s="2">
        <f>C721-N721</f>
        <v>2</v>
      </c>
      <c r="P721" s="24">
        <f>O721/C721</f>
        <v>0.66666666666666663</v>
      </c>
    </row>
    <row r="722" spans="1:16" ht="9.75" customHeight="1">
      <c r="A722" s="18"/>
      <c r="B722" s="18" t="s">
        <v>35</v>
      </c>
      <c r="C722" s="18"/>
      <c r="D722" s="26"/>
      <c r="E722" s="2"/>
      <c r="F722" s="2"/>
      <c r="G722" s="2"/>
      <c r="H722" s="2"/>
      <c r="I722" s="111"/>
      <c r="J722" s="111"/>
      <c r="K722" s="111"/>
      <c r="L722" s="111"/>
      <c r="M722" s="112"/>
      <c r="N722" s="26"/>
      <c r="O722" s="2"/>
      <c r="P722" s="24"/>
    </row>
    <row r="723" spans="1:16" ht="9.75" customHeight="1">
      <c r="A723" s="18"/>
      <c r="B723" s="18" t="s">
        <v>36</v>
      </c>
      <c r="C723" s="18">
        <v>3</v>
      </c>
      <c r="D723" s="115">
        <v>1</v>
      </c>
      <c r="E723" s="116">
        <v>1</v>
      </c>
      <c r="F723" s="116">
        <v>1</v>
      </c>
      <c r="G723" s="116">
        <v>1</v>
      </c>
      <c r="H723" s="116">
        <v>1</v>
      </c>
      <c r="I723" s="52">
        <v>1</v>
      </c>
      <c r="J723" s="52">
        <v>1</v>
      </c>
      <c r="K723" s="52">
        <v>1</v>
      </c>
      <c r="L723" s="52">
        <v>1</v>
      </c>
      <c r="M723" s="87">
        <v>1</v>
      </c>
      <c r="N723" s="26">
        <f t="shared" ref="N723:N726" si="138">MIN(D723:M723)</f>
        <v>1</v>
      </c>
      <c r="O723" s="2">
        <f t="shared" ref="O723:O726" si="139">C723-N723</f>
        <v>2</v>
      </c>
      <c r="P723" s="24">
        <f t="shared" ref="P723:P726" si="140">O723/C723</f>
        <v>0.66666666666666663</v>
      </c>
    </row>
    <row r="724" spans="1:16" ht="9.75" customHeight="1">
      <c r="A724" s="18"/>
      <c r="B724" s="18" t="s">
        <v>37</v>
      </c>
      <c r="C724" s="18">
        <v>3</v>
      </c>
      <c r="D724" s="115">
        <v>0</v>
      </c>
      <c r="E724" s="116">
        <v>0</v>
      </c>
      <c r="F724" s="116">
        <v>0</v>
      </c>
      <c r="G724" s="116">
        <v>0</v>
      </c>
      <c r="H724" s="116">
        <v>0</v>
      </c>
      <c r="I724" s="113">
        <v>3</v>
      </c>
      <c r="J724" s="113">
        <v>3</v>
      </c>
      <c r="K724" s="113">
        <v>3</v>
      </c>
      <c r="L724" s="113">
        <v>3</v>
      </c>
      <c r="M724" s="114">
        <v>3</v>
      </c>
      <c r="N724" s="26">
        <f t="shared" si="138"/>
        <v>0</v>
      </c>
      <c r="O724" s="2">
        <f t="shared" si="139"/>
        <v>3</v>
      </c>
      <c r="P724" s="24">
        <f t="shared" si="140"/>
        <v>1</v>
      </c>
    </row>
    <row r="725" spans="1:16" ht="9.75" customHeight="1">
      <c r="A725" s="32"/>
      <c r="B725" s="33" t="s">
        <v>38</v>
      </c>
      <c r="C725" s="33">
        <f t="shared" ref="C725:M725" si="141">SUM(C709:C724)</f>
        <v>110</v>
      </c>
      <c r="D725" s="70">
        <f t="shared" si="141"/>
        <v>64</v>
      </c>
      <c r="E725" s="71">
        <f t="shared" si="141"/>
        <v>59</v>
      </c>
      <c r="F725" s="71">
        <f t="shared" si="141"/>
        <v>56</v>
      </c>
      <c r="G725" s="71">
        <f t="shared" si="141"/>
        <v>54</v>
      </c>
      <c r="H725" s="71">
        <f t="shared" si="141"/>
        <v>49</v>
      </c>
      <c r="I725" s="71">
        <f t="shared" si="141"/>
        <v>90</v>
      </c>
      <c r="J725" s="71">
        <f t="shared" si="141"/>
        <v>93</v>
      </c>
      <c r="K725" s="71">
        <f t="shared" si="141"/>
        <v>97</v>
      </c>
      <c r="L725" s="71">
        <f t="shared" si="141"/>
        <v>98</v>
      </c>
      <c r="M725" s="93">
        <f t="shared" si="141"/>
        <v>101</v>
      </c>
      <c r="N725" s="70">
        <f t="shared" si="138"/>
        <v>49</v>
      </c>
      <c r="O725" s="71">
        <f t="shared" si="139"/>
        <v>61</v>
      </c>
      <c r="P725" s="40">
        <f t="shared" si="140"/>
        <v>0.55454545454545456</v>
      </c>
    </row>
    <row r="726" spans="1:16" ht="9.75" customHeight="1">
      <c r="A726" s="66" t="s">
        <v>183</v>
      </c>
      <c r="B726" s="66" t="s">
        <v>23</v>
      </c>
      <c r="C726" s="18">
        <v>23</v>
      </c>
      <c r="D726" s="26">
        <v>4</v>
      </c>
      <c r="E726" s="2">
        <v>3</v>
      </c>
      <c r="F726" s="2">
        <v>4</v>
      </c>
      <c r="G726" s="2">
        <v>4</v>
      </c>
      <c r="H726" s="2">
        <v>3</v>
      </c>
      <c r="I726" s="116">
        <v>3</v>
      </c>
      <c r="J726" s="116">
        <v>3</v>
      </c>
      <c r="K726" s="116">
        <v>3</v>
      </c>
      <c r="L726" s="116">
        <v>5</v>
      </c>
      <c r="M726" s="147">
        <v>4</v>
      </c>
      <c r="N726" s="26">
        <f t="shared" si="138"/>
        <v>3</v>
      </c>
      <c r="O726" s="2">
        <f t="shared" si="139"/>
        <v>20</v>
      </c>
      <c r="P726" s="24">
        <f t="shared" si="140"/>
        <v>0.86956521739130432</v>
      </c>
    </row>
    <row r="727" spans="1:16" ht="9.75" customHeight="1">
      <c r="A727" s="18"/>
      <c r="B727" s="18" t="s">
        <v>25</v>
      </c>
      <c r="C727" s="18"/>
      <c r="D727" s="26"/>
      <c r="E727" s="2"/>
      <c r="F727" s="2"/>
      <c r="G727" s="2"/>
      <c r="H727" s="2"/>
      <c r="I727" s="2"/>
      <c r="J727" s="2"/>
      <c r="K727" s="2"/>
      <c r="L727" s="2"/>
      <c r="M727" s="27"/>
      <c r="N727" s="26"/>
      <c r="O727" s="2"/>
      <c r="P727" s="24"/>
    </row>
    <row r="728" spans="1:16" ht="9.75" customHeight="1">
      <c r="A728" s="18"/>
      <c r="B728" s="18" t="s">
        <v>27</v>
      </c>
      <c r="C728" s="18"/>
      <c r="D728" s="26"/>
      <c r="E728" s="2"/>
      <c r="F728" s="2"/>
      <c r="G728" s="2"/>
      <c r="H728" s="2"/>
      <c r="I728" s="2"/>
      <c r="J728" s="2"/>
      <c r="K728" s="2"/>
      <c r="L728" s="2"/>
      <c r="M728" s="27"/>
      <c r="N728" s="26"/>
      <c r="O728" s="2"/>
      <c r="P728" s="24"/>
    </row>
    <row r="729" spans="1:16" ht="9.75" customHeight="1">
      <c r="A729" s="18"/>
      <c r="B729" s="18" t="s">
        <v>99</v>
      </c>
      <c r="C729" s="18"/>
      <c r="D729" s="26"/>
      <c r="E729" s="2"/>
      <c r="F729" s="2"/>
      <c r="G729" s="2"/>
      <c r="H729" s="2"/>
      <c r="I729" s="2"/>
      <c r="J729" s="2"/>
      <c r="K729" s="2"/>
      <c r="L729" s="2"/>
      <c r="M729" s="27"/>
      <c r="N729" s="26"/>
      <c r="O729" s="2"/>
      <c r="P729" s="24"/>
    </row>
    <row r="730" spans="1:16" ht="9.75" customHeight="1">
      <c r="A730" s="18"/>
      <c r="B730" s="18" t="s">
        <v>99</v>
      </c>
      <c r="C730" s="18"/>
      <c r="D730" s="26"/>
      <c r="E730" s="2"/>
      <c r="F730" s="2"/>
      <c r="G730" s="2"/>
      <c r="H730" s="2"/>
      <c r="I730" s="2"/>
      <c r="J730" s="2"/>
      <c r="K730" s="2"/>
      <c r="L730" s="2"/>
      <c r="M730" s="27"/>
      <c r="N730" s="26"/>
      <c r="O730" s="2"/>
      <c r="P730" s="24"/>
    </row>
    <row r="731" spans="1:16" ht="9.75" customHeight="1">
      <c r="A731" s="18"/>
      <c r="B731" s="18" t="s">
        <v>32</v>
      </c>
      <c r="C731" s="18">
        <v>3</v>
      </c>
      <c r="D731" s="26">
        <v>3</v>
      </c>
      <c r="E731" s="2">
        <v>3</v>
      </c>
      <c r="F731" s="2">
        <v>3</v>
      </c>
      <c r="G731" s="2">
        <v>3</v>
      </c>
      <c r="H731" s="2">
        <v>2</v>
      </c>
      <c r="I731" s="116">
        <v>2</v>
      </c>
      <c r="J731" s="116">
        <v>1</v>
      </c>
      <c r="K731" s="116">
        <v>1</v>
      </c>
      <c r="L731" s="116">
        <v>2</v>
      </c>
      <c r="M731" s="147">
        <v>2</v>
      </c>
      <c r="N731" s="26">
        <f>MIN(D731:M731)</f>
        <v>1</v>
      </c>
      <c r="O731" s="2">
        <f>C731-N731</f>
        <v>2</v>
      </c>
      <c r="P731" s="24">
        <f>O731/C731</f>
        <v>0.66666666666666663</v>
      </c>
    </row>
    <row r="732" spans="1:16" ht="9.75" customHeight="1">
      <c r="A732" s="18"/>
      <c r="B732" s="18" t="s">
        <v>104</v>
      </c>
      <c r="C732" s="18"/>
      <c r="D732" s="26"/>
      <c r="E732" s="2"/>
      <c r="F732" s="2"/>
      <c r="G732" s="2"/>
      <c r="H732" s="2"/>
      <c r="I732" s="2"/>
      <c r="J732" s="2"/>
      <c r="K732" s="2"/>
      <c r="L732" s="2"/>
      <c r="M732" s="27"/>
      <c r="N732" s="26"/>
      <c r="O732" s="2"/>
      <c r="P732" s="24"/>
    </row>
    <row r="733" spans="1:16" ht="9.75" customHeight="1">
      <c r="A733" s="18"/>
      <c r="B733" s="18" t="s">
        <v>104</v>
      </c>
      <c r="C733" s="18"/>
      <c r="D733" s="26"/>
      <c r="E733" s="2"/>
      <c r="F733" s="2"/>
      <c r="G733" s="2"/>
      <c r="H733" s="2"/>
      <c r="I733" s="2"/>
      <c r="J733" s="2"/>
      <c r="K733" s="2"/>
      <c r="L733" s="2"/>
      <c r="M733" s="27"/>
      <c r="N733" s="26"/>
      <c r="O733" s="2"/>
      <c r="P733" s="24"/>
    </row>
    <row r="734" spans="1:16" ht="9.75" customHeight="1">
      <c r="A734" s="18"/>
      <c r="B734" s="18" t="s">
        <v>104</v>
      </c>
      <c r="C734" s="18"/>
      <c r="D734" s="26"/>
      <c r="E734" s="2"/>
      <c r="F734" s="2"/>
      <c r="G734" s="2"/>
      <c r="H734" s="2"/>
      <c r="I734" s="2"/>
      <c r="J734" s="2"/>
      <c r="K734" s="2"/>
      <c r="L734" s="2"/>
      <c r="M734" s="27"/>
      <c r="N734" s="26"/>
      <c r="O734" s="2"/>
      <c r="P734" s="24"/>
    </row>
    <row r="735" spans="1:16" ht="9.75" customHeight="1">
      <c r="A735" s="18"/>
      <c r="B735" s="18" t="s">
        <v>104</v>
      </c>
      <c r="C735" s="18"/>
      <c r="D735" s="26"/>
      <c r="E735" s="2"/>
      <c r="F735" s="2"/>
      <c r="G735" s="2"/>
      <c r="H735" s="2"/>
      <c r="I735" s="2"/>
      <c r="J735" s="2"/>
      <c r="K735" s="2"/>
      <c r="L735" s="2"/>
      <c r="M735" s="27"/>
      <c r="N735" s="26"/>
      <c r="O735" s="2"/>
      <c r="P735" s="24"/>
    </row>
    <row r="736" spans="1:16" ht="9.75" customHeight="1">
      <c r="A736" s="18"/>
      <c r="B736" s="18" t="s">
        <v>104</v>
      </c>
      <c r="C736" s="18"/>
      <c r="D736" s="26"/>
      <c r="E736" s="2"/>
      <c r="F736" s="2"/>
      <c r="G736" s="2"/>
      <c r="H736" s="2"/>
      <c r="I736" s="2"/>
      <c r="J736" s="2"/>
      <c r="K736" s="2"/>
      <c r="L736" s="2"/>
      <c r="M736" s="27"/>
      <c r="N736" s="26"/>
      <c r="O736" s="2"/>
      <c r="P736" s="24"/>
    </row>
    <row r="737" spans="1:16" ht="9.75" customHeight="1">
      <c r="A737" s="18"/>
      <c r="B737" s="18" t="s">
        <v>104</v>
      </c>
      <c r="C737" s="18"/>
      <c r="D737" s="26"/>
      <c r="E737" s="2"/>
      <c r="F737" s="2"/>
      <c r="G737" s="2"/>
      <c r="H737" s="2"/>
      <c r="I737" s="2"/>
      <c r="J737" s="2"/>
      <c r="K737" s="2"/>
      <c r="L737" s="2"/>
      <c r="M737" s="27"/>
      <c r="N737" s="26"/>
      <c r="O737" s="2"/>
      <c r="P737" s="24"/>
    </row>
    <row r="738" spans="1:16" ht="9.75" customHeight="1">
      <c r="A738" s="18"/>
      <c r="B738" s="18" t="s">
        <v>34</v>
      </c>
      <c r="C738" s="18">
        <v>9</v>
      </c>
      <c r="D738" s="26">
        <v>9</v>
      </c>
      <c r="E738" s="2">
        <v>9</v>
      </c>
      <c r="F738" s="2">
        <v>9</v>
      </c>
      <c r="G738" s="2">
        <v>9</v>
      </c>
      <c r="H738" s="2">
        <v>9</v>
      </c>
      <c r="I738" s="116">
        <v>9</v>
      </c>
      <c r="J738" s="116">
        <v>9</v>
      </c>
      <c r="K738" s="116">
        <v>9</v>
      </c>
      <c r="L738" s="116">
        <v>9</v>
      </c>
      <c r="M738" s="147">
        <v>9</v>
      </c>
      <c r="N738" s="26">
        <f>MIN(D738:M738)</f>
        <v>9</v>
      </c>
      <c r="O738" s="2">
        <f>C738-N738</f>
        <v>0</v>
      </c>
      <c r="P738" s="24">
        <f>O738/C738</f>
        <v>0</v>
      </c>
    </row>
    <row r="739" spans="1:16" ht="9.75" customHeight="1">
      <c r="A739" s="18"/>
      <c r="B739" s="18" t="s">
        <v>35</v>
      </c>
      <c r="C739" s="18"/>
      <c r="D739" s="26"/>
      <c r="E739" s="2"/>
      <c r="F739" s="2"/>
      <c r="G739" s="2"/>
      <c r="H739" s="2"/>
      <c r="I739" s="2"/>
      <c r="J739" s="2"/>
      <c r="K739" s="2"/>
      <c r="L739" s="2"/>
      <c r="M739" s="27"/>
      <c r="N739" s="26"/>
      <c r="O739" s="2"/>
      <c r="P739" s="24"/>
    </row>
    <row r="740" spans="1:16" ht="9.75" customHeight="1">
      <c r="A740" s="18"/>
      <c r="B740" s="18" t="s">
        <v>36</v>
      </c>
      <c r="C740" s="18"/>
      <c r="D740" s="26"/>
      <c r="E740" s="2"/>
      <c r="F740" s="2"/>
      <c r="G740" s="2"/>
      <c r="H740" s="2"/>
      <c r="I740" s="2"/>
      <c r="J740" s="2"/>
      <c r="K740" s="2"/>
      <c r="L740" s="2"/>
      <c r="M740" s="27"/>
      <c r="N740" s="26"/>
      <c r="O740" s="2"/>
      <c r="P740" s="24"/>
    </row>
    <row r="741" spans="1:16" ht="9.75" customHeight="1">
      <c r="A741" s="18"/>
      <c r="B741" s="18" t="s">
        <v>37</v>
      </c>
      <c r="C741" s="18">
        <v>1</v>
      </c>
      <c r="D741" s="26">
        <v>1</v>
      </c>
      <c r="E741" s="2">
        <v>1</v>
      </c>
      <c r="F741" s="2">
        <v>1</v>
      </c>
      <c r="G741" s="2">
        <v>1</v>
      </c>
      <c r="H741" s="2">
        <v>1</v>
      </c>
      <c r="I741" s="116">
        <v>0</v>
      </c>
      <c r="J741" s="116">
        <v>0</v>
      </c>
      <c r="K741" s="116">
        <v>0</v>
      </c>
      <c r="L741" s="116">
        <v>0</v>
      </c>
      <c r="M741" s="147">
        <v>0</v>
      </c>
      <c r="N741" s="26">
        <f t="shared" ref="N741:N742" si="142">MIN(D741:M741)</f>
        <v>0</v>
      </c>
      <c r="O741" s="2">
        <f t="shared" ref="O741:O742" si="143">C741-N741</f>
        <v>1</v>
      </c>
      <c r="P741" s="24">
        <f t="shared" ref="P741:P742" si="144">O741/C741</f>
        <v>1</v>
      </c>
    </row>
    <row r="742" spans="1:16" ht="9.75" customHeight="1">
      <c r="A742" s="32"/>
      <c r="B742" s="33" t="s">
        <v>38</v>
      </c>
      <c r="C742" s="33">
        <f t="shared" ref="C742:M742" si="145">SUM(C726:C741)</f>
        <v>36</v>
      </c>
      <c r="D742" s="70">
        <f t="shared" si="145"/>
        <v>17</v>
      </c>
      <c r="E742" s="71">
        <f t="shared" si="145"/>
        <v>16</v>
      </c>
      <c r="F742" s="71">
        <f t="shared" si="145"/>
        <v>17</v>
      </c>
      <c r="G742" s="71">
        <f t="shared" si="145"/>
        <v>17</v>
      </c>
      <c r="H742" s="71">
        <f t="shared" si="145"/>
        <v>15</v>
      </c>
      <c r="I742" s="71">
        <f t="shared" si="145"/>
        <v>14</v>
      </c>
      <c r="J742" s="71">
        <f t="shared" si="145"/>
        <v>13</v>
      </c>
      <c r="K742" s="71">
        <f t="shared" si="145"/>
        <v>13</v>
      </c>
      <c r="L742" s="71">
        <f t="shared" si="145"/>
        <v>16</v>
      </c>
      <c r="M742" s="93">
        <f t="shared" si="145"/>
        <v>15</v>
      </c>
      <c r="N742" s="70">
        <f t="shared" si="142"/>
        <v>13</v>
      </c>
      <c r="O742" s="71">
        <f t="shared" si="143"/>
        <v>23</v>
      </c>
      <c r="P742" s="40">
        <f t="shared" si="144"/>
        <v>0.63888888888888884</v>
      </c>
    </row>
    <row r="743" spans="1:16" ht="9.75" customHeight="1">
      <c r="A743" s="66" t="s">
        <v>184</v>
      </c>
      <c r="B743" s="160" t="s">
        <v>23</v>
      </c>
      <c r="C743" s="66"/>
      <c r="D743" s="41"/>
      <c r="E743" s="72"/>
      <c r="F743" s="72"/>
      <c r="G743" s="72"/>
      <c r="H743" s="72"/>
      <c r="I743" s="72"/>
      <c r="J743" s="72"/>
      <c r="K743" s="72"/>
      <c r="L743" s="72"/>
      <c r="M743" s="73"/>
      <c r="N743" s="41"/>
      <c r="O743" s="72"/>
      <c r="P743" s="99"/>
    </row>
    <row r="744" spans="1:16" ht="9.75" customHeight="1">
      <c r="A744" s="18"/>
      <c r="B744" s="18" t="s">
        <v>25</v>
      </c>
      <c r="C744" s="18"/>
      <c r="D744" s="26"/>
      <c r="E744" s="2"/>
      <c r="F744" s="2"/>
      <c r="G744" s="2"/>
      <c r="H744" s="2"/>
      <c r="I744" s="2"/>
      <c r="J744" s="2"/>
      <c r="K744" s="2"/>
      <c r="L744" s="2"/>
      <c r="M744" s="27"/>
      <c r="N744" s="26"/>
      <c r="O744" s="2"/>
      <c r="P744" s="24"/>
    </row>
    <row r="745" spans="1:16" ht="9.75" customHeight="1">
      <c r="A745" s="18"/>
      <c r="B745" s="18" t="s">
        <v>27</v>
      </c>
      <c r="C745" s="18"/>
      <c r="D745" s="26"/>
      <c r="E745" s="2"/>
      <c r="F745" s="2"/>
      <c r="G745" s="2"/>
      <c r="H745" s="2"/>
      <c r="I745" s="2"/>
      <c r="J745" s="2"/>
      <c r="K745" s="2"/>
      <c r="L745" s="2"/>
      <c r="M745" s="27"/>
      <c r="N745" s="26"/>
      <c r="O745" s="2"/>
      <c r="P745" s="24"/>
    </row>
    <row r="746" spans="1:16" ht="9.75" customHeight="1">
      <c r="A746" s="18"/>
      <c r="B746" s="18" t="s">
        <v>99</v>
      </c>
      <c r="C746" s="18"/>
      <c r="D746" s="26"/>
      <c r="E746" s="2"/>
      <c r="F746" s="2"/>
      <c r="G746" s="2"/>
      <c r="H746" s="2"/>
      <c r="I746" s="2"/>
      <c r="J746" s="2"/>
      <c r="K746" s="2"/>
      <c r="L746" s="2"/>
      <c r="M746" s="27"/>
      <c r="N746" s="26"/>
      <c r="O746" s="2"/>
      <c r="P746" s="24"/>
    </row>
    <row r="747" spans="1:16" ht="9.75" customHeight="1">
      <c r="A747" s="18"/>
      <c r="B747" s="18" t="s">
        <v>99</v>
      </c>
      <c r="C747" s="18"/>
      <c r="D747" s="26"/>
      <c r="E747" s="2"/>
      <c r="F747" s="2"/>
      <c r="G747" s="2"/>
      <c r="H747" s="2"/>
      <c r="I747" s="2"/>
      <c r="J747" s="2"/>
      <c r="K747" s="2"/>
      <c r="L747" s="2"/>
      <c r="M747" s="27"/>
      <c r="N747" s="26"/>
      <c r="O747" s="2"/>
      <c r="P747" s="24"/>
    </row>
    <row r="748" spans="1:16" ht="9.75" customHeight="1">
      <c r="A748" s="18"/>
      <c r="B748" s="18" t="s">
        <v>32</v>
      </c>
      <c r="C748" s="18"/>
      <c r="D748" s="26"/>
      <c r="E748" s="2"/>
      <c r="F748" s="2"/>
      <c r="G748" s="2"/>
      <c r="H748" s="2"/>
      <c r="I748" s="2"/>
      <c r="J748" s="2"/>
      <c r="K748" s="2"/>
      <c r="L748" s="2"/>
      <c r="M748" s="27"/>
      <c r="N748" s="26"/>
      <c r="O748" s="2"/>
      <c r="P748" s="24"/>
    </row>
    <row r="749" spans="1:16" ht="9.75" customHeight="1">
      <c r="A749" s="18"/>
      <c r="B749" s="18" t="s">
        <v>104</v>
      </c>
      <c r="C749" s="18"/>
      <c r="D749" s="26"/>
      <c r="E749" s="2"/>
      <c r="F749" s="2"/>
      <c r="G749" s="2"/>
      <c r="H749" s="2"/>
      <c r="I749" s="2"/>
      <c r="J749" s="2"/>
      <c r="K749" s="2"/>
      <c r="L749" s="2"/>
      <c r="M749" s="27"/>
      <c r="N749" s="26"/>
      <c r="O749" s="2"/>
      <c r="P749" s="24"/>
    </row>
    <row r="750" spans="1:16" ht="9.75" customHeight="1">
      <c r="A750" s="18"/>
      <c r="B750" s="18" t="s">
        <v>104</v>
      </c>
      <c r="C750" s="18"/>
      <c r="D750" s="26"/>
      <c r="E750" s="2"/>
      <c r="F750" s="2"/>
      <c r="G750" s="2"/>
      <c r="H750" s="2"/>
      <c r="I750" s="2"/>
      <c r="J750" s="2"/>
      <c r="K750" s="2"/>
      <c r="L750" s="2"/>
      <c r="M750" s="27"/>
      <c r="N750" s="26"/>
      <c r="O750" s="2"/>
      <c r="P750" s="24"/>
    </row>
    <row r="751" spans="1:16" ht="9.75" customHeight="1">
      <c r="A751" s="18"/>
      <c r="B751" s="18" t="s">
        <v>104</v>
      </c>
      <c r="C751" s="18"/>
      <c r="D751" s="26"/>
      <c r="E751" s="2"/>
      <c r="F751" s="2"/>
      <c r="G751" s="2"/>
      <c r="H751" s="2"/>
      <c r="I751" s="2"/>
      <c r="J751" s="2"/>
      <c r="K751" s="2"/>
      <c r="L751" s="2"/>
      <c r="M751" s="27"/>
      <c r="N751" s="26"/>
      <c r="O751" s="2"/>
      <c r="P751" s="24"/>
    </row>
    <row r="752" spans="1:16" ht="9.75" customHeight="1">
      <c r="A752" s="18"/>
      <c r="B752" s="18" t="s">
        <v>104</v>
      </c>
      <c r="C752" s="18"/>
      <c r="D752" s="26"/>
      <c r="E752" s="2"/>
      <c r="F752" s="2"/>
      <c r="G752" s="2"/>
      <c r="H752" s="2"/>
      <c r="I752" s="2"/>
      <c r="J752" s="2"/>
      <c r="K752" s="2"/>
      <c r="L752" s="2"/>
      <c r="M752" s="27"/>
      <c r="N752" s="26"/>
      <c r="O752" s="2"/>
      <c r="P752" s="24"/>
    </row>
    <row r="753" spans="1:16" ht="9.75" customHeight="1">
      <c r="A753" s="18"/>
      <c r="B753" s="18" t="s">
        <v>104</v>
      </c>
      <c r="C753" s="18"/>
      <c r="D753" s="26"/>
      <c r="E753" s="2"/>
      <c r="F753" s="2"/>
      <c r="G753" s="2"/>
      <c r="H753" s="2"/>
      <c r="I753" s="2"/>
      <c r="J753" s="2"/>
      <c r="K753" s="2"/>
      <c r="L753" s="2"/>
      <c r="M753" s="27"/>
      <c r="N753" s="26"/>
      <c r="O753" s="2"/>
      <c r="P753" s="24"/>
    </row>
    <row r="754" spans="1:16" ht="9.75" customHeight="1">
      <c r="A754" s="18"/>
      <c r="B754" s="18" t="s">
        <v>104</v>
      </c>
      <c r="C754" s="18"/>
      <c r="D754" s="26"/>
      <c r="E754" s="2"/>
      <c r="F754" s="2"/>
      <c r="G754" s="2"/>
      <c r="H754" s="2"/>
      <c r="I754" s="2"/>
      <c r="J754" s="2"/>
      <c r="K754" s="2"/>
      <c r="L754" s="2"/>
      <c r="M754" s="27"/>
      <c r="N754" s="26"/>
      <c r="O754" s="2"/>
      <c r="P754" s="24"/>
    </row>
    <row r="755" spans="1:16" ht="9.75" customHeight="1">
      <c r="A755" s="18"/>
      <c r="B755" s="18" t="s">
        <v>34</v>
      </c>
      <c r="C755" s="18">
        <v>2</v>
      </c>
      <c r="D755" s="115">
        <v>2</v>
      </c>
      <c r="E755" s="116">
        <v>2</v>
      </c>
      <c r="F755" s="116">
        <v>2</v>
      </c>
      <c r="G755" s="116">
        <v>2</v>
      </c>
      <c r="H755" s="116">
        <v>2</v>
      </c>
      <c r="I755" s="52">
        <v>2</v>
      </c>
      <c r="J755" s="52">
        <v>2</v>
      </c>
      <c r="K755" s="52">
        <v>2</v>
      </c>
      <c r="L755" s="52">
        <v>2</v>
      </c>
      <c r="M755" s="87">
        <v>2</v>
      </c>
      <c r="N755" s="26">
        <f>MIN(D755:M755)</f>
        <v>2</v>
      </c>
      <c r="O755" s="2">
        <f>C755-N755</f>
        <v>0</v>
      </c>
      <c r="P755" s="24">
        <f>O755/C755</f>
        <v>0</v>
      </c>
    </row>
    <row r="756" spans="1:16" ht="9.75" customHeight="1">
      <c r="A756" s="18"/>
      <c r="B756" s="18" t="s">
        <v>35</v>
      </c>
      <c r="C756" s="18"/>
      <c r="D756" s="26"/>
      <c r="E756" s="2"/>
      <c r="F756" s="2"/>
      <c r="G756" s="2"/>
      <c r="H756" s="2"/>
      <c r="I756" s="111"/>
      <c r="J756" s="111"/>
      <c r="K756" s="111"/>
      <c r="L756" s="111"/>
      <c r="M756" s="112"/>
      <c r="N756" s="26"/>
      <c r="O756" s="2"/>
      <c r="P756" s="24"/>
    </row>
    <row r="757" spans="1:16" ht="9.75" customHeight="1">
      <c r="A757" s="18"/>
      <c r="B757" s="18" t="s">
        <v>36</v>
      </c>
      <c r="C757" s="18"/>
      <c r="D757" s="26"/>
      <c r="E757" s="2"/>
      <c r="F757" s="2"/>
      <c r="G757" s="2"/>
      <c r="H757" s="2"/>
      <c r="I757" s="111"/>
      <c r="J757" s="111"/>
      <c r="K757" s="111"/>
      <c r="L757" s="111"/>
      <c r="M757" s="112"/>
      <c r="N757" s="26"/>
      <c r="O757" s="2"/>
      <c r="P757" s="24"/>
    </row>
    <row r="758" spans="1:16" ht="9.75" customHeight="1">
      <c r="A758" s="18"/>
      <c r="B758" s="18" t="s">
        <v>37</v>
      </c>
      <c r="C758" s="18">
        <v>2</v>
      </c>
      <c r="D758" s="115">
        <v>2</v>
      </c>
      <c r="E758" s="116">
        <v>2</v>
      </c>
      <c r="F758" s="116">
        <v>2</v>
      </c>
      <c r="G758" s="116">
        <v>2</v>
      </c>
      <c r="H758" s="116">
        <v>2</v>
      </c>
      <c r="I758" s="113">
        <v>2</v>
      </c>
      <c r="J758" s="113">
        <v>2</v>
      </c>
      <c r="K758" s="113">
        <v>1</v>
      </c>
      <c r="L758" s="113">
        <v>2</v>
      </c>
      <c r="M758" s="114">
        <v>2</v>
      </c>
      <c r="N758" s="26">
        <f t="shared" ref="N758:N759" si="146">MIN(D758:M758)</f>
        <v>1</v>
      </c>
      <c r="O758" s="2">
        <f t="shared" ref="O758:O759" si="147">C758-N758</f>
        <v>1</v>
      </c>
      <c r="P758" s="24">
        <f t="shared" ref="P758:P759" si="148">O758/C758</f>
        <v>0.5</v>
      </c>
    </row>
    <row r="759" spans="1:16" ht="9.75" customHeight="1">
      <c r="A759" s="32"/>
      <c r="B759" s="33" t="s">
        <v>38</v>
      </c>
      <c r="C759" s="33">
        <f t="shared" ref="C759:M759" si="149">SUM(C743:C758)</f>
        <v>4</v>
      </c>
      <c r="D759" s="70">
        <f t="shared" si="149"/>
        <v>4</v>
      </c>
      <c r="E759" s="71">
        <f t="shared" si="149"/>
        <v>4</v>
      </c>
      <c r="F759" s="71">
        <f t="shared" si="149"/>
        <v>4</v>
      </c>
      <c r="G759" s="71">
        <f t="shared" si="149"/>
        <v>4</v>
      </c>
      <c r="H759" s="71">
        <f t="shared" si="149"/>
        <v>4</v>
      </c>
      <c r="I759" s="71">
        <f t="shared" si="149"/>
        <v>4</v>
      </c>
      <c r="J759" s="71">
        <f t="shared" si="149"/>
        <v>4</v>
      </c>
      <c r="K759" s="71">
        <f t="shared" si="149"/>
        <v>3</v>
      </c>
      <c r="L759" s="71">
        <f t="shared" si="149"/>
        <v>4</v>
      </c>
      <c r="M759" s="93">
        <f t="shared" si="149"/>
        <v>4</v>
      </c>
      <c r="N759" s="70">
        <f t="shared" si="146"/>
        <v>3</v>
      </c>
      <c r="O759" s="71">
        <f t="shared" si="147"/>
        <v>1</v>
      </c>
      <c r="P759" s="40">
        <f t="shared" si="148"/>
        <v>0.25</v>
      </c>
    </row>
    <row r="760" spans="1:16" ht="9.75" customHeight="1">
      <c r="A760" s="66" t="s">
        <v>185</v>
      </c>
      <c r="B760" s="160" t="s">
        <v>23</v>
      </c>
      <c r="C760" s="66"/>
      <c r="D760" s="41"/>
      <c r="E760" s="72"/>
      <c r="F760" s="72"/>
      <c r="G760" s="72"/>
      <c r="H760" s="72"/>
      <c r="I760" s="72"/>
      <c r="J760" s="72"/>
      <c r="K760" s="72"/>
      <c r="L760" s="72"/>
      <c r="M760" s="73"/>
      <c r="N760" s="41"/>
      <c r="O760" s="72"/>
      <c r="P760" s="99"/>
    </row>
    <row r="761" spans="1:16" ht="9.75" customHeight="1">
      <c r="A761" s="18"/>
      <c r="B761" s="18" t="s">
        <v>25</v>
      </c>
      <c r="C761" s="18"/>
      <c r="D761" s="26"/>
      <c r="E761" s="2"/>
      <c r="F761" s="2"/>
      <c r="G761" s="2"/>
      <c r="H761" s="2"/>
      <c r="I761" s="2"/>
      <c r="J761" s="2"/>
      <c r="K761" s="2"/>
      <c r="L761" s="2"/>
      <c r="M761" s="27"/>
      <c r="N761" s="26"/>
      <c r="O761" s="2"/>
      <c r="P761" s="24"/>
    </row>
    <row r="762" spans="1:16" ht="9.75" customHeight="1">
      <c r="A762" s="18"/>
      <c r="B762" s="18" t="s">
        <v>27</v>
      </c>
      <c r="C762" s="18"/>
      <c r="D762" s="26"/>
      <c r="E762" s="2"/>
      <c r="F762" s="2"/>
      <c r="G762" s="2"/>
      <c r="H762" s="2"/>
      <c r="I762" s="52"/>
      <c r="J762" s="52"/>
      <c r="K762" s="52"/>
      <c r="L762" s="52"/>
      <c r="M762" s="87"/>
      <c r="N762" s="26"/>
      <c r="O762" s="2"/>
      <c r="P762" s="24"/>
    </row>
    <row r="763" spans="1:16" ht="9.75" customHeight="1">
      <c r="A763" s="18"/>
      <c r="B763" s="18" t="s">
        <v>29</v>
      </c>
      <c r="C763" s="18">
        <v>228</v>
      </c>
      <c r="D763" s="26">
        <f>228-5</f>
        <v>223</v>
      </c>
      <c r="E763" s="2">
        <f>C763-6</f>
        <v>222</v>
      </c>
      <c r="F763" s="2">
        <f>C763-4</f>
        <v>224</v>
      </c>
      <c r="G763" s="116">
        <v>224</v>
      </c>
      <c r="H763" s="116">
        <v>224</v>
      </c>
      <c r="I763" s="52">
        <v>225</v>
      </c>
      <c r="J763" s="52">
        <v>227</v>
      </c>
      <c r="K763" s="52">
        <v>227</v>
      </c>
      <c r="L763" s="52">
        <v>227</v>
      </c>
      <c r="M763" s="87">
        <v>227</v>
      </c>
      <c r="N763" s="26">
        <f>MIN(D763:M763)</f>
        <v>222</v>
      </c>
      <c r="O763" s="2">
        <f>C763-N763</f>
        <v>6</v>
      </c>
      <c r="P763" s="24">
        <f>O763/C763</f>
        <v>2.6315789473684209E-2</v>
      </c>
    </row>
    <row r="764" spans="1:16" ht="9.75" customHeight="1">
      <c r="A764" s="18"/>
      <c r="B764" s="18" t="s">
        <v>99</v>
      </c>
      <c r="C764" s="18"/>
      <c r="D764" s="26"/>
      <c r="E764" s="2"/>
      <c r="F764" s="2"/>
      <c r="G764" s="2"/>
      <c r="H764" s="2"/>
      <c r="I764" s="111"/>
      <c r="J764" s="111"/>
      <c r="K764" s="111"/>
      <c r="L764" s="111"/>
      <c r="M764" s="112"/>
      <c r="N764" s="26"/>
      <c r="O764" s="2"/>
      <c r="P764" s="24"/>
    </row>
    <row r="765" spans="1:16" ht="9.75" customHeight="1">
      <c r="A765" s="18"/>
      <c r="B765" s="18" t="s">
        <v>99</v>
      </c>
      <c r="C765" s="18"/>
      <c r="D765" s="26"/>
      <c r="E765" s="2"/>
      <c r="F765" s="2"/>
      <c r="G765" s="2"/>
      <c r="H765" s="2"/>
      <c r="I765" s="111"/>
      <c r="J765" s="111"/>
      <c r="K765" s="111"/>
      <c r="L765" s="111"/>
      <c r="M765" s="112"/>
      <c r="N765" s="26"/>
      <c r="O765" s="2"/>
      <c r="P765" s="24"/>
    </row>
    <row r="766" spans="1:16" ht="9.75" customHeight="1">
      <c r="A766" s="18"/>
      <c r="B766" s="18" t="s">
        <v>32</v>
      </c>
      <c r="C766" s="18"/>
      <c r="D766" s="26"/>
      <c r="E766" s="2"/>
      <c r="F766" s="2"/>
      <c r="G766" s="2"/>
      <c r="H766" s="2"/>
      <c r="I766" s="111"/>
      <c r="J766" s="111"/>
      <c r="K766" s="111"/>
      <c r="L766" s="111"/>
      <c r="M766" s="112"/>
      <c r="N766" s="26"/>
      <c r="O766" s="2"/>
      <c r="P766" s="24"/>
    </row>
    <row r="767" spans="1:16" ht="9.75" customHeight="1">
      <c r="A767" s="18"/>
      <c r="B767" s="18" t="s">
        <v>104</v>
      </c>
      <c r="C767" s="18"/>
      <c r="D767" s="26"/>
      <c r="E767" s="2"/>
      <c r="F767" s="2"/>
      <c r="G767" s="2"/>
      <c r="H767" s="2"/>
      <c r="I767" s="111"/>
      <c r="J767" s="111"/>
      <c r="K767" s="111"/>
      <c r="L767" s="111"/>
      <c r="M767" s="112"/>
      <c r="N767" s="26"/>
      <c r="O767" s="2"/>
      <c r="P767" s="24"/>
    </row>
    <row r="768" spans="1:16" ht="9.75" customHeight="1">
      <c r="A768" s="18"/>
      <c r="B768" s="18" t="s">
        <v>104</v>
      </c>
      <c r="C768" s="18"/>
      <c r="D768" s="26"/>
      <c r="E768" s="2"/>
      <c r="F768" s="2"/>
      <c r="G768" s="2"/>
      <c r="H768" s="2"/>
      <c r="I768" s="111"/>
      <c r="J768" s="111"/>
      <c r="K768" s="111"/>
      <c r="L768" s="111"/>
      <c r="M768" s="112"/>
      <c r="N768" s="26"/>
      <c r="O768" s="2"/>
      <c r="P768" s="24"/>
    </row>
    <row r="769" spans="1:16" ht="9.75" customHeight="1">
      <c r="A769" s="18"/>
      <c r="B769" s="18" t="s">
        <v>104</v>
      </c>
      <c r="C769" s="18"/>
      <c r="D769" s="26"/>
      <c r="E769" s="2"/>
      <c r="F769" s="2"/>
      <c r="G769" s="2"/>
      <c r="H769" s="2"/>
      <c r="I769" s="111"/>
      <c r="J769" s="111"/>
      <c r="K769" s="111"/>
      <c r="L769" s="111"/>
      <c r="M769" s="112"/>
      <c r="N769" s="26"/>
      <c r="O769" s="2"/>
      <c r="P769" s="24"/>
    </row>
    <row r="770" spans="1:16" ht="9.75" customHeight="1">
      <c r="A770" s="18"/>
      <c r="B770" s="18" t="s">
        <v>104</v>
      </c>
      <c r="C770" s="18"/>
      <c r="D770" s="26"/>
      <c r="E770" s="2"/>
      <c r="F770" s="2"/>
      <c r="G770" s="2"/>
      <c r="H770" s="2"/>
      <c r="I770" s="111"/>
      <c r="J770" s="111"/>
      <c r="K770" s="111"/>
      <c r="L770" s="111"/>
      <c r="M770" s="112"/>
      <c r="N770" s="26"/>
      <c r="O770" s="2"/>
      <c r="P770" s="24"/>
    </row>
    <row r="771" spans="1:16" ht="9.75" customHeight="1">
      <c r="A771" s="18"/>
      <c r="B771" s="18" t="s">
        <v>104</v>
      </c>
      <c r="C771" s="18"/>
      <c r="D771" s="26"/>
      <c r="E771" s="2"/>
      <c r="F771" s="2"/>
      <c r="G771" s="2"/>
      <c r="H771" s="2"/>
      <c r="I771" s="111"/>
      <c r="J771" s="111"/>
      <c r="K771" s="111"/>
      <c r="L771" s="111"/>
      <c r="M771" s="112"/>
      <c r="N771" s="26"/>
      <c r="O771" s="2"/>
      <c r="P771" s="24"/>
    </row>
    <row r="772" spans="1:16" ht="9.75" customHeight="1">
      <c r="A772" s="18"/>
      <c r="B772" s="18" t="s">
        <v>101</v>
      </c>
      <c r="C772" s="18">
        <v>2</v>
      </c>
      <c r="D772" s="115">
        <v>0</v>
      </c>
      <c r="E772" s="116">
        <v>0</v>
      </c>
      <c r="F772" s="116">
        <v>2</v>
      </c>
      <c r="G772" s="116">
        <v>2</v>
      </c>
      <c r="H772" s="116">
        <v>2</v>
      </c>
      <c r="I772" s="52">
        <v>0</v>
      </c>
      <c r="J772" s="52">
        <v>0</v>
      </c>
      <c r="K772" s="52">
        <v>0</v>
      </c>
      <c r="L772" s="52">
        <v>0</v>
      </c>
      <c r="M772" s="87">
        <v>0</v>
      </c>
      <c r="N772" s="26">
        <f>MIN(D772:M772)</f>
        <v>0</v>
      </c>
      <c r="O772" s="2">
        <f>C772-N772</f>
        <v>2</v>
      </c>
      <c r="P772" s="24">
        <f>O772/C772</f>
        <v>1</v>
      </c>
    </row>
    <row r="773" spans="1:16" ht="9.75" customHeight="1">
      <c r="A773" s="18"/>
      <c r="B773" s="18" t="s">
        <v>34</v>
      </c>
      <c r="C773" s="18"/>
      <c r="D773" s="26"/>
      <c r="E773" s="2"/>
      <c r="F773" s="2"/>
      <c r="G773" s="2"/>
      <c r="H773" s="2"/>
      <c r="I773" s="111"/>
      <c r="J773" s="111"/>
      <c r="K773" s="111"/>
      <c r="L773" s="111"/>
      <c r="M773" s="112"/>
      <c r="N773" s="26"/>
      <c r="O773" s="2"/>
      <c r="P773" s="24"/>
    </row>
    <row r="774" spans="1:16" ht="9.75" customHeight="1">
      <c r="A774" s="18"/>
      <c r="B774" s="18" t="s">
        <v>35</v>
      </c>
      <c r="C774" s="18">
        <v>6</v>
      </c>
      <c r="D774" s="115">
        <v>1</v>
      </c>
      <c r="E774" s="116">
        <v>1</v>
      </c>
      <c r="F774" s="116">
        <v>4</v>
      </c>
      <c r="G774" s="116">
        <v>4</v>
      </c>
      <c r="H774" s="116">
        <v>4</v>
      </c>
      <c r="I774" s="52">
        <v>3</v>
      </c>
      <c r="J774" s="52">
        <v>3</v>
      </c>
      <c r="K774" s="52">
        <v>3</v>
      </c>
      <c r="L774" s="52">
        <v>3</v>
      </c>
      <c r="M774" s="87">
        <v>3</v>
      </c>
      <c r="N774" s="26">
        <f>MIN(D774:M774)</f>
        <v>1</v>
      </c>
      <c r="O774" s="2">
        <f>C774-N774</f>
        <v>5</v>
      </c>
      <c r="P774" s="24">
        <f>O774/C774</f>
        <v>0.83333333333333337</v>
      </c>
    </row>
    <row r="775" spans="1:16" ht="9.75" customHeight="1">
      <c r="A775" s="18"/>
      <c r="B775" s="18" t="s">
        <v>36</v>
      </c>
      <c r="C775" s="18"/>
      <c r="D775" s="26"/>
      <c r="E775" s="2"/>
      <c r="F775" s="2"/>
      <c r="G775" s="2"/>
      <c r="H775" s="2"/>
      <c r="I775" s="2"/>
      <c r="J775" s="2"/>
      <c r="K775" s="2"/>
      <c r="L775" s="2"/>
      <c r="M775" s="27"/>
      <c r="N775" s="26"/>
      <c r="O775" s="2"/>
      <c r="P775" s="24"/>
    </row>
    <row r="776" spans="1:16" ht="9.75" customHeight="1">
      <c r="A776" s="18"/>
      <c r="B776" s="18" t="s">
        <v>37</v>
      </c>
      <c r="C776" s="18"/>
      <c r="D776" s="26"/>
      <c r="E776" s="2"/>
      <c r="F776" s="2"/>
      <c r="G776" s="2"/>
      <c r="H776" s="2"/>
      <c r="I776" s="2"/>
      <c r="J776" s="2"/>
      <c r="K776" s="2"/>
      <c r="L776" s="2"/>
      <c r="M776" s="27"/>
      <c r="N776" s="26"/>
      <c r="O776" s="2"/>
      <c r="P776" s="24"/>
    </row>
    <row r="777" spans="1:16" ht="9.75" customHeight="1">
      <c r="A777" s="32"/>
      <c r="B777" s="33" t="s">
        <v>38</v>
      </c>
      <c r="C777" s="33">
        <f t="shared" ref="C777:M777" si="150">SUM(C760:C776)</f>
        <v>236</v>
      </c>
      <c r="D777" s="70">
        <f t="shared" si="150"/>
        <v>224</v>
      </c>
      <c r="E777" s="71">
        <f t="shared" si="150"/>
        <v>223</v>
      </c>
      <c r="F777" s="71">
        <f t="shared" si="150"/>
        <v>230</v>
      </c>
      <c r="G777" s="71">
        <f t="shared" si="150"/>
        <v>230</v>
      </c>
      <c r="H777" s="71">
        <f t="shared" si="150"/>
        <v>230</v>
      </c>
      <c r="I777" s="71">
        <f t="shared" si="150"/>
        <v>228</v>
      </c>
      <c r="J777" s="71">
        <f t="shared" si="150"/>
        <v>230</v>
      </c>
      <c r="K777" s="71">
        <f t="shared" si="150"/>
        <v>230</v>
      </c>
      <c r="L777" s="71">
        <f t="shared" si="150"/>
        <v>230</v>
      </c>
      <c r="M777" s="93">
        <f t="shared" si="150"/>
        <v>230</v>
      </c>
      <c r="N777" s="70">
        <f>MIN(D777:M777)</f>
        <v>223</v>
      </c>
      <c r="O777" s="71">
        <f>C777-N777</f>
        <v>13</v>
      </c>
      <c r="P777" s="40">
        <f>O777/C777</f>
        <v>5.5084745762711863E-2</v>
      </c>
    </row>
    <row r="778" spans="1:16" ht="9.75" customHeight="1">
      <c r="A778" s="66" t="s">
        <v>186</v>
      </c>
      <c r="B778" s="66" t="s">
        <v>23</v>
      </c>
      <c r="C778" s="66"/>
      <c r="D778" s="41"/>
      <c r="E778" s="72"/>
      <c r="F778" s="72"/>
      <c r="G778" s="72"/>
      <c r="H778" s="72"/>
      <c r="I778" s="72"/>
      <c r="J778" s="72"/>
      <c r="K778" s="72"/>
      <c r="L778" s="72"/>
      <c r="M778" s="73"/>
      <c r="N778" s="41"/>
      <c r="O778" s="72"/>
      <c r="P778" s="99"/>
    </row>
    <row r="779" spans="1:16" ht="9.75" customHeight="1">
      <c r="A779" s="18"/>
      <c r="B779" s="18" t="s">
        <v>25</v>
      </c>
      <c r="C779" s="18">
        <v>95</v>
      </c>
      <c r="D779" s="115">
        <v>45</v>
      </c>
      <c r="E779" s="2">
        <f>95-37</f>
        <v>58</v>
      </c>
      <c r="F779" s="2">
        <f>95-43</f>
        <v>52</v>
      </c>
      <c r="G779" s="2">
        <f>C779-45</f>
        <v>50</v>
      </c>
      <c r="H779" s="2">
        <f>C779-50</f>
        <v>45</v>
      </c>
      <c r="I779" s="2">
        <f>C779-47</f>
        <v>48</v>
      </c>
      <c r="J779" s="2">
        <f>C779-41</f>
        <v>54</v>
      </c>
      <c r="K779" s="2">
        <f>C779-25</f>
        <v>70</v>
      </c>
      <c r="L779" s="2">
        <f>C779-14</f>
        <v>81</v>
      </c>
      <c r="M779" s="27">
        <f>C779-11</f>
        <v>84</v>
      </c>
      <c r="N779" s="26">
        <f>MIN(D779:M779)</f>
        <v>45</v>
      </c>
      <c r="O779" s="2">
        <f>C779-N779</f>
        <v>50</v>
      </c>
      <c r="P779" s="24">
        <f>O779/C779</f>
        <v>0.52631578947368418</v>
      </c>
    </row>
    <row r="780" spans="1:16" ht="9.75" customHeight="1">
      <c r="A780" s="18"/>
      <c r="B780" s="18" t="s">
        <v>27</v>
      </c>
      <c r="C780" s="18"/>
      <c r="D780" s="26"/>
      <c r="E780" s="2"/>
      <c r="F780" s="2"/>
      <c r="G780" s="2"/>
      <c r="H780" s="2"/>
      <c r="I780" s="52"/>
      <c r="J780" s="52"/>
      <c r="K780" s="52"/>
      <c r="L780" s="52"/>
      <c r="M780" s="87"/>
      <c r="N780" s="26"/>
      <c r="O780" s="2"/>
      <c r="P780" s="24"/>
    </row>
    <row r="781" spans="1:16" ht="9.75" customHeight="1">
      <c r="A781" s="18"/>
      <c r="B781" s="18" t="s">
        <v>99</v>
      </c>
      <c r="C781" s="18"/>
      <c r="D781" s="26"/>
      <c r="E781" s="2"/>
      <c r="F781" s="2"/>
      <c r="G781" s="2"/>
      <c r="H781" s="2"/>
      <c r="I781" s="111"/>
      <c r="J781" s="111"/>
      <c r="K781" s="111"/>
      <c r="L781" s="111"/>
      <c r="M781" s="112"/>
      <c r="N781" s="26"/>
      <c r="O781" s="2"/>
      <c r="P781" s="24"/>
    </row>
    <row r="782" spans="1:16" ht="9.75" customHeight="1">
      <c r="A782" s="18"/>
      <c r="B782" s="18" t="s">
        <v>99</v>
      </c>
      <c r="C782" s="18"/>
      <c r="D782" s="26"/>
      <c r="E782" s="2"/>
      <c r="F782" s="2"/>
      <c r="G782" s="2"/>
      <c r="H782" s="2"/>
      <c r="I782" s="111"/>
      <c r="J782" s="111"/>
      <c r="K782" s="111"/>
      <c r="L782" s="111"/>
      <c r="M782" s="112"/>
      <c r="N782" s="26"/>
      <c r="O782" s="2"/>
      <c r="P782" s="24"/>
    </row>
    <row r="783" spans="1:16" ht="9.75" customHeight="1">
      <c r="A783" s="18"/>
      <c r="B783" s="18" t="s">
        <v>32</v>
      </c>
      <c r="C783" s="18">
        <v>10</v>
      </c>
      <c r="D783" s="115">
        <v>10</v>
      </c>
      <c r="E783" s="116">
        <v>10</v>
      </c>
      <c r="F783" s="116">
        <v>10</v>
      </c>
      <c r="G783" s="116">
        <v>10</v>
      </c>
      <c r="H783" s="116">
        <v>10</v>
      </c>
      <c r="I783" s="137">
        <v>10</v>
      </c>
      <c r="J783" s="52">
        <v>10</v>
      </c>
      <c r="K783" s="52">
        <v>10</v>
      </c>
      <c r="L783" s="52">
        <v>10</v>
      </c>
      <c r="M783" s="87">
        <v>10</v>
      </c>
      <c r="N783" s="26">
        <f t="shared" ref="N783:N785" si="151">MIN(D783:M783)</f>
        <v>10</v>
      </c>
      <c r="O783" s="2">
        <f t="shared" ref="O783:O785" si="152">C783-N783</f>
        <v>0</v>
      </c>
      <c r="P783" s="24">
        <f t="shared" ref="P783:P785" si="153">O783/C783</f>
        <v>0</v>
      </c>
    </row>
    <row r="784" spans="1:16" ht="9.75" customHeight="1">
      <c r="A784" s="18"/>
      <c r="B784" s="18" t="s">
        <v>187</v>
      </c>
      <c r="C784" s="18">
        <v>1</v>
      </c>
      <c r="D784" s="115">
        <v>1</v>
      </c>
      <c r="E784" s="116">
        <v>1</v>
      </c>
      <c r="F784" s="116">
        <v>1</v>
      </c>
      <c r="G784" s="116">
        <v>1</v>
      </c>
      <c r="H784" s="116">
        <v>1</v>
      </c>
      <c r="I784" s="52">
        <v>1</v>
      </c>
      <c r="J784" s="52">
        <v>1</v>
      </c>
      <c r="K784" s="52">
        <v>1</v>
      </c>
      <c r="L784" s="52">
        <v>1</v>
      </c>
      <c r="M784" s="87">
        <v>1</v>
      </c>
      <c r="N784" s="26">
        <f t="shared" si="151"/>
        <v>1</v>
      </c>
      <c r="O784" s="2">
        <f t="shared" si="152"/>
        <v>0</v>
      </c>
      <c r="P784" s="24">
        <f t="shared" si="153"/>
        <v>0</v>
      </c>
    </row>
    <row r="785" spans="1:16" ht="9.75" customHeight="1">
      <c r="A785" s="18"/>
      <c r="B785" s="18" t="s">
        <v>102</v>
      </c>
      <c r="C785" s="18">
        <v>10</v>
      </c>
      <c r="D785" s="115">
        <v>9</v>
      </c>
      <c r="E785" s="116">
        <v>8</v>
      </c>
      <c r="F785" s="116">
        <v>7</v>
      </c>
      <c r="G785" s="116">
        <v>5</v>
      </c>
      <c r="H785" s="116">
        <v>5</v>
      </c>
      <c r="I785" s="52">
        <v>4</v>
      </c>
      <c r="J785" s="52">
        <v>7</v>
      </c>
      <c r="K785" s="52">
        <v>7</v>
      </c>
      <c r="L785" s="52">
        <v>8</v>
      </c>
      <c r="M785" s="87">
        <v>8</v>
      </c>
      <c r="N785" s="26">
        <f t="shared" si="151"/>
        <v>4</v>
      </c>
      <c r="O785" s="2">
        <f t="shared" si="152"/>
        <v>6</v>
      </c>
      <c r="P785" s="24">
        <f t="shared" si="153"/>
        <v>0.6</v>
      </c>
    </row>
    <row r="786" spans="1:16" ht="9.75" customHeight="1">
      <c r="A786" s="18"/>
      <c r="B786" s="18" t="s">
        <v>188</v>
      </c>
      <c r="C786" s="18"/>
      <c r="D786" s="26"/>
      <c r="E786" s="2"/>
      <c r="F786" s="2"/>
      <c r="G786" s="2"/>
      <c r="H786" s="2"/>
      <c r="I786" s="111"/>
      <c r="J786" s="111"/>
      <c r="K786" s="111"/>
      <c r="L786" s="111"/>
      <c r="M786" s="112"/>
      <c r="N786" s="26"/>
      <c r="O786" s="2"/>
      <c r="P786" s="24"/>
    </row>
    <row r="787" spans="1:16" ht="9.75" customHeight="1">
      <c r="A787" s="18"/>
      <c r="B787" s="18" t="s">
        <v>189</v>
      </c>
      <c r="C787" s="18">
        <v>3</v>
      </c>
      <c r="D787" s="115">
        <v>3</v>
      </c>
      <c r="E787" s="116">
        <v>3</v>
      </c>
      <c r="F787" s="116">
        <v>3</v>
      </c>
      <c r="G787" s="116">
        <v>3</v>
      </c>
      <c r="H787" s="116">
        <v>3</v>
      </c>
      <c r="I787" s="52">
        <v>3</v>
      </c>
      <c r="J787" s="52">
        <v>3</v>
      </c>
      <c r="K787" s="52">
        <v>3</v>
      </c>
      <c r="L787" s="52">
        <v>3</v>
      </c>
      <c r="M787" s="87">
        <v>3</v>
      </c>
      <c r="N787" s="26">
        <f>MIN(D787:M787)</f>
        <v>3</v>
      </c>
      <c r="O787" s="2">
        <f>C787-N787</f>
        <v>0</v>
      </c>
      <c r="P787" s="24">
        <f>O787/C787</f>
        <v>0</v>
      </c>
    </row>
    <row r="788" spans="1:16" ht="9.75" customHeight="1">
      <c r="A788" s="18"/>
      <c r="B788" s="18" t="s">
        <v>141</v>
      </c>
      <c r="C788" s="18">
        <v>63</v>
      </c>
      <c r="D788" s="26">
        <f>63-17</f>
        <v>46</v>
      </c>
      <c r="E788" s="116">
        <v>46</v>
      </c>
      <c r="F788" s="116">
        <v>46</v>
      </c>
      <c r="G788" s="116">
        <v>46</v>
      </c>
      <c r="H788" s="116">
        <v>46</v>
      </c>
      <c r="I788" s="52">
        <f>C788-12</f>
        <v>51</v>
      </c>
      <c r="J788" s="52">
        <f>C788-11</f>
        <v>52</v>
      </c>
      <c r="K788" s="52">
        <f>C788-8</f>
        <v>55</v>
      </c>
      <c r="L788" s="52">
        <v>58</v>
      </c>
      <c r="M788" s="87">
        <v>57</v>
      </c>
      <c r="N788" s="26"/>
      <c r="O788" s="2"/>
      <c r="P788" s="24"/>
    </row>
    <row r="789" spans="1:16" ht="9.75" customHeight="1">
      <c r="A789" s="18"/>
      <c r="B789" s="18" t="s">
        <v>104</v>
      </c>
      <c r="C789" s="18"/>
      <c r="D789" s="26"/>
      <c r="E789" s="2"/>
      <c r="F789" s="2"/>
      <c r="G789" s="2"/>
      <c r="H789" s="2"/>
      <c r="I789" s="111"/>
      <c r="J789" s="111"/>
      <c r="K789" s="111"/>
      <c r="L789" s="111"/>
      <c r="M789" s="112"/>
      <c r="N789" s="26"/>
      <c r="O789" s="2"/>
      <c r="P789" s="24"/>
    </row>
    <row r="790" spans="1:16" ht="9.75" customHeight="1">
      <c r="A790" s="18"/>
      <c r="B790" s="18" t="s">
        <v>34</v>
      </c>
      <c r="C790" s="18">
        <v>5</v>
      </c>
      <c r="D790" s="115">
        <v>4</v>
      </c>
      <c r="E790" s="116">
        <v>4</v>
      </c>
      <c r="F790" s="116">
        <v>4</v>
      </c>
      <c r="G790" s="116">
        <v>4</v>
      </c>
      <c r="H790" s="116">
        <v>4</v>
      </c>
      <c r="I790" s="52">
        <v>5</v>
      </c>
      <c r="J790" s="52">
        <v>4</v>
      </c>
      <c r="K790" s="52">
        <v>4</v>
      </c>
      <c r="L790" s="52">
        <v>4</v>
      </c>
      <c r="M790" s="87">
        <v>4</v>
      </c>
      <c r="N790" s="26">
        <f>MIN(D790:M790)</f>
        <v>4</v>
      </c>
      <c r="O790" s="2">
        <f>C790-N790</f>
        <v>1</v>
      </c>
      <c r="P790" s="24">
        <f>O790/C790</f>
        <v>0.2</v>
      </c>
    </row>
    <row r="791" spans="1:16" ht="9.75" customHeight="1">
      <c r="A791" s="18"/>
      <c r="B791" s="18" t="s">
        <v>35</v>
      </c>
      <c r="C791" s="18"/>
      <c r="D791" s="26"/>
      <c r="E791" s="2"/>
      <c r="F791" s="2"/>
      <c r="G791" s="2"/>
      <c r="H791" s="2"/>
      <c r="I791" s="2"/>
      <c r="J791" s="2"/>
      <c r="K791" s="2"/>
      <c r="L791" s="2"/>
      <c r="M791" s="27"/>
      <c r="N791" s="26"/>
      <c r="O791" s="2"/>
      <c r="P791" s="24"/>
    </row>
    <row r="792" spans="1:16" ht="9.75" customHeight="1">
      <c r="A792" s="18"/>
      <c r="B792" s="18" t="s">
        <v>36</v>
      </c>
      <c r="C792" s="18"/>
      <c r="D792" s="26"/>
      <c r="E792" s="2"/>
      <c r="F792" s="2"/>
      <c r="G792" s="2"/>
      <c r="H792" s="2"/>
      <c r="I792" s="2"/>
      <c r="J792" s="2"/>
      <c r="K792" s="2"/>
      <c r="L792" s="2"/>
      <c r="M792" s="27"/>
      <c r="N792" s="26"/>
      <c r="O792" s="2"/>
      <c r="P792" s="24"/>
    </row>
    <row r="793" spans="1:16" ht="9.75" customHeight="1">
      <c r="A793" s="18"/>
      <c r="B793" s="18" t="s">
        <v>37</v>
      </c>
      <c r="C793" s="18"/>
      <c r="D793" s="26"/>
      <c r="E793" s="2"/>
      <c r="F793" s="2"/>
      <c r="G793" s="2"/>
      <c r="H793" s="2"/>
      <c r="I793" s="2"/>
      <c r="J793" s="2"/>
      <c r="K793" s="2"/>
      <c r="L793" s="2"/>
      <c r="M793" s="27"/>
      <c r="N793" s="26"/>
      <c r="O793" s="2"/>
      <c r="P793" s="24"/>
    </row>
    <row r="794" spans="1:16" ht="9.75" customHeight="1">
      <c r="A794" s="32"/>
      <c r="B794" s="33" t="s">
        <v>38</v>
      </c>
      <c r="C794" s="33">
        <f t="shared" ref="C794:M794" si="154">SUM(C778:C793)</f>
        <v>187</v>
      </c>
      <c r="D794" s="70">
        <f t="shared" si="154"/>
        <v>118</v>
      </c>
      <c r="E794" s="71">
        <f t="shared" si="154"/>
        <v>130</v>
      </c>
      <c r="F794" s="71">
        <f t="shared" si="154"/>
        <v>123</v>
      </c>
      <c r="G794" s="71">
        <f t="shared" si="154"/>
        <v>119</v>
      </c>
      <c r="H794" s="71">
        <f t="shared" si="154"/>
        <v>114</v>
      </c>
      <c r="I794" s="71">
        <f t="shared" si="154"/>
        <v>122</v>
      </c>
      <c r="J794" s="71">
        <f t="shared" si="154"/>
        <v>131</v>
      </c>
      <c r="K794" s="71">
        <f t="shared" si="154"/>
        <v>150</v>
      </c>
      <c r="L794" s="71">
        <f t="shared" si="154"/>
        <v>165</v>
      </c>
      <c r="M794" s="93">
        <f t="shared" si="154"/>
        <v>167</v>
      </c>
      <c r="N794" s="70">
        <f>MIN(D794:M794)</f>
        <v>114</v>
      </c>
      <c r="O794" s="71">
        <f>C794-N794</f>
        <v>73</v>
      </c>
      <c r="P794" s="40">
        <f>O794/C794</f>
        <v>0.39037433155080214</v>
      </c>
    </row>
    <row r="795" spans="1:16" ht="9.75" customHeight="1">
      <c r="A795" s="66" t="s">
        <v>190</v>
      </c>
      <c r="B795" s="66" t="s">
        <v>23</v>
      </c>
      <c r="C795" s="66"/>
      <c r="D795" s="41"/>
      <c r="E795" s="72"/>
      <c r="F795" s="72"/>
      <c r="G795" s="72"/>
      <c r="H795" s="72"/>
      <c r="I795" s="72"/>
      <c r="J795" s="72"/>
      <c r="K795" s="72"/>
      <c r="L795" s="72"/>
      <c r="M795" s="73"/>
      <c r="N795" s="41"/>
      <c r="O795" s="72"/>
      <c r="P795" s="99"/>
    </row>
    <row r="796" spans="1:16" ht="9.75" customHeight="1">
      <c r="A796" s="18"/>
      <c r="B796" s="18" t="s">
        <v>25</v>
      </c>
      <c r="C796" s="18">
        <v>197</v>
      </c>
      <c r="D796" s="115">
        <f>C796-10</f>
        <v>187</v>
      </c>
      <c r="E796" s="116">
        <f>C796-11</f>
        <v>186</v>
      </c>
      <c r="F796" s="116">
        <f>C796-12</f>
        <v>185</v>
      </c>
      <c r="G796" s="2">
        <f>C796-17</f>
        <v>180</v>
      </c>
      <c r="H796" s="2">
        <f>C796-20</f>
        <v>177</v>
      </c>
      <c r="I796" s="2">
        <f>C796-12</f>
        <v>185</v>
      </c>
      <c r="J796" s="2">
        <f>C796-11</f>
        <v>186</v>
      </c>
      <c r="K796" s="2">
        <f>C796-9</f>
        <v>188</v>
      </c>
      <c r="L796" s="2">
        <v>192</v>
      </c>
      <c r="M796" s="27">
        <v>193</v>
      </c>
      <c r="N796" s="26">
        <f>MIN(D796:M796)</f>
        <v>177</v>
      </c>
      <c r="O796" s="2">
        <f>C796-N796</f>
        <v>20</v>
      </c>
      <c r="P796" s="24">
        <f>O796/C796</f>
        <v>0.10152284263959391</v>
      </c>
    </row>
    <row r="797" spans="1:16" ht="9.75" customHeight="1">
      <c r="A797" s="18"/>
      <c r="B797" s="18" t="s">
        <v>27</v>
      </c>
      <c r="C797" s="18"/>
      <c r="D797" s="26"/>
      <c r="E797" s="2"/>
      <c r="F797" s="2"/>
      <c r="G797" s="2"/>
      <c r="H797" s="2"/>
      <c r="I797" s="2"/>
      <c r="J797" s="2"/>
      <c r="K797" s="2"/>
      <c r="L797" s="2"/>
      <c r="M797" s="27"/>
      <c r="N797" s="26"/>
      <c r="O797" s="2"/>
      <c r="P797" s="24"/>
    </row>
    <row r="798" spans="1:16" ht="9.75" customHeight="1">
      <c r="A798" s="18"/>
      <c r="B798" s="18" t="s">
        <v>99</v>
      </c>
      <c r="C798" s="18"/>
      <c r="D798" s="26"/>
      <c r="E798" s="2"/>
      <c r="F798" s="2"/>
      <c r="G798" s="2"/>
      <c r="H798" s="2"/>
      <c r="I798" s="2"/>
      <c r="J798" s="2"/>
      <c r="K798" s="2"/>
      <c r="L798" s="2"/>
      <c r="M798" s="27"/>
      <c r="N798" s="26"/>
      <c r="O798" s="2"/>
      <c r="P798" s="24"/>
    </row>
    <row r="799" spans="1:16" ht="9.75" customHeight="1">
      <c r="A799" s="18"/>
      <c r="B799" s="18" t="s">
        <v>99</v>
      </c>
      <c r="C799" s="18"/>
      <c r="D799" s="26"/>
      <c r="E799" s="2"/>
      <c r="F799" s="2"/>
      <c r="G799" s="2"/>
      <c r="H799" s="2"/>
      <c r="I799" s="2"/>
      <c r="J799" s="2"/>
      <c r="K799" s="2"/>
      <c r="L799" s="2"/>
      <c r="M799" s="27"/>
      <c r="N799" s="26"/>
      <c r="O799" s="2"/>
      <c r="P799" s="24"/>
    </row>
    <row r="800" spans="1:16" ht="9.75" customHeight="1">
      <c r="A800" s="18"/>
      <c r="B800" s="18" t="s">
        <v>32</v>
      </c>
      <c r="C800" s="18"/>
      <c r="D800" s="26"/>
      <c r="E800" s="2"/>
      <c r="F800" s="2"/>
      <c r="G800" s="2"/>
      <c r="H800" s="2"/>
      <c r="I800" s="2"/>
      <c r="J800" s="2"/>
      <c r="K800" s="2"/>
      <c r="L800" s="2"/>
      <c r="M800" s="27"/>
      <c r="N800" s="26"/>
      <c r="O800" s="2"/>
      <c r="P800" s="24"/>
    </row>
    <row r="801" spans="1:16" ht="9.75" customHeight="1">
      <c r="A801" s="18"/>
      <c r="B801" s="18" t="s">
        <v>102</v>
      </c>
      <c r="C801" s="18"/>
      <c r="D801" s="26"/>
      <c r="E801" s="2"/>
      <c r="F801" s="2"/>
      <c r="G801" s="2"/>
      <c r="H801" s="2"/>
      <c r="I801" s="2"/>
      <c r="J801" s="2"/>
      <c r="K801" s="2"/>
      <c r="L801" s="2"/>
      <c r="M801" s="27"/>
      <c r="N801" s="26"/>
      <c r="O801" s="2"/>
      <c r="P801" s="24"/>
    </row>
    <row r="802" spans="1:16" ht="9.75" customHeight="1">
      <c r="A802" s="18"/>
      <c r="B802" s="18" t="s">
        <v>141</v>
      </c>
      <c r="C802" s="18">
        <v>15</v>
      </c>
      <c r="D802" s="161">
        <v>15</v>
      </c>
      <c r="E802" s="137">
        <v>15</v>
      </c>
      <c r="F802" s="137">
        <v>15</v>
      </c>
      <c r="G802" s="137">
        <v>15</v>
      </c>
      <c r="H802" s="137">
        <v>15</v>
      </c>
      <c r="I802" s="2">
        <v>15</v>
      </c>
      <c r="J802" s="2">
        <v>15</v>
      </c>
      <c r="K802" s="2">
        <v>15</v>
      </c>
      <c r="L802" s="2">
        <v>15</v>
      </c>
      <c r="M802" s="27">
        <v>15</v>
      </c>
      <c r="N802" s="19">
        <f>MIN(D802:M802)</f>
        <v>15</v>
      </c>
      <c r="O802" s="23">
        <f>C802-N802</f>
        <v>0</v>
      </c>
      <c r="P802" s="24">
        <f>O802/C802</f>
        <v>0</v>
      </c>
    </row>
    <row r="803" spans="1:16" ht="9.75" customHeight="1">
      <c r="A803" s="18"/>
      <c r="B803" s="18" t="s">
        <v>104</v>
      </c>
      <c r="C803" s="18"/>
      <c r="D803" s="26"/>
      <c r="E803" s="2"/>
      <c r="F803" s="2"/>
      <c r="G803" s="2"/>
      <c r="H803" s="2"/>
      <c r="I803" s="2"/>
      <c r="J803" s="2"/>
      <c r="K803" s="2"/>
      <c r="L803" s="2"/>
      <c r="M803" s="27"/>
      <c r="N803" s="26"/>
      <c r="O803" s="2"/>
      <c r="P803" s="24"/>
    </row>
    <row r="804" spans="1:16" ht="9.75" customHeight="1">
      <c r="A804" s="18"/>
      <c r="B804" s="18" t="s">
        <v>104</v>
      </c>
      <c r="C804" s="18"/>
      <c r="D804" s="26"/>
      <c r="E804" s="2"/>
      <c r="F804" s="2"/>
      <c r="G804" s="2"/>
      <c r="H804" s="2"/>
      <c r="I804" s="2"/>
      <c r="J804" s="2"/>
      <c r="K804" s="2"/>
      <c r="L804" s="2"/>
      <c r="M804" s="27"/>
      <c r="N804" s="26"/>
      <c r="O804" s="2"/>
      <c r="P804" s="24"/>
    </row>
    <row r="805" spans="1:16" ht="9.75" customHeight="1">
      <c r="A805" s="18"/>
      <c r="B805" s="18" t="s">
        <v>104</v>
      </c>
      <c r="C805" s="18"/>
      <c r="D805" s="26"/>
      <c r="E805" s="2"/>
      <c r="F805" s="2"/>
      <c r="G805" s="2"/>
      <c r="H805" s="2"/>
      <c r="I805" s="2"/>
      <c r="J805" s="2"/>
      <c r="K805" s="2"/>
      <c r="L805" s="2"/>
      <c r="M805" s="27"/>
      <c r="N805" s="26"/>
      <c r="O805" s="2"/>
      <c r="P805" s="24"/>
    </row>
    <row r="806" spans="1:16" ht="9.75" customHeight="1">
      <c r="A806" s="18"/>
      <c r="B806" s="18" t="s">
        <v>104</v>
      </c>
      <c r="C806" s="18"/>
      <c r="D806" s="26"/>
      <c r="E806" s="2"/>
      <c r="F806" s="2"/>
      <c r="G806" s="2"/>
      <c r="H806" s="2"/>
      <c r="I806" s="2"/>
      <c r="J806" s="2"/>
      <c r="K806" s="2"/>
      <c r="L806" s="2"/>
      <c r="M806" s="27"/>
      <c r="N806" s="26"/>
      <c r="O806" s="2"/>
      <c r="P806" s="24"/>
    </row>
    <row r="807" spans="1:16" ht="9.75" customHeight="1">
      <c r="A807" s="18"/>
      <c r="B807" s="18" t="s">
        <v>34</v>
      </c>
      <c r="C807" s="18"/>
      <c r="D807" s="26"/>
      <c r="E807" s="2"/>
      <c r="F807" s="2"/>
      <c r="G807" s="2"/>
      <c r="H807" s="2"/>
      <c r="I807" s="2"/>
      <c r="J807" s="2"/>
      <c r="K807" s="2"/>
      <c r="L807" s="2"/>
      <c r="M807" s="27"/>
      <c r="N807" s="26"/>
      <c r="O807" s="2"/>
      <c r="P807" s="24"/>
    </row>
    <row r="808" spans="1:16" ht="9.75" customHeight="1">
      <c r="A808" s="18"/>
      <c r="B808" s="18" t="s">
        <v>35</v>
      </c>
      <c r="C808" s="18"/>
      <c r="D808" s="26"/>
      <c r="E808" s="2"/>
      <c r="F808" s="2"/>
      <c r="G808" s="2"/>
      <c r="H808" s="2"/>
      <c r="I808" s="2"/>
      <c r="J808" s="2"/>
      <c r="K808" s="2"/>
      <c r="L808" s="2"/>
      <c r="M808" s="27"/>
      <c r="N808" s="26"/>
      <c r="O808" s="2"/>
      <c r="P808" s="24"/>
    </row>
    <row r="809" spans="1:16" ht="9.75" customHeight="1">
      <c r="A809" s="18"/>
      <c r="B809" s="18" t="s">
        <v>36</v>
      </c>
      <c r="C809" s="18"/>
      <c r="D809" s="26"/>
      <c r="E809" s="2"/>
      <c r="F809" s="2"/>
      <c r="G809" s="2"/>
      <c r="H809" s="2"/>
      <c r="I809" s="2"/>
      <c r="J809" s="2"/>
      <c r="K809" s="2"/>
      <c r="L809" s="2"/>
      <c r="M809" s="27"/>
      <c r="N809" s="26"/>
      <c r="O809" s="2"/>
      <c r="P809" s="24"/>
    </row>
    <row r="810" spans="1:16" ht="9.75" customHeight="1">
      <c r="A810" s="18"/>
      <c r="B810" s="18" t="s">
        <v>37</v>
      </c>
      <c r="C810" s="18"/>
      <c r="D810" s="26"/>
      <c r="E810" s="2"/>
      <c r="F810" s="2"/>
      <c r="G810" s="2"/>
      <c r="H810" s="2"/>
      <c r="I810" s="2"/>
      <c r="J810" s="2"/>
      <c r="K810" s="2"/>
      <c r="L810" s="2"/>
      <c r="M810" s="27"/>
      <c r="N810" s="26"/>
      <c r="O810" s="2"/>
      <c r="P810" s="24"/>
    </row>
    <row r="811" spans="1:16" ht="9.75" customHeight="1">
      <c r="A811" s="32"/>
      <c r="B811" s="33" t="s">
        <v>38</v>
      </c>
      <c r="C811" s="33">
        <f t="shared" ref="C811:M811" si="155">SUM(C795:C810)</f>
        <v>212</v>
      </c>
      <c r="D811" s="70">
        <f t="shared" si="155"/>
        <v>202</v>
      </c>
      <c r="E811" s="71">
        <f t="shared" si="155"/>
        <v>201</v>
      </c>
      <c r="F811" s="71">
        <f t="shared" si="155"/>
        <v>200</v>
      </c>
      <c r="G811" s="71">
        <f t="shared" si="155"/>
        <v>195</v>
      </c>
      <c r="H811" s="71">
        <f t="shared" si="155"/>
        <v>192</v>
      </c>
      <c r="I811" s="71">
        <f t="shared" si="155"/>
        <v>200</v>
      </c>
      <c r="J811" s="71">
        <f t="shared" si="155"/>
        <v>201</v>
      </c>
      <c r="K811" s="71">
        <f t="shared" si="155"/>
        <v>203</v>
      </c>
      <c r="L811" s="71">
        <f t="shared" si="155"/>
        <v>207</v>
      </c>
      <c r="M811" s="93">
        <f t="shared" si="155"/>
        <v>208</v>
      </c>
      <c r="N811" s="70">
        <f>MIN(D811:M811)</f>
        <v>192</v>
      </c>
      <c r="O811" s="71">
        <f>C811-N811</f>
        <v>20</v>
      </c>
      <c r="P811" s="40">
        <f>O811/C811</f>
        <v>9.4339622641509441E-2</v>
      </c>
    </row>
    <row r="812" spans="1:16" ht="9.75" customHeight="1">
      <c r="A812" s="66" t="s">
        <v>191</v>
      </c>
      <c r="B812" s="160" t="s">
        <v>23</v>
      </c>
      <c r="C812" s="66"/>
      <c r="D812" s="41"/>
      <c r="E812" s="72"/>
      <c r="F812" s="72"/>
      <c r="G812" s="72"/>
      <c r="H812" s="72"/>
      <c r="I812" s="72"/>
      <c r="J812" s="72"/>
      <c r="K812" s="72"/>
      <c r="L812" s="72"/>
      <c r="M812" s="73"/>
      <c r="N812" s="41"/>
      <c r="O812" s="72"/>
      <c r="P812" s="99"/>
    </row>
    <row r="813" spans="1:16" ht="9.75" customHeight="1">
      <c r="A813" s="18"/>
      <c r="B813" s="18" t="s">
        <v>25</v>
      </c>
      <c r="C813" s="18">
        <v>209</v>
      </c>
      <c r="D813" s="26">
        <f>209-3</f>
        <v>206</v>
      </c>
      <c r="E813" s="2">
        <f>C813-5</f>
        <v>204</v>
      </c>
      <c r="F813" s="2">
        <f>C813-4</f>
        <v>205</v>
      </c>
      <c r="G813" s="2">
        <f>C813-5</f>
        <v>204</v>
      </c>
      <c r="H813" s="2">
        <f>C813-7</f>
        <v>202</v>
      </c>
      <c r="I813" s="2">
        <v>205</v>
      </c>
      <c r="J813" s="2">
        <v>204</v>
      </c>
      <c r="K813" s="2">
        <v>207</v>
      </c>
      <c r="L813" s="2">
        <v>207</v>
      </c>
      <c r="M813" s="27">
        <v>207</v>
      </c>
      <c r="N813" s="26">
        <f>MIN(D813:M813)</f>
        <v>202</v>
      </c>
      <c r="O813" s="2">
        <f>C813-N813</f>
        <v>7</v>
      </c>
      <c r="P813" s="24">
        <f>O813/C813</f>
        <v>3.3492822966507178E-2</v>
      </c>
    </row>
    <row r="814" spans="1:16" ht="9.75" customHeight="1">
      <c r="A814" s="18"/>
      <c r="B814" s="18" t="s">
        <v>27</v>
      </c>
      <c r="C814" s="18"/>
      <c r="D814" s="26"/>
      <c r="E814" s="2"/>
      <c r="F814" s="2"/>
      <c r="G814" s="2"/>
      <c r="H814" s="2"/>
      <c r="I814" s="2"/>
      <c r="J814" s="2"/>
      <c r="K814" s="2"/>
      <c r="L814" s="2"/>
      <c r="M814" s="27"/>
      <c r="N814" s="26"/>
      <c r="O814" s="2"/>
      <c r="P814" s="24"/>
    </row>
    <row r="815" spans="1:16" ht="9.75" customHeight="1">
      <c r="A815" s="18"/>
      <c r="B815" s="18" t="s">
        <v>99</v>
      </c>
      <c r="C815" s="18"/>
      <c r="D815" s="26"/>
      <c r="E815" s="2"/>
      <c r="F815" s="2"/>
      <c r="G815" s="2"/>
      <c r="H815" s="2"/>
      <c r="I815" s="2"/>
      <c r="J815" s="2"/>
      <c r="K815" s="2"/>
      <c r="L815" s="2"/>
      <c r="M815" s="27"/>
      <c r="N815" s="26"/>
      <c r="O815" s="2"/>
      <c r="P815" s="24"/>
    </row>
    <row r="816" spans="1:16" ht="9.75" customHeight="1">
      <c r="A816" s="18"/>
      <c r="B816" s="18" t="s">
        <v>99</v>
      </c>
      <c r="C816" s="18"/>
      <c r="D816" s="26"/>
      <c r="E816" s="2"/>
      <c r="F816" s="2"/>
      <c r="G816" s="2"/>
      <c r="H816" s="2"/>
      <c r="I816" s="2"/>
      <c r="J816" s="2"/>
      <c r="K816" s="2"/>
      <c r="L816" s="2"/>
      <c r="M816" s="27"/>
      <c r="N816" s="26"/>
      <c r="O816" s="2"/>
      <c r="P816" s="24"/>
    </row>
    <row r="817" spans="1:16" ht="9.75" customHeight="1">
      <c r="A817" s="18"/>
      <c r="B817" s="18" t="s">
        <v>32</v>
      </c>
      <c r="C817" s="18"/>
      <c r="D817" s="26"/>
      <c r="E817" s="2"/>
      <c r="F817" s="2"/>
      <c r="G817" s="2"/>
      <c r="H817" s="2"/>
      <c r="I817" s="2"/>
      <c r="J817" s="2"/>
      <c r="K817" s="2"/>
      <c r="L817" s="2"/>
      <c r="M817" s="27"/>
      <c r="N817" s="26"/>
      <c r="O817" s="2"/>
      <c r="P817" s="24"/>
    </row>
    <row r="818" spans="1:16" ht="9.75" customHeight="1">
      <c r="A818" s="18"/>
      <c r="B818" s="18" t="s">
        <v>104</v>
      </c>
      <c r="C818" s="18"/>
      <c r="D818" s="26"/>
      <c r="E818" s="2"/>
      <c r="F818" s="2"/>
      <c r="G818" s="2"/>
      <c r="H818" s="2"/>
      <c r="I818" s="2"/>
      <c r="J818" s="2"/>
      <c r="K818" s="2"/>
      <c r="L818" s="2"/>
      <c r="M818" s="27"/>
      <c r="N818" s="26"/>
      <c r="O818" s="2"/>
      <c r="P818" s="24"/>
    </row>
    <row r="819" spans="1:16" ht="9.75" customHeight="1">
      <c r="A819" s="18"/>
      <c r="B819" s="18" t="s">
        <v>104</v>
      </c>
      <c r="C819" s="18"/>
      <c r="D819" s="26"/>
      <c r="E819" s="2"/>
      <c r="F819" s="2"/>
      <c r="G819" s="2"/>
      <c r="H819" s="2"/>
      <c r="I819" s="2"/>
      <c r="J819" s="2"/>
      <c r="K819" s="2"/>
      <c r="L819" s="2"/>
      <c r="M819" s="27"/>
      <c r="N819" s="26"/>
      <c r="O819" s="2"/>
      <c r="P819" s="24"/>
    </row>
    <row r="820" spans="1:16" ht="9.75" customHeight="1">
      <c r="A820" s="18"/>
      <c r="B820" s="18" t="s">
        <v>104</v>
      </c>
      <c r="C820" s="18"/>
      <c r="D820" s="26"/>
      <c r="E820" s="2"/>
      <c r="F820" s="2"/>
      <c r="G820" s="2"/>
      <c r="H820" s="2"/>
      <c r="I820" s="2"/>
      <c r="J820" s="2"/>
      <c r="K820" s="2"/>
      <c r="L820" s="2"/>
      <c r="M820" s="27"/>
      <c r="N820" s="26"/>
      <c r="O820" s="2"/>
      <c r="P820" s="24"/>
    </row>
    <row r="821" spans="1:16" ht="9.75" customHeight="1">
      <c r="A821" s="18"/>
      <c r="B821" s="18" t="s">
        <v>104</v>
      </c>
      <c r="C821" s="18"/>
      <c r="D821" s="26"/>
      <c r="E821" s="2"/>
      <c r="F821" s="2"/>
      <c r="G821" s="2"/>
      <c r="H821" s="2"/>
      <c r="I821" s="2"/>
      <c r="J821" s="2"/>
      <c r="K821" s="2"/>
      <c r="L821" s="2"/>
      <c r="M821" s="27"/>
      <c r="N821" s="26"/>
      <c r="O821" s="2"/>
      <c r="P821" s="24"/>
    </row>
    <row r="822" spans="1:16" ht="9.75" customHeight="1">
      <c r="A822" s="18"/>
      <c r="B822" s="18" t="s">
        <v>104</v>
      </c>
      <c r="C822" s="18"/>
      <c r="D822" s="26"/>
      <c r="E822" s="2"/>
      <c r="F822" s="2"/>
      <c r="G822" s="2"/>
      <c r="H822" s="2"/>
      <c r="I822" s="2"/>
      <c r="J822" s="2"/>
      <c r="K822" s="2"/>
      <c r="L822" s="2"/>
      <c r="M822" s="27"/>
      <c r="N822" s="26"/>
      <c r="O822" s="2"/>
      <c r="P822" s="24"/>
    </row>
    <row r="823" spans="1:16" ht="9.75" customHeight="1">
      <c r="A823" s="18"/>
      <c r="B823" s="18" t="s">
        <v>104</v>
      </c>
      <c r="C823" s="18"/>
      <c r="D823" s="26"/>
      <c r="E823" s="2"/>
      <c r="F823" s="2"/>
      <c r="G823" s="2"/>
      <c r="H823" s="2"/>
      <c r="I823" s="2"/>
      <c r="J823" s="2"/>
      <c r="K823" s="2"/>
      <c r="L823" s="2"/>
      <c r="M823" s="27"/>
      <c r="N823" s="26"/>
      <c r="O823" s="2"/>
      <c r="P823" s="24"/>
    </row>
    <row r="824" spans="1:16" ht="9.75" customHeight="1">
      <c r="A824" s="18"/>
      <c r="B824" s="18" t="s">
        <v>34</v>
      </c>
      <c r="C824" s="18"/>
      <c r="D824" s="26"/>
      <c r="E824" s="2"/>
      <c r="F824" s="2"/>
      <c r="G824" s="2"/>
      <c r="H824" s="2"/>
      <c r="I824" s="2"/>
      <c r="J824" s="2"/>
      <c r="K824" s="2"/>
      <c r="L824" s="2"/>
      <c r="M824" s="27"/>
      <c r="N824" s="26"/>
      <c r="O824" s="2"/>
      <c r="P824" s="24"/>
    </row>
    <row r="825" spans="1:16" ht="9.75" customHeight="1">
      <c r="A825" s="18"/>
      <c r="B825" s="18" t="s">
        <v>35</v>
      </c>
      <c r="C825" s="18"/>
      <c r="D825" s="26"/>
      <c r="E825" s="2"/>
      <c r="F825" s="2"/>
      <c r="G825" s="2"/>
      <c r="H825" s="2"/>
      <c r="I825" s="2"/>
      <c r="J825" s="2"/>
      <c r="K825" s="2"/>
      <c r="L825" s="2"/>
      <c r="M825" s="27"/>
      <c r="N825" s="26"/>
      <c r="O825" s="2"/>
      <c r="P825" s="24"/>
    </row>
    <row r="826" spans="1:16" ht="9.75" customHeight="1">
      <c r="A826" s="18"/>
      <c r="B826" s="18" t="s">
        <v>36</v>
      </c>
      <c r="C826" s="18"/>
      <c r="D826" s="26"/>
      <c r="E826" s="2"/>
      <c r="F826" s="2"/>
      <c r="G826" s="2"/>
      <c r="H826" s="2"/>
      <c r="I826" s="2"/>
      <c r="J826" s="2"/>
      <c r="K826" s="2"/>
      <c r="L826" s="2"/>
      <c r="M826" s="27"/>
      <c r="N826" s="26"/>
      <c r="O826" s="2"/>
      <c r="P826" s="24"/>
    </row>
    <row r="827" spans="1:16" ht="9.75" customHeight="1">
      <c r="A827" s="18"/>
      <c r="B827" s="18" t="s">
        <v>37</v>
      </c>
      <c r="C827" s="18"/>
      <c r="D827" s="26"/>
      <c r="E827" s="2"/>
      <c r="F827" s="2"/>
      <c r="G827" s="2"/>
      <c r="H827" s="2"/>
      <c r="I827" s="2"/>
      <c r="J827" s="2"/>
      <c r="K827" s="2"/>
      <c r="L827" s="2"/>
      <c r="M827" s="27"/>
      <c r="N827" s="26"/>
      <c r="O827" s="2"/>
      <c r="P827" s="24"/>
    </row>
    <row r="828" spans="1:16" ht="9.75" customHeight="1">
      <c r="A828" s="32"/>
      <c r="B828" s="33" t="s">
        <v>38</v>
      </c>
      <c r="C828" s="33">
        <f t="shared" ref="C828:M828" si="156">SUM(C812:C827)</f>
        <v>209</v>
      </c>
      <c r="D828" s="70">
        <f t="shared" si="156"/>
        <v>206</v>
      </c>
      <c r="E828" s="71">
        <f t="shared" si="156"/>
        <v>204</v>
      </c>
      <c r="F828" s="71">
        <f t="shared" si="156"/>
        <v>205</v>
      </c>
      <c r="G828" s="71">
        <f t="shared" si="156"/>
        <v>204</v>
      </c>
      <c r="H828" s="71">
        <f t="shared" si="156"/>
        <v>202</v>
      </c>
      <c r="I828" s="71">
        <f t="shared" si="156"/>
        <v>205</v>
      </c>
      <c r="J828" s="71">
        <f t="shared" si="156"/>
        <v>204</v>
      </c>
      <c r="K828" s="71">
        <f t="shared" si="156"/>
        <v>207</v>
      </c>
      <c r="L828" s="71">
        <f t="shared" si="156"/>
        <v>207</v>
      </c>
      <c r="M828" s="93">
        <f t="shared" si="156"/>
        <v>207</v>
      </c>
      <c r="N828" s="70">
        <f>MIN(D828:M828)</f>
        <v>202</v>
      </c>
      <c r="O828" s="71">
        <f>C828-N828</f>
        <v>7</v>
      </c>
      <c r="P828" s="40">
        <f>O828/C828</f>
        <v>3.3492822966507178E-2</v>
      </c>
    </row>
    <row r="829" spans="1:16" ht="9.75" customHeight="1">
      <c r="A829" s="66" t="s">
        <v>192</v>
      </c>
      <c r="B829" s="160" t="s">
        <v>23</v>
      </c>
      <c r="C829" s="66"/>
      <c r="D829" s="41"/>
      <c r="E829" s="72"/>
      <c r="F829" s="72"/>
      <c r="G829" s="72"/>
      <c r="H829" s="72"/>
      <c r="I829" s="72"/>
      <c r="J829" s="72"/>
      <c r="K829" s="72"/>
      <c r="L829" s="72"/>
      <c r="M829" s="73"/>
      <c r="N829" s="41"/>
      <c r="O829" s="72"/>
      <c r="P829" s="99"/>
    </row>
    <row r="830" spans="1:16" ht="9.75" customHeight="1">
      <c r="A830" s="18"/>
      <c r="B830" s="18" t="s">
        <v>25</v>
      </c>
      <c r="C830" s="18">
        <v>197</v>
      </c>
      <c r="D830" s="26">
        <f>C830-15</f>
        <v>182</v>
      </c>
      <c r="E830" s="2">
        <f>C830-21</f>
        <v>176</v>
      </c>
      <c r="F830" s="116">
        <v>175</v>
      </c>
      <c r="G830" s="2">
        <f>C830-25</f>
        <v>172</v>
      </c>
      <c r="H830" s="2">
        <f>C830-30</f>
        <v>167</v>
      </c>
      <c r="I830" s="52">
        <f>C830-23</f>
        <v>174</v>
      </c>
      <c r="J830" s="52">
        <f>C830-21</f>
        <v>176</v>
      </c>
      <c r="K830" s="52">
        <f>C830-19</f>
        <v>178</v>
      </c>
      <c r="L830" s="52">
        <f>C830-13</f>
        <v>184</v>
      </c>
      <c r="M830" s="87">
        <f>C830-11</f>
        <v>186</v>
      </c>
      <c r="N830" s="26">
        <f>MIN(D830:M830)</f>
        <v>167</v>
      </c>
      <c r="O830" s="2">
        <f>C830-N830</f>
        <v>30</v>
      </c>
      <c r="P830" s="24">
        <f>O830/C830</f>
        <v>0.15228426395939088</v>
      </c>
    </row>
    <row r="831" spans="1:16" ht="9.75" customHeight="1">
      <c r="A831" s="18"/>
      <c r="B831" s="18" t="s">
        <v>27</v>
      </c>
      <c r="C831" s="18"/>
      <c r="D831" s="26"/>
      <c r="E831" s="2"/>
      <c r="F831" s="2"/>
      <c r="G831" s="2"/>
      <c r="H831" s="2"/>
      <c r="I831" s="111"/>
      <c r="J831" s="111"/>
      <c r="K831" s="111"/>
      <c r="L831" s="111"/>
      <c r="M831" s="112"/>
      <c r="N831" s="26"/>
      <c r="O831" s="2"/>
      <c r="P831" s="24"/>
    </row>
    <row r="832" spans="1:16" ht="9.75" customHeight="1">
      <c r="A832" s="18"/>
      <c r="B832" s="18" t="s">
        <v>99</v>
      </c>
      <c r="C832" s="18"/>
      <c r="D832" s="26"/>
      <c r="E832" s="2"/>
      <c r="F832" s="2"/>
      <c r="G832" s="2"/>
      <c r="H832" s="2"/>
      <c r="I832" s="111"/>
      <c r="J832" s="111"/>
      <c r="K832" s="111"/>
      <c r="L832" s="111"/>
      <c r="M832" s="112"/>
      <c r="N832" s="26"/>
      <c r="O832" s="2"/>
      <c r="P832" s="24"/>
    </row>
    <row r="833" spans="1:16" ht="9.75" customHeight="1">
      <c r="A833" s="18"/>
      <c r="B833" s="18" t="s">
        <v>99</v>
      </c>
      <c r="C833" s="18"/>
      <c r="D833" s="26"/>
      <c r="E833" s="2"/>
      <c r="F833" s="2"/>
      <c r="G833" s="2"/>
      <c r="H833" s="2"/>
      <c r="I833" s="111"/>
      <c r="J833" s="111"/>
      <c r="K833" s="111"/>
      <c r="L833" s="111"/>
      <c r="M833" s="112"/>
      <c r="N833" s="26"/>
      <c r="O833" s="2"/>
      <c r="P833" s="24"/>
    </row>
    <row r="834" spans="1:16" ht="9.75" customHeight="1">
      <c r="A834" s="18"/>
      <c r="B834" s="18" t="s">
        <v>32</v>
      </c>
      <c r="C834" s="18"/>
      <c r="D834" s="26"/>
      <c r="E834" s="2"/>
      <c r="F834" s="2"/>
      <c r="G834" s="2"/>
      <c r="H834" s="2"/>
      <c r="I834" s="111"/>
      <c r="J834" s="111"/>
      <c r="K834" s="111"/>
      <c r="L834" s="111"/>
      <c r="M834" s="112"/>
      <c r="N834" s="26"/>
      <c r="O834" s="2"/>
      <c r="P834" s="24"/>
    </row>
    <row r="835" spans="1:16" ht="9.75" customHeight="1">
      <c r="A835" s="18"/>
      <c r="B835" s="18" t="s">
        <v>141</v>
      </c>
      <c r="C835" s="18">
        <v>12</v>
      </c>
      <c r="D835" s="115">
        <v>12</v>
      </c>
      <c r="E835" s="116">
        <v>12</v>
      </c>
      <c r="F835" s="116">
        <v>12</v>
      </c>
      <c r="G835" s="116">
        <v>12</v>
      </c>
      <c r="H835" s="116">
        <v>12</v>
      </c>
      <c r="I835" s="52">
        <v>12</v>
      </c>
      <c r="J835" s="52">
        <v>12</v>
      </c>
      <c r="K835" s="52">
        <v>12</v>
      </c>
      <c r="L835" s="52">
        <v>12</v>
      </c>
      <c r="M835" s="87">
        <v>12</v>
      </c>
      <c r="N835" s="26">
        <f>MIN(D835:M835)</f>
        <v>12</v>
      </c>
      <c r="O835" s="2">
        <f>C835-N835</f>
        <v>0</v>
      </c>
      <c r="P835" s="24">
        <f>O835/C835</f>
        <v>0</v>
      </c>
    </row>
    <row r="836" spans="1:16" ht="9.75" customHeight="1">
      <c r="A836" s="18"/>
      <c r="B836" s="18" t="s">
        <v>104</v>
      </c>
      <c r="C836" s="18"/>
      <c r="D836" s="26"/>
      <c r="E836" s="2"/>
      <c r="F836" s="2"/>
      <c r="G836" s="2"/>
      <c r="H836" s="2"/>
      <c r="I836" s="111"/>
      <c r="J836" s="111"/>
      <c r="K836" s="111"/>
      <c r="L836" s="111"/>
      <c r="M836" s="112"/>
      <c r="N836" s="26"/>
      <c r="O836" s="2"/>
      <c r="P836" s="24"/>
    </row>
    <row r="837" spans="1:16" ht="9.75" customHeight="1">
      <c r="A837" s="18"/>
      <c r="B837" s="18" t="s">
        <v>104</v>
      </c>
      <c r="C837" s="18"/>
      <c r="D837" s="26"/>
      <c r="E837" s="2"/>
      <c r="F837" s="2"/>
      <c r="G837" s="2"/>
      <c r="H837" s="2"/>
      <c r="I837" s="111"/>
      <c r="J837" s="111"/>
      <c r="K837" s="111"/>
      <c r="L837" s="111"/>
      <c r="M837" s="112"/>
      <c r="N837" s="26"/>
      <c r="O837" s="2"/>
      <c r="P837" s="24"/>
    </row>
    <row r="838" spans="1:16" ht="9.75" customHeight="1">
      <c r="A838" s="18"/>
      <c r="B838" s="18" t="s">
        <v>104</v>
      </c>
      <c r="C838" s="18"/>
      <c r="D838" s="26"/>
      <c r="E838" s="2"/>
      <c r="F838" s="2"/>
      <c r="G838" s="2"/>
      <c r="H838" s="2"/>
      <c r="I838" s="111"/>
      <c r="J838" s="111"/>
      <c r="K838" s="111"/>
      <c r="L838" s="111"/>
      <c r="M838" s="112"/>
      <c r="N838" s="26"/>
      <c r="O838" s="2"/>
      <c r="P838" s="24"/>
    </row>
    <row r="839" spans="1:16" ht="9.75" customHeight="1">
      <c r="A839" s="18"/>
      <c r="B839" s="18" t="s">
        <v>104</v>
      </c>
      <c r="C839" s="18"/>
      <c r="D839" s="26"/>
      <c r="E839" s="2"/>
      <c r="F839" s="2"/>
      <c r="G839" s="2"/>
      <c r="H839" s="2"/>
      <c r="I839" s="111"/>
      <c r="J839" s="111"/>
      <c r="K839" s="111"/>
      <c r="L839" s="111"/>
      <c r="M839" s="112"/>
      <c r="N839" s="26"/>
      <c r="O839" s="2"/>
      <c r="P839" s="24"/>
    </row>
    <row r="840" spans="1:16" ht="9.75" customHeight="1">
      <c r="A840" s="18"/>
      <c r="B840" s="18" t="s">
        <v>104</v>
      </c>
      <c r="C840" s="18"/>
      <c r="D840" s="26"/>
      <c r="E840" s="2"/>
      <c r="F840" s="2"/>
      <c r="G840" s="2"/>
      <c r="H840" s="2"/>
      <c r="I840" s="111"/>
      <c r="J840" s="111"/>
      <c r="K840" s="111"/>
      <c r="L840" s="111"/>
      <c r="M840" s="112"/>
      <c r="N840" s="26"/>
      <c r="O840" s="2"/>
      <c r="P840" s="24"/>
    </row>
    <row r="841" spans="1:16" ht="9.75" customHeight="1">
      <c r="A841" s="18"/>
      <c r="B841" s="18" t="s">
        <v>34</v>
      </c>
      <c r="C841" s="18">
        <v>1</v>
      </c>
      <c r="D841" s="115">
        <v>1</v>
      </c>
      <c r="E841" s="116">
        <v>1</v>
      </c>
      <c r="F841" s="116">
        <v>1</v>
      </c>
      <c r="G841" s="116">
        <v>1</v>
      </c>
      <c r="H841" s="116">
        <v>1</v>
      </c>
      <c r="I841" s="52">
        <v>1</v>
      </c>
      <c r="J841" s="52">
        <v>1</v>
      </c>
      <c r="K841" s="52">
        <v>1</v>
      </c>
      <c r="L841" s="52">
        <v>1</v>
      </c>
      <c r="M841" s="87">
        <v>1</v>
      </c>
      <c r="N841" s="26">
        <f>MIN(D841:M841)</f>
        <v>1</v>
      </c>
      <c r="O841" s="2">
        <f>C841-N841</f>
        <v>0</v>
      </c>
      <c r="P841" s="24">
        <f>O841/C841</f>
        <v>0</v>
      </c>
    </row>
    <row r="842" spans="1:16" ht="9.75" customHeight="1">
      <c r="A842" s="18"/>
      <c r="B842" s="18" t="s">
        <v>35</v>
      </c>
      <c r="C842" s="18"/>
      <c r="D842" s="26"/>
      <c r="E842" s="2"/>
      <c r="F842" s="2"/>
      <c r="G842" s="2"/>
      <c r="H842" s="2"/>
      <c r="I842" s="2"/>
      <c r="J842" s="2"/>
      <c r="K842" s="2"/>
      <c r="L842" s="2"/>
      <c r="M842" s="27"/>
      <c r="N842" s="26"/>
      <c r="O842" s="2"/>
      <c r="P842" s="24"/>
    </row>
    <row r="843" spans="1:16" ht="9.75" customHeight="1">
      <c r="A843" s="18"/>
      <c r="B843" s="18" t="s">
        <v>36</v>
      </c>
      <c r="C843" s="18"/>
      <c r="D843" s="26"/>
      <c r="E843" s="2"/>
      <c r="F843" s="2"/>
      <c r="G843" s="2"/>
      <c r="H843" s="2"/>
      <c r="I843" s="2"/>
      <c r="J843" s="2"/>
      <c r="K843" s="2"/>
      <c r="L843" s="2"/>
      <c r="M843" s="27"/>
      <c r="N843" s="26"/>
      <c r="O843" s="2"/>
      <c r="P843" s="24"/>
    </row>
    <row r="844" spans="1:16" ht="9.75" customHeight="1">
      <c r="A844" s="18"/>
      <c r="B844" s="18" t="s">
        <v>37</v>
      </c>
      <c r="C844" s="18"/>
      <c r="D844" s="26"/>
      <c r="E844" s="2"/>
      <c r="F844" s="2"/>
      <c r="G844" s="2"/>
      <c r="H844" s="2"/>
      <c r="I844" s="2"/>
      <c r="J844" s="2"/>
      <c r="K844" s="2"/>
      <c r="L844" s="2"/>
      <c r="M844" s="27"/>
      <c r="N844" s="26"/>
      <c r="O844" s="2"/>
      <c r="P844" s="24"/>
    </row>
    <row r="845" spans="1:16" ht="9.75" customHeight="1">
      <c r="A845" s="32"/>
      <c r="B845" s="33" t="s">
        <v>38</v>
      </c>
      <c r="C845" s="33">
        <f t="shared" ref="C845:M845" si="157">SUM(C829:C844)</f>
        <v>210</v>
      </c>
      <c r="D845" s="70">
        <f t="shared" si="157"/>
        <v>195</v>
      </c>
      <c r="E845" s="71">
        <f t="shared" si="157"/>
        <v>189</v>
      </c>
      <c r="F845" s="71">
        <f t="shared" si="157"/>
        <v>188</v>
      </c>
      <c r="G845" s="71">
        <f t="shared" si="157"/>
        <v>185</v>
      </c>
      <c r="H845" s="71">
        <f t="shared" si="157"/>
        <v>180</v>
      </c>
      <c r="I845" s="71">
        <f t="shared" si="157"/>
        <v>187</v>
      </c>
      <c r="J845" s="71">
        <f t="shared" si="157"/>
        <v>189</v>
      </c>
      <c r="K845" s="71">
        <f t="shared" si="157"/>
        <v>191</v>
      </c>
      <c r="L845" s="71">
        <f t="shared" si="157"/>
        <v>197</v>
      </c>
      <c r="M845" s="93">
        <f t="shared" si="157"/>
        <v>199</v>
      </c>
      <c r="N845" s="70">
        <f t="shared" ref="N845:N846" si="158">MIN(D845:M845)</f>
        <v>180</v>
      </c>
      <c r="O845" s="71">
        <f t="shared" ref="O845:O846" si="159">C845-N845</f>
        <v>30</v>
      </c>
      <c r="P845" s="40">
        <f t="shared" ref="P845:P846" si="160">O845/C845</f>
        <v>0.14285714285714285</v>
      </c>
    </row>
    <row r="846" spans="1:16" ht="9.75" customHeight="1">
      <c r="A846" s="66" t="s">
        <v>193</v>
      </c>
      <c r="B846" s="160" t="s">
        <v>23</v>
      </c>
      <c r="C846" s="18">
        <v>175</v>
      </c>
      <c r="D846" s="26">
        <v>170</v>
      </c>
      <c r="E846" s="2">
        <v>167</v>
      </c>
      <c r="F846" s="2">
        <v>167</v>
      </c>
      <c r="G846" s="2">
        <v>167</v>
      </c>
      <c r="H846" s="2">
        <v>167</v>
      </c>
      <c r="I846" s="2">
        <f>C846-13</f>
        <v>162</v>
      </c>
      <c r="J846" s="2">
        <f>C846-12</f>
        <v>163</v>
      </c>
      <c r="K846" s="2">
        <f>C846-12</f>
        <v>163</v>
      </c>
      <c r="L846" s="2">
        <f>C846-9</f>
        <v>166</v>
      </c>
      <c r="M846" s="27">
        <f>C846-8</f>
        <v>167</v>
      </c>
      <c r="N846" s="26">
        <f t="shared" si="158"/>
        <v>162</v>
      </c>
      <c r="O846" s="2">
        <f t="shared" si="159"/>
        <v>13</v>
      </c>
      <c r="P846" s="24">
        <f t="shared" si="160"/>
        <v>7.4285714285714288E-2</v>
      </c>
    </row>
    <row r="847" spans="1:16" ht="9.75" customHeight="1">
      <c r="A847" s="18"/>
      <c r="B847" s="18" t="s">
        <v>25</v>
      </c>
      <c r="C847" s="18"/>
      <c r="D847" s="26"/>
      <c r="E847" s="2"/>
      <c r="F847" s="2"/>
      <c r="G847" s="2"/>
      <c r="H847" s="2"/>
      <c r="I847" s="2"/>
      <c r="J847" s="2"/>
      <c r="K847" s="2"/>
      <c r="L847" s="2"/>
      <c r="M847" s="27"/>
      <c r="N847" s="26"/>
      <c r="O847" s="2"/>
      <c r="P847" s="24"/>
    </row>
    <row r="848" spans="1:16" ht="9.75" customHeight="1">
      <c r="A848" s="18"/>
      <c r="B848" s="18" t="s">
        <v>27</v>
      </c>
      <c r="C848" s="18"/>
      <c r="D848" s="26"/>
      <c r="E848" s="2"/>
      <c r="F848" s="2"/>
      <c r="G848" s="2"/>
      <c r="H848" s="2"/>
      <c r="I848" s="2"/>
      <c r="J848" s="2"/>
      <c r="K848" s="2"/>
      <c r="L848" s="2"/>
      <c r="M848" s="27"/>
      <c r="N848" s="26"/>
      <c r="O848" s="2"/>
      <c r="P848" s="24"/>
    </row>
    <row r="849" spans="1:16" ht="9.75" customHeight="1">
      <c r="A849" s="18"/>
      <c r="B849" s="18" t="s">
        <v>99</v>
      </c>
      <c r="C849" s="18"/>
      <c r="D849" s="26"/>
      <c r="E849" s="2"/>
      <c r="F849" s="2"/>
      <c r="G849" s="2"/>
      <c r="H849" s="2"/>
      <c r="I849" s="2"/>
      <c r="J849" s="2"/>
      <c r="K849" s="2"/>
      <c r="L849" s="2"/>
      <c r="M849" s="27"/>
      <c r="N849" s="26"/>
      <c r="O849" s="2"/>
      <c r="P849" s="24"/>
    </row>
    <row r="850" spans="1:16" ht="9.75" customHeight="1">
      <c r="A850" s="18"/>
      <c r="B850" s="18" t="s">
        <v>99</v>
      </c>
      <c r="C850" s="18"/>
      <c r="D850" s="26"/>
      <c r="E850" s="2"/>
      <c r="F850" s="2"/>
      <c r="G850" s="2"/>
      <c r="H850" s="2"/>
      <c r="I850" s="2"/>
      <c r="J850" s="2"/>
      <c r="K850" s="2"/>
      <c r="L850" s="2"/>
      <c r="M850" s="27"/>
      <c r="N850" s="26"/>
      <c r="O850" s="2"/>
      <c r="P850" s="24"/>
    </row>
    <row r="851" spans="1:16" ht="9.75" customHeight="1">
      <c r="A851" s="18"/>
      <c r="B851" s="18" t="s">
        <v>32</v>
      </c>
      <c r="C851" s="18"/>
      <c r="D851" s="26"/>
      <c r="E851" s="2"/>
      <c r="F851" s="2"/>
      <c r="G851" s="2"/>
      <c r="H851" s="2"/>
      <c r="I851" s="2"/>
      <c r="J851" s="2"/>
      <c r="K851" s="2"/>
      <c r="L851" s="2"/>
      <c r="M851" s="27"/>
      <c r="N851" s="26"/>
      <c r="O851" s="2"/>
      <c r="P851" s="24"/>
    </row>
    <row r="852" spans="1:16" ht="9.75" customHeight="1">
      <c r="A852" s="18"/>
      <c r="B852" s="18" t="s">
        <v>104</v>
      </c>
      <c r="C852" s="18"/>
      <c r="D852" s="26"/>
      <c r="E852" s="2"/>
      <c r="F852" s="2"/>
      <c r="G852" s="2"/>
      <c r="H852" s="2"/>
      <c r="I852" s="2"/>
      <c r="J852" s="2"/>
      <c r="K852" s="2"/>
      <c r="L852" s="2"/>
      <c r="M852" s="27"/>
      <c r="N852" s="26"/>
      <c r="O852" s="2"/>
      <c r="P852" s="24"/>
    </row>
    <row r="853" spans="1:16" ht="9.75" customHeight="1">
      <c r="A853" s="18"/>
      <c r="B853" s="18" t="s">
        <v>104</v>
      </c>
      <c r="C853" s="18"/>
      <c r="D853" s="26"/>
      <c r="E853" s="2"/>
      <c r="F853" s="2"/>
      <c r="G853" s="2"/>
      <c r="H853" s="2"/>
      <c r="I853" s="2"/>
      <c r="J853" s="2"/>
      <c r="K853" s="2"/>
      <c r="L853" s="2"/>
      <c r="M853" s="27"/>
      <c r="N853" s="26"/>
      <c r="O853" s="2"/>
      <c r="P853" s="24"/>
    </row>
    <row r="854" spans="1:16" ht="9.75" customHeight="1">
      <c r="A854" s="18"/>
      <c r="B854" s="18" t="s">
        <v>104</v>
      </c>
      <c r="C854" s="18"/>
      <c r="D854" s="26"/>
      <c r="E854" s="2"/>
      <c r="F854" s="2"/>
      <c r="G854" s="2"/>
      <c r="H854" s="2"/>
      <c r="I854" s="2"/>
      <c r="J854" s="2"/>
      <c r="K854" s="2"/>
      <c r="L854" s="2"/>
      <c r="M854" s="27"/>
      <c r="N854" s="26"/>
      <c r="O854" s="2"/>
      <c r="P854" s="24"/>
    </row>
    <row r="855" spans="1:16" ht="9.75" customHeight="1">
      <c r="A855" s="18"/>
      <c r="B855" s="18" t="s">
        <v>104</v>
      </c>
      <c r="C855" s="18"/>
      <c r="D855" s="26"/>
      <c r="E855" s="2"/>
      <c r="F855" s="2"/>
      <c r="G855" s="2"/>
      <c r="H855" s="2"/>
      <c r="I855" s="2"/>
      <c r="J855" s="2"/>
      <c r="K855" s="2"/>
      <c r="L855" s="2"/>
      <c r="M855" s="27"/>
      <c r="N855" s="26"/>
      <c r="O855" s="2"/>
      <c r="P855" s="24"/>
    </row>
    <row r="856" spans="1:16" ht="9.75" customHeight="1">
      <c r="A856" s="18"/>
      <c r="B856" s="18" t="s">
        <v>104</v>
      </c>
      <c r="C856" s="18"/>
      <c r="D856" s="26"/>
      <c r="E856" s="2"/>
      <c r="F856" s="2"/>
      <c r="G856" s="2"/>
      <c r="H856" s="2"/>
      <c r="I856" s="2"/>
      <c r="J856" s="2"/>
      <c r="K856" s="2"/>
      <c r="L856" s="2"/>
      <c r="M856" s="27"/>
      <c r="N856" s="26"/>
      <c r="O856" s="2"/>
      <c r="P856" s="24"/>
    </row>
    <row r="857" spans="1:16" ht="9.75" customHeight="1">
      <c r="A857" s="18"/>
      <c r="B857" s="18" t="s">
        <v>104</v>
      </c>
      <c r="C857" s="18"/>
      <c r="D857" s="26"/>
      <c r="E857" s="2"/>
      <c r="F857" s="2"/>
      <c r="G857" s="2"/>
      <c r="H857" s="2"/>
      <c r="I857" s="2"/>
      <c r="J857" s="2"/>
      <c r="K857" s="2"/>
      <c r="L857" s="2"/>
      <c r="M857" s="27"/>
      <c r="N857" s="26"/>
      <c r="O857" s="2"/>
      <c r="P857" s="24"/>
    </row>
    <row r="858" spans="1:16" ht="9.75" customHeight="1">
      <c r="A858" s="18"/>
      <c r="B858" s="18" t="s">
        <v>34</v>
      </c>
      <c r="C858" s="18">
        <v>16</v>
      </c>
      <c r="D858" s="115">
        <f>9+6</f>
        <v>15</v>
      </c>
      <c r="E858" s="116">
        <v>14</v>
      </c>
      <c r="F858" s="116">
        <v>16</v>
      </c>
      <c r="G858" s="116">
        <v>16</v>
      </c>
      <c r="H858" s="116">
        <v>16</v>
      </c>
      <c r="I858" s="2">
        <v>16</v>
      </c>
      <c r="J858" s="2">
        <v>16</v>
      </c>
      <c r="K858" s="2">
        <v>16</v>
      </c>
      <c r="L858" s="2">
        <v>16</v>
      </c>
      <c r="M858" s="27">
        <v>16</v>
      </c>
      <c r="N858" s="26">
        <f>MIN(D858:M858)</f>
        <v>14</v>
      </c>
      <c r="O858" s="2">
        <f>C858-N858</f>
        <v>2</v>
      </c>
      <c r="P858" s="24">
        <f>O858/C858</f>
        <v>0.125</v>
      </c>
    </row>
    <row r="859" spans="1:16" ht="9.75" customHeight="1">
      <c r="A859" s="18"/>
      <c r="B859" s="18" t="s">
        <v>35</v>
      </c>
      <c r="C859" s="18"/>
      <c r="D859" s="26"/>
      <c r="E859" s="2"/>
      <c r="F859" s="2"/>
      <c r="G859" s="2"/>
      <c r="H859" s="2"/>
      <c r="I859" s="2"/>
      <c r="J859" s="2"/>
      <c r="K859" s="2"/>
      <c r="L859" s="2"/>
      <c r="M859" s="27"/>
      <c r="N859" s="26"/>
      <c r="O859" s="2"/>
      <c r="P859" s="24"/>
    </row>
    <row r="860" spans="1:16" ht="9.75" customHeight="1">
      <c r="A860" s="18"/>
      <c r="B860" s="18" t="s">
        <v>36</v>
      </c>
      <c r="C860" s="18"/>
      <c r="D860" s="26"/>
      <c r="E860" s="2"/>
      <c r="F860" s="2"/>
      <c r="G860" s="2"/>
      <c r="H860" s="2"/>
      <c r="I860" s="2"/>
      <c r="J860" s="2"/>
      <c r="K860" s="2"/>
      <c r="L860" s="2"/>
      <c r="M860" s="27"/>
      <c r="N860" s="26"/>
      <c r="O860" s="2"/>
      <c r="P860" s="24"/>
    </row>
    <row r="861" spans="1:16" ht="9.75" customHeight="1">
      <c r="A861" s="18"/>
      <c r="B861" s="18" t="s">
        <v>37</v>
      </c>
      <c r="C861" s="18"/>
      <c r="D861" s="26"/>
      <c r="E861" s="2"/>
      <c r="F861" s="2"/>
      <c r="G861" s="2"/>
      <c r="H861" s="2"/>
      <c r="I861" s="2"/>
      <c r="J861" s="2"/>
      <c r="K861" s="2"/>
      <c r="L861" s="2"/>
      <c r="M861" s="27"/>
      <c r="N861" s="26"/>
      <c r="O861" s="2"/>
      <c r="P861" s="24"/>
    </row>
    <row r="862" spans="1:16" ht="9.75" customHeight="1">
      <c r="A862" s="32"/>
      <c r="B862" s="33" t="s">
        <v>38</v>
      </c>
      <c r="C862" s="33">
        <f t="shared" ref="C862:M862" si="161">SUM(C846:C861)</f>
        <v>191</v>
      </c>
      <c r="D862" s="70">
        <f t="shared" si="161"/>
        <v>185</v>
      </c>
      <c r="E862" s="71">
        <f t="shared" si="161"/>
        <v>181</v>
      </c>
      <c r="F862" s="71">
        <f t="shared" si="161"/>
        <v>183</v>
      </c>
      <c r="G862" s="71">
        <f t="shared" si="161"/>
        <v>183</v>
      </c>
      <c r="H862" s="71">
        <f t="shared" si="161"/>
        <v>183</v>
      </c>
      <c r="I862" s="71">
        <f t="shared" si="161"/>
        <v>178</v>
      </c>
      <c r="J862" s="71">
        <f t="shared" si="161"/>
        <v>179</v>
      </c>
      <c r="K862" s="71">
        <f t="shared" si="161"/>
        <v>179</v>
      </c>
      <c r="L862" s="71">
        <f t="shared" si="161"/>
        <v>182</v>
      </c>
      <c r="M862" s="93">
        <f t="shared" si="161"/>
        <v>183</v>
      </c>
      <c r="N862" s="70">
        <f t="shared" ref="N862:N863" si="162">MIN(D862:M862)</f>
        <v>178</v>
      </c>
      <c r="O862" s="71">
        <f t="shared" ref="O862:O863" si="163">C862-N862</f>
        <v>13</v>
      </c>
      <c r="P862" s="40">
        <f t="shared" ref="P862:P863" si="164">O862/C862</f>
        <v>6.8062827225130892E-2</v>
      </c>
    </row>
    <row r="863" spans="1:16" ht="9.75" customHeight="1">
      <c r="A863" s="66" t="s">
        <v>194</v>
      </c>
      <c r="B863" s="160" t="s">
        <v>23</v>
      </c>
      <c r="C863" s="66">
        <v>58</v>
      </c>
      <c r="D863" s="158">
        <v>57</v>
      </c>
      <c r="E863" s="159">
        <v>57</v>
      </c>
      <c r="F863" s="159">
        <v>56</v>
      </c>
      <c r="G863" s="159">
        <v>55</v>
      </c>
      <c r="H863" s="159">
        <v>53</v>
      </c>
      <c r="I863" s="72">
        <v>57</v>
      </c>
      <c r="J863" s="72">
        <v>57</v>
      </c>
      <c r="K863" s="72">
        <v>56</v>
      </c>
      <c r="L863" s="72">
        <v>58</v>
      </c>
      <c r="M863" s="73">
        <v>58</v>
      </c>
      <c r="N863" s="26">
        <f t="shared" si="162"/>
        <v>53</v>
      </c>
      <c r="O863" s="2">
        <f t="shared" si="163"/>
        <v>5</v>
      </c>
      <c r="P863" s="24">
        <f t="shared" si="164"/>
        <v>8.6206896551724144E-2</v>
      </c>
    </row>
    <row r="864" spans="1:16" ht="9.75" customHeight="1">
      <c r="A864" s="18"/>
      <c r="B864" s="18" t="s">
        <v>25</v>
      </c>
      <c r="C864" s="18"/>
      <c r="D864" s="26"/>
      <c r="E864" s="2"/>
      <c r="F864" s="2"/>
      <c r="G864" s="2"/>
      <c r="H864" s="2"/>
      <c r="I864" s="2"/>
      <c r="J864" s="2"/>
      <c r="K864" s="2"/>
      <c r="L864" s="2"/>
      <c r="M864" s="27"/>
      <c r="N864" s="26"/>
      <c r="O864" s="2"/>
      <c r="P864" s="24"/>
    </row>
    <row r="865" spans="1:16" ht="9.75" customHeight="1">
      <c r="A865" s="18"/>
      <c r="B865" s="18" t="s">
        <v>27</v>
      </c>
      <c r="C865" s="18"/>
      <c r="D865" s="26"/>
      <c r="E865" s="2"/>
      <c r="F865" s="2"/>
      <c r="G865" s="2"/>
      <c r="H865" s="2"/>
      <c r="I865" s="2"/>
      <c r="J865" s="2"/>
      <c r="K865" s="2"/>
      <c r="L865" s="2"/>
      <c r="M865" s="27"/>
      <c r="N865" s="26"/>
      <c r="O865" s="2"/>
      <c r="P865" s="24"/>
    </row>
    <row r="866" spans="1:16" ht="9.75" customHeight="1">
      <c r="A866" s="18"/>
      <c r="B866" s="18" t="s">
        <v>177</v>
      </c>
      <c r="C866" s="26">
        <v>90</v>
      </c>
      <c r="D866" s="162">
        <v>70</v>
      </c>
      <c r="E866" s="163">
        <v>70</v>
      </c>
      <c r="F866" s="163">
        <v>69</v>
      </c>
      <c r="G866" s="163">
        <v>70</v>
      </c>
      <c r="H866" s="163">
        <v>69</v>
      </c>
      <c r="I866" s="2">
        <f>C866-25</f>
        <v>65</v>
      </c>
      <c r="J866" s="2">
        <f>C866-21</f>
        <v>69</v>
      </c>
      <c r="K866" s="2">
        <f>C866-16</f>
        <v>74</v>
      </c>
      <c r="L866" s="2">
        <f>C866-6</f>
        <v>84</v>
      </c>
      <c r="M866" s="27">
        <v>82</v>
      </c>
      <c r="N866" s="19">
        <f>MIN(D866:M866)</f>
        <v>65</v>
      </c>
      <c r="O866" s="23">
        <f>C866-N866</f>
        <v>25</v>
      </c>
      <c r="P866" s="24">
        <f>O866/C866</f>
        <v>0.27777777777777779</v>
      </c>
    </row>
    <row r="867" spans="1:16" ht="9.75" customHeight="1">
      <c r="A867" s="18"/>
      <c r="B867" s="18" t="s">
        <v>99</v>
      </c>
      <c r="C867" s="18"/>
      <c r="D867" s="26"/>
      <c r="E867" s="2"/>
      <c r="F867" s="2"/>
      <c r="G867" s="2"/>
      <c r="H867" s="2"/>
      <c r="I867" s="2"/>
      <c r="J867" s="2"/>
      <c r="K867" s="2"/>
      <c r="L867" s="2"/>
      <c r="M867" s="27"/>
      <c r="N867" s="26"/>
      <c r="O867" s="2"/>
      <c r="P867" s="24"/>
    </row>
    <row r="868" spans="1:16" ht="9.75" customHeight="1">
      <c r="A868" s="18"/>
      <c r="B868" s="18" t="s">
        <v>32</v>
      </c>
      <c r="C868" s="18">
        <v>3</v>
      </c>
      <c r="D868" s="115">
        <v>3</v>
      </c>
      <c r="E868" s="116">
        <v>3</v>
      </c>
      <c r="F868" s="116">
        <v>3</v>
      </c>
      <c r="G868" s="116">
        <v>3</v>
      </c>
      <c r="H868" s="116">
        <v>3</v>
      </c>
      <c r="I868" s="2">
        <v>3</v>
      </c>
      <c r="J868" s="2">
        <v>3</v>
      </c>
      <c r="K868" s="2">
        <v>3</v>
      </c>
      <c r="L868" s="2">
        <v>3</v>
      </c>
      <c r="M868" s="27">
        <v>3</v>
      </c>
      <c r="N868" s="26">
        <f>MIN(D868:M868)</f>
        <v>3</v>
      </c>
      <c r="O868" s="2">
        <f>C868-N868</f>
        <v>0</v>
      </c>
      <c r="P868" s="24">
        <f>O868/C868</f>
        <v>0</v>
      </c>
    </row>
    <row r="869" spans="1:16" ht="9.75" customHeight="1">
      <c r="A869" s="18"/>
      <c r="B869" s="18" t="s">
        <v>104</v>
      </c>
      <c r="C869" s="18"/>
      <c r="D869" s="26"/>
      <c r="E869" s="2"/>
      <c r="F869" s="2"/>
      <c r="G869" s="2"/>
      <c r="H869" s="2"/>
      <c r="I869" s="2"/>
      <c r="J869" s="2"/>
      <c r="K869" s="2"/>
      <c r="L869" s="2"/>
      <c r="M869" s="27"/>
      <c r="N869" s="26"/>
      <c r="O869" s="2"/>
      <c r="P869" s="24"/>
    </row>
    <row r="870" spans="1:16" ht="9.75" customHeight="1">
      <c r="A870" s="18"/>
      <c r="B870" s="18" t="s">
        <v>104</v>
      </c>
      <c r="C870" s="18"/>
      <c r="D870" s="26"/>
      <c r="E870" s="2"/>
      <c r="F870" s="2"/>
      <c r="G870" s="2"/>
      <c r="H870" s="2"/>
      <c r="I870" s="2"/>
      <c r="J870" s="2"/>
      <c r="K870" s="2"/>
      <c r="L870" s="2"/>
      <c r="M870" s="27"/>
      <c r="N870" s="26"/>
      <c r="O870" s="2"/>
      <c r="P870" s="24"/>
    </row>
    <row r="871" spans="1:16" ht="9.75" customHeight="1">
      <c r="A871" s="18"/>
      <c r="B871" s="18" t="s">
        <v>104</v>
      </c>
      <c r="C871" s="18"/>
      <c r="D871" s="26"/>
      <c r="E871" s="2"/>
      <c r="F871" s="2"/>
      <c r="G871" s="2"/>
      <c r="H871" s="2"/>
      <c r="I871" s="2"/>
      <c r="J871" s="2"/>
      <c r="K871" s="2"/>
      <c r="L871" s="2"/>
      <c r="M871" s="27"/>
      <c r="N871" s="26"/>
      <c r="O871" s="2"/>
      <c r="P871" s="24"/>
    </row>
    <row r="872" spans="1:16" ht="9.75" customHeight="1">
      <c r="A872" s="18"/>
      <c r="B872" s="18" t="s">
        <v>104</v>
      </c>
      <c r="C872" s="18"/>
      <c r="D872" s="26"/>
      <c r="E872" s="2"/>
      <c r="F872" s="2"/>
      <c r="G872" s="2"/>
      <c r="H872" s="2"/>
      <c r="I872" s="2"/>
      <c r="J872" s="2"/>
      <c r="K872" s="2"/>
      <c r="L872" s="2"/>
      <c r="M872" s="27"/>
      <c r="N872" s="26"/>
      <c r="O872" s="2"/>
      <c r="P872" s="24"/>
    </row>
    <row r="873" spans="1:16" ht="9.75" customHeight="1">
      <c r="A873" s="18"/>
      <c r="B873" s="18" t="s">
        <v>104</v>
      </c>
      <c r="C873" s="18"/>
      <c r="D873" s="26"/>
      <c r="E873" s="2"/>
      <c r="F873" s="2"/>
      <c r="G873" s="2"/>
      <c r="H873" s="2"/>
      <c r="I873" s="2"/>
      <c r="J873" s="2"/>
      <c r="K873" s="2"/>
      <c r="L873" s="2"/>
      <c r="M873" s="27"/>
      <c r="N873" s="26"/>
      <c r="O873" s="2"/>
      <c r="P873" s="24"/>
    </row>
    <row r="874" spans="1:16" ht="9.75" customHeight="1">
      <c r="A874" s="18"/>
      <c r="B874" s="18" t="s">
        <v>104</v>
      </c>
      <c r="C874" s="18"/>
      <c r="D874" s="26"/>
      <c r="E874" s="2"/>
      <c r="F874" s="2"/>
      <c r="G874" s="2"/>
      <c r="H874" s="2"/>
      <c r="I874" s="2"/>
      <c r="J874" s="2"/>
      <c r="K874" s="2"/>
      <c r="L874" s="2"/>
      <c r="M874" s="27"/>
      <c r="N874" s="26"/>
      <c r="O874" s="2"/>
      <c r="P874" s="24"/>
    </row>
    <row r="875" spans="1:16" ht="9.75" customHeight="1">
      <c r="A875" s="18"/>
      <c r="B875" s="18" t="s">
        <v>34</v>
      </c>
      <c r="C875" s="18">
        <v>3</v>
      </c>
      <c r="D875" s="115">
        <v>3</v>
      </c>
      <c r="E875" s="116">
        <v>3</v>
      </c>
      <c r="F875" s="116">
        <v>3</v>
      </c>
      <c r="G875" s="116">
        <v>3</v>
      </c>
      <c r="H875" s="116">
        <v>3</v>
      </c>
      <c r="I875" s="2">
        <v>3</v>
      </c>
      <c r="J875" s="2">
        <v>3</v>
      </c>
      <c r="K875" s="2">
        <v>3</v>
      </c>
      <c r="L875" s="2">
        <v>3</v>
      </c>
      <c r="M875" s="27">
        <v>3</v>
      </c>
      <c r="N875" s="26">
        <f>MIN(D875:M875)</f>
        <v>3</v>
      </c>
      <c r="O875" s="2">
        <f>C875-N875</f>
        <v>0</v>
      </c>
      <c r="P875" s="24">
        <f>O875/C875</f>
        <v>0</v>
      </c>
    </row>
    <row r="876" spans="1:16" ht="9.75" customHeight="1">
      <c r="A876" s="18"/>
      <c r="B876" s="18" t="s">
        <v>35</v>
      </c>
      <c r="C876" s="18"/>
      <c r="D876" s="26"/>
      <c r="E876" s="2"/>
      <c r="F876" s="2"/>
      <c r="G876" s="2"/>
      <c r="H876" s="2"/>
      <c r="I876" s="2"/>
      <c r="J876" s="2"/>
      <c r="K876" s="2"/>
      <c r="L876" s="2"/>
      <c r="M876" s="27"/>
      <c r="N876" s="26"/>
      <c r="O876" s="2"/>
      <c r="P876" s="24"/>
    </row>
    <row r="877" spans="1:16" ht="9.75" customHeight="1">
      <c r="A877" s="18"/>
      <c r="B877" s="18" t="s">
        <v>36</v>
      </c>
      <c r="C877" s="18"/>
      <c r="D877" s="26"/>
      <c r="E877" s="2"/>
      <c r="F877" s="2"/>
      <c r="G877" s="2"/>
      <c r="H877" s="2"/>
      <c r="I877" s="2"/>
      <c r="J877" s="2"/>
      <c r="K877" s="2"/>
      <c r="L877" s="2"/>
      <c r="M877" s="27"/>
      <c r="N877" s="26"/>
      <c r="O877" s="2"/>
      <c r="P877" s="24"/>
    </row>
    <row r="878" spans="1:16" ht="9.75" customHeight="1">
      <c r="A878" s="18"/>
      <c r="B878" s="18" t="s">
        <v>37</v>
      </c>
      <c r="C878" s="18"/>
      <c r="D878" s="26"/>
      <c r="E878" s="2"/>
      <c r="F878" s="2"/>
      <c r="G878" s="2"/>
      <c r="H878" s="2"/>
      <c r="I878" s="2"/>
      <c r="J878" s="2"/>
      <c r="K878" s="2"/>
      <c r="L878" s="2"/>
      <c r="M878" s="27"/>
      <c r="N878" s="26"/>
      <c r="O878" s="2"/>
      <c r="P878" s="24"/>
    </row>
    <row r="879" spans="1:16" ht="9.75" customHeight="1">
      <c r="A879" s="32"/>
      <c r="B879" s="33" t="s">
        <v>38</v>
      </c>
      <c r="C879" s="33">
        <f t="shared" ref="C879:M879" si="165">SUM(C863:C878)</f>
        <v>154</v>
      </c>
      <c r="D879" s="70">
        <f t="shared" si="165"/>
        <v>133</v>
      </c>
      <c r="E879" s="71">
        <f t="shared" si="165"/>
        <v>133</v>
      </c>
      <c r="F879" s="71">
        <f t="shared" si="165"/>
        <v>131</v>
      </c>
      <c r="G879" s="71">
        <f t="shared" si="165"/>
        <v>131</v>
      </c>
      <c r="H879" s="71">
        <f t="shared" si="165"/>
        <v>128</v>
      </c>
      <c r="I879" s="71">
        <f t="shared" si="165"/>
        <v>128</v>
      </c>
      <c r="J879" s="71">
        <f t="shared" si="165"/>
        <v>132</v>
      </c>
      <c r="K879" s="71">
        <f t="shared" si="165"/>
        <v>136</v>
      </c>
      <c r="L879" s="71">
        <f t="shared" si="165"/>
        <v>148</v>
      </c>
      <c r="M879" s="93">
        <f t="shared" si="165"/>
        <v>146</v>
      </c>
      <c r="N879" s="70">
        <f t="shared" ref="N879:N880" si="166">MIN(D879:M879)</f>
        <v>128</v>
      </c>
      <c r="O879" s="71">
        <f t="shared" ref="O879:O880" si="167">C879-N879</f>
        <v>26</v>
      </c>
      <c r="P879" s="40">
        <f t="shared" ref="P879:P880" si="168">O879/C879</f>
        <v>0.16883116883116883</v>
      </c>
    </row>
    <row r="880" spans="1:16" ht="9.75" customHeight="1">
      <c r="A880" s="66" t="s">
        <v>195</v>
      </c>
      <c r="B880" s="160" t="s">
        <v>23</v>
      </c>
      <c r="C880" s="18">
        <v>24</v>
      </c>
      <c r="D880" s="115">
        <v>20</v>
      </c>
      <c r="E880" s="116">
        <v>19</v>
      </c>
      <c r="F880" s="116">
        <v>14</v>
      </c>
      <c r="G880" s="2">
        <f>C880-11</f>
        <v>13</v>
      </c>
      <c r="H880" s="2">
        <f>C880-15</f>
        <v>9</v>
      </c>
      <c r="I880" s="48">
        <v>23</v>
      </c>
      <c r="J880" s="48">
        <v>23</v>
      </c>
      <c r="K880" s="48">
        <v>23</v>
      </c>
      <c r="L880" s="48">
        <v>23</v>
      </c>
      <c r="M880" s="86">
        <v>23</v>
      </c>
      <c r="N880" s="26">
        <f t="shared" si="166"/>
        <v>9</v>
      </c>
      <c r="O880" s="2">
        <f t="shared" si="167"/>
        <v>15</v>
      </c>
      <c r="P880" s="24">
        <f t="shared" si="168"/>
        <v>0.625</v>
      </c>
    </row>
    <row r="881" spans="1:16" ht="9.75" customHeight="1">
      <c r="A881" s="18"/>
      <c r="B881" s="18" t="s">
        <v>25</v>
      </c>
      <c r="C881" s="18"/>
      <c r="D881" s="26"/>
      <c r="E881" s="2"/>
      <c r="F881" s="2"/>
      <c r="G881" s="2"/>
      <c r="H881" s="2"/>
      <c r="I881" s="111"/>
      <c r="J881" s="111"/>
      <c r="K881" s="111"/>
      <c r="L881" s="111"/>
      <c r="M881" s="112"/>
      <c r="N881" s="26"/>
      <c r="O881" s="2"/>
      <c r="P881" s="24"/>
    </row>
    <row r="882" spans="1:16" ht="9.75" customHeight="1">
      <c r="A882" s="18"/>
      <c r="B882" s="18" t="s">
        <v>27</v>
      </c>
      <c r="C882" s="18"/>
      <c r="D882" s="26"/>
      <c r="E882" s="2"/>
      <c r="F882" s="2"/>
      <c r="G882" s="2"/>
      <c r="H882" s="2"/>
      <c r="I882" s="111"/>
      <c r="J882" s="111"/>
      <c r="K882" s="111"/>
      <c r="L882" s="111"/>
      <c r="M882" s="112"/>
      <c r="N882" s="26"/>
      <c r="O882" s="2"/>
      <c r="P882" s="24"/>
    </row>
    <row r="883" spans="1:16" ht="9.75" customHeight="1">
      <c r="A883" s="18"/>
      <c r="B883" s="18" t="s">
        <v>99</v>
      </c>
      <c r="C883" s="18"/>
      <c r="D883" s="26"/>
      <c r="E883" s="2"/>
      <c r="F883" s="2"/>
      <c r="G883" s="2"/>
      <c r="H883" s="2"/>
      <c r="I883" s="111"/>
      <c r="J883" s="111"/>
      <c r="K883" s="111"/>
      <c r="L883" s="111"/>
      <c r="M883" s="112"/>
      <c r="N883" s="26"/>
      <c r="O883" s="2"/>
      <c r="P883" s="24"/>
    </row>
    <row r="884" spans="1:16" ht="9.75" customHeight="1">
      <c r="A884" s="18"/>
      <c r="B884" s="18" t="s">
        <v>99</v>
      </c>
      <c r="C884" s="18"/>
      <c r="D884" s="26"/>
      <c r="E884" s="2"/>
      <c r="F884" s="2"/>
      <c r="G884" s="2"/>
      <c r="H884" s="2"/>
      <c r="I884" s="111"/>
      <c r="J884" s="111"/>
      <c r="K884" s="111"/>
      <c r="L884" s="111"/>
      <c r="M884" s="112"/>
      <c r="N884" s="26"/>
      <c r="O884" s="2"/>
      <c r="P884" s="24"/>
    </row>
    <row r="885" spans="1:16" ht="9.75" customHeight="1">
      <c r="A885" s="18"/>
      <c r="B885" s="18" t="s">
        <v>32</v>
      </c>
      <c r="C885" s="18">
        <v>7</v>
      </c>
      <c r="D885" s="115">
        <v>4</v>
      </c>
      <c r="E885" s="116">
        <v>4</v>
      </c>
      <c r="F885" s="116">
        <v>4</v>
      </c>
      <c r="G885" s="116">
        <v>3</v>
      </c>
      <c r="H885" s="116">
        <v>3</v>
      </c>
      <c r="I885" s="52">
        <v>3</v>
      </c>
      <c r="J885" s="52">
        <v>3</v>
      </c>
      <c r="K885" s="52">
        <v>3</v>
      </c>
      <c r="L885" s="52">
        <v>3</v>
      </c>
      <c r="M885" s="87">
        <v>3</v>
      </c>
      <c r="N885" s="26">
        <f>MIN(D885:M885)</f>
        <v>3</v>
      </c>
      <c r="O885" s="2">
        <f>C885-N885</f>
        <v>4</v>
      </c>
      <c r="P885" s="24">
        <f>O885/C885</f>
        <v>0.5714285714285714</v>
      </c>
    </row>
    <row r="886" spans="1:16" ht="9.75" customHeight="1">
      <c r="A886" s="18"/>
      <c r="B886" s="18" t="s">
        <v>102</v>
      </c>
      <c r="C886" s="18"/>
      <c r="D886" s="26"/>
      <c r="E886" s="2"/>
      <c r="F886" s="2"/>
      <c r="G886" s="2"/>
      <c r="H886" s="2"/>
      <c r="I886" s="111"/>
      <c r="J886" s="111"/>
      <c r="K886" s="111"/>
      <c r="L886" s="111"/>
      <c r="M886" s="112"/>
      <c r="N886" s="26"/>
      <c r="O886" s="2"/>
      <c r="P886" s="24"/>
    </row>
    <row r="887" spans="1:16" ht="9.75" customHeight="1">
      <c r="A887" s="18"/>
      <c r="B887" s="18" t="s">
        <v>196</v>
      </c>
      <c r="C887" s="18">
        <v>3</v>
      </c>
      <c r="D887" s="115">
        <v>2</v>
      </c>
      <c r="E887" s="116">
        <v>2</v>
      </c>
      <c r="F887" s="116">
        <v>1</v>
      </c>
      <c r="G887" s="116">
        <v>1</v>
      </c>
      <c r="H887" s="116">
        <v>2</v>
      </c>
      <c r="I887" s="52">
        <v>2</v>
      </c>
      <c r="J887" s="52">
        <v>2</v>
      </c>
      <c r="K887" s="52">
        <v>3</v>
      </c>
      <c r="L887" s="52">
        <v>3</v>
      </c>
      <c r="M887" s="87">
        <v>3</v>
      </c>
      <c r="N887" s="26">
        <f>MIN(D887:M887)</f>
        <v>1</v>
      </c>
      <c r="O887" s="2">
        <f>C887-N887</f>
        <v>2</v>
      </c>
      <c r="P887" s="24">
        <f>O887/C887</f>
        <v>0.66666666666666663</v>
      </c>
    </row>
    <row r="888" spans="1:16" ht="9.75" customHeight="1">
      <c r="A888" s="18"/>
      <c r="B888" s="18" t="s">
        <v>104</v>
      </c>
      <c r="C888" s="18"/>
      <c r="D888" s="26"/>
      <c r="E888" s="2"/>
      <c r="F888" s="2"/>
      <c r="G888" s="2"/>
      <c r="H888" s="2"/>
      <c r="I888" s="2"/>
      <c r="J888" s="2"/>
      <c r="K888" s="2"/>
      <c r="L888" s="2"/>
      <c r="M888" s="27"/>
      <c r="N888" s="26"/>
      <c r="O888" s="2"/>
      <c r="P888" s="24"/>
    </row>
    <row r="889" spans="1:16" ht="9.75" customHeight="1">
      <c r="A889" s="18"/>
      <c r="B889" s="18" t="s">
        <v>104</v>
      </c>
      <c r="C889" s="18"/>
      <c r="D889" s="26"/>
      <c r="E889" s="2"/>
      <c r="F889" s="2"/>
      <c r="G889" s="2"/>
      <c r="H889" s="2"/>
      <c r="I889" s="2"/>
      <c r="J889" s="2"/>
      <c r="K889" s="2"/>
      <c r="L889" s="2"/>
      <c r="M889" s="27"/>
      <c r="N889" s="26"/>
      <c r="O889" s="2"/>
      <c r="P889" s="24"/>
    </row>
    <row r="890" spans="1:16" ht="9.75" customHeight="1">
      <c r="A890" s="18"/>
      <c r="B890" s="18" t="s">
        <v>104</v>
      </c>
      <c r="C890" s="18"/>
      <c r="D890" s="26"/>
      <c r="E890" s="2"/>
      <c r="F890" s="2"/>
      <c r="G890" s="2"/>
      <c r="H890" s="2"/>
      <c r="I890" s="2"/>
      <c r="J890" s="2"/>
      <c r="K890" s="2"/>
      <c r="L890" s="2"/>
      <c r="M890" s="27"/>
      <c r="N890" s="26"/>
      <c r="O890" s="2"/>
      <c r="P890" s="24"/>
    </row>
    <row r="891" spans="1:16" ht="9.75" customHeight="1">
      <c r="A891" s="18"/>
      <c r="B891" s="18" t="s">
        <v>104</v>
      </c>
      <c r="C891" s="18"/>
      <c r="D891" s="26"/>
      <c r="E891" s="2"/>
      <c r="F891" s="2"/>
      <c r="G891" s="2"/>
      <c r="H891" s="2"/>
      <c r="I891" s="2"/>
      <c r="J891" s="2"/>
      <c r="K891" s="2"/>
      <c r="L891" s="2"/>
      <c r="M891" s="27"/>
      <c r="N891" s="26"/>
      <c r="O891" s="2"/>
      <c r="P891" s="24"/>
    </row>
    <row r="892" spans="1:16" ht="9.75" customHeight="1">
      <c r="A892" s="18"/>
      <c r="B892" s="18" t="s">
        <v>34</v>
      </c>
      <c r="C892" s="18"/>
      <c r="D892" s="26"/>
      <c r="E892" s="2"/>
      <c r="F892" s="2"/>
      <c r="G892" s="2"/>
      <c r="H892" s="2"/>
      <c r="I892" s="2"/>
      <c r="J892" s="2"/>
      <c r="K892" s="2"/>
      <c r="L892" s="2"/>
      <c r="M892" s="27"/>
      <c r="N892" s="26"/>
      <c r="O892" s="2"/>
      <c r="P892" s="24"/>
    </row>
    <row r="893" spans="1:16" ht="9.75" customHeight="1">
      <c r="A893" s="18"/>
      <c r="B893" s="18" t="s">
        <v>35</v>
      </c>
      <c r="C893" s="18"/>
      <c r="D893" s="26"/>
      <c r="E893" s="2"/>
      <c r="F893" s="2"/>
      <c r="G893" s="2"/>
      <c r="H893" s="2"/>
      <c r="I893" s="2"/>
      <c r="J893" s="2"/>
      <c r="K893" s="2"/>
      <c r="L893" s="2"/>
      <c r="M893" s="27"/>
      <c r="N893" s="26"/>
      <c r="O893" s="2"/>
      <c r="P893" s="24"/>
    </row>
    <row r="894" spans="1:16" ht="9.75" customHeight="1">
      <c r="A894" s="18"/>
      <c r="B894" s="18" t="s">
        <v>36</v>
      </c>
      <c r="C894" s="18"/>
      <c r="D894" s="26"/>
      <c r="E894" s="2"/>
      <c r="F894" s="2"/>
      <c r="G894" s="2"/>
      <c r="H894" s="2"/>
      <c r="I894" s="2"/>
      <c r="J894" s="2"/>
      <c r="K894" s="2"/>
      <c r="L894" s="2"/>
      <c r="M894" s="27"/>
      <c r="N894" s="26"/>
      <c r="O894" s="2"/>
      <c r="P894" s="24"/>
    </row>
    <row r="895" spans="1:16" ht="9.75" customHeight="1">
      <c r="A895" s="18"/>
      <c r="B895" s="18" t="s">
        <v>37</v>
      </c>
      <c r="C895" s="18"/>
      <c r="D895" s="26"/>
      <c r="E895" s="2"/>
      <c r="F895" s="2"/>
      <c r="G895" s="2"/>
      <c r="H895" s="2"/>
      <c r="I895" s="2"/>
      <c r="J895" s="2"/>
      <c r="K895" s="2"/>
      <c r="L895" s="2"/>
      <c r="M895" s="27"/>
      <c r="N895" s="26"/>
      <c r="O895" s="2"/>
      <c r="P895" s="24"/>
    </row>
    <row r="896" spans="1:16" ht="9.75" customHeight="1">
      <c r="A896" s="32"/>
      <c r="B896" s="33" t="s">
        <v>38</v>
      </c>
      <c r="C896" s="33">
        <f t="shared" ref="C896:M896" si="169">SUM(C880:C895)</f>
        <v>34</v>
      </c>
      <c r="D896" s="70">
        <f t="shared" si="169"/>
        <v>26</v>
      </c>
      <c r="E896" s="71">
        <f t="shared" si="169"/>
        <v>25</v>
      </c>
      <c r="F896" s="71">
        <f t="shared" si="169"/>
        <v>19</v>
      </c>
      <c r="G896" s="71">
        <f t="shared" si="169"/>
        <v>17</v>
      </c>
      <c r="H896" s="71">
        <f t="shared" si="169"/>
        <v>14</v>
      </c>
      <c r="I896" s="39">
        <f t="shared" si="169"/>
        <v>28</v>
      </c>
      <c r="J896" s="39">
        <f t="shared" si="169"/>
        <v>28</v>
      </c>
      <c r="K896" s="39">
        <f t="shared" si="169"/>
        <v>29</v>
      </c>
      <c r="L896" s="39">
        <f t="shared" si="169"/>
        <v>29</v>
      </c>
      <c r="M896" s="95">
        <f t="shared" si="169"/>
        <v>29</v>
      </c>
      <c r="N896" s="70">
        <f>MIN(D896:M896)</f>
        <v>14</v>
      </c>
      <c r="O896" s="71">
        <f>C896-N896</f>
        <v>20</v>
      </c>
      <c r="P896" s="40">
        <f>O896/C896</f>
        <v>0.58823529411764708</v>
      </c>
    </row>
    <row r="897" spans="1:16" ht="9.75" customHeight="1">
      <c r="A897" s="66" t="s">
        <v>197</v>
      </c>
      <c r="B897" s="66" t="s">
        <v>23</v>
      </c>
      <c r="C897" s="66"/>
      <c r="D897" s="41"/>
      <c r="E897" s="72"/>
      <c r="F897" s="72"/>
      <c r="G897" s="72"/>
      <c r="H897" s="72"/>
      <c r="I897" s="72"/>
      <c r="J897" s="72"/>
      <c r="K897" s="72"/>
      <c r="L897" s="72"/>
      <c r="M897" s="73"/>
      <c r="N897" s="41"/>
      <c r="O897" s="72"/>
      <c r="P897" s="99"/>
    </row>
    <row r="898" spans="1:16" ht="9.75" customHeight="1">
      <c r="A898" s="18"/>
      <c r="B898" s="18" t="s">
        <v>25</v>
      </c>
      <c r="C898" s="18"/>
      <c r="D898" s="26"/>
      <c r="E898" s="2"/>
      <c r="F898" s="2"/>
      <c r="G898" s="2"/>
      <c r="H898" s="2"/>
      <c r="I898" s="2"/>
      <c r="J898" s="2"/>
      <c r="K898" s="2"/>
      <c r="L898" s="2"/>
      <c r="M898" s="27"/>
      <c r="N898" s="26"/>
      <c r="O898" s="2"/>
      <c r="P898" s="24"/>
    </row>
    <row r="899" spans="1:16" ht="9.75" customHeight="1">
      <c r="A899" s="18"/>
      <c r="B899" s="18" t="s">
        <v>27</v>
      </c>
      <c r="C899" s="18"/>
      <c r="D899" s="26"/>
      <c r="E899" s="2"/>
      <c r="F899" s="2"/>
      <c r="G899" s="2"/>
      <c r="H899" s="164"/>
      <c r="I899" s="2"/>
      <c r="J899" s="2"/>
      <c r="K899" s="2"/>
      <c r="L899" s="2"/>
      <c r="M899" s="27"/>
      <c r="N899" s="26"/>
      <c r="O899" s="2"/>
      <c r="P899" s="24"/>
    </row>
    <row r="900" spans="1:16" ht="9.75" customHeight="1">
      <c r="A900" s="18"/>
      <c r="B900" s="18" t="s">
        <v>99</v>
      </c>
      <c r="C900" s="18"/>
      <c r="D900" s="26"/>
      <c r="E900" s="2"/>
      <c r="F900" s="2"/>
      <c r="G900" s="2"/>
      <c r="H900" s="2"/>
      <c r="I900" s="2"/>
      <c r="J900" s="2"/>
      <c r="K900" s="2"/>
      <c r="L900" s="2"/>
      <c r="M900" s="27"/>
      <c r="N900" s="26"/>
      <c r="O900" s="2"/>
      <c r="P900" s="24"/>
    </row>
    <row r="901" spans="1:16" ht="9.75" customHeight="1">
      <c r="A901" s="18"/>
      <c r="B901" s="18" t="s">
        <v>99</v>
      </c>
      <c r="C901" s="18"/>
      <c r="D901" s="26"/>
      <c r="E901" s="2"/>
      <c r="F901" s="2"/>
      <c r="G901" s="2"/>
      <c r="H901" s="2"/>
      <c r="I901" s="2"/>
      <c r="J901" s="2"/>
      <c r="K901" s="2"/>
      <c r="L901" s="2"/>
      <c r="M901" s="27"/>
      <c r="N901" s="26"/>
      <c r="O901" s="2"/>
      <c r="P901" s="24"/>
    </row>
    <row r="902" spans="1:16" ht="9.75" customHeight="1">
      <c r="A902" s="18"/>
      <c r="B902" s="18" t="s">
        <v>32</v>
      </c>
      <c r="C902" s="18"/>
      <c r="D902" s="26"/>
      <c r="E902" s="2"/>
      <c r="F902" s="2"/>
      <c r="G902" s="2"/>
      <c r="H902" s="2"/>
      <c r="I902" s="2"/>
      <c r="J902" s="2"/>
      <c r="K902" s="2"/>
      <c r="L902" s="2"/>
      <c r="M902" s="27"/>
      <c r="N902" s="26"/>
      <c r="O902" s="2"/>
      <c r="P902" s="24"/>
    </row>
    <row r="903" spans="1:16" ht="9.75" customHeight="1">
      <c r="A903" s="18"/>
      <c r="B903" s="18" t="s">
        <v>174</v>
      </c>
      <c r="C903" s="18"/>
      <c r="D903" s="26"/>
      <c r="E903" s="2"/>
      <c r="F903" s="2"/>
      <c r="G903" s="2"/>
      <c r="H903" s="2"/>
      <c r="I903" s="2"/>
      <c r="J903" s="2"/>
      <c r="K903" s="2"/>
      <c r="L903" s="2"/>
      <c r="M903" s="27"/>
      <c r="N903" s="26"/>
      <c r="O903" s="2"/>
      <c r="P903" s="24"/>
    </row>
    <row r="904" spans="1:16" ht="9.75" customHeight="1">
      <c r="A904" s="18"/>
      <c r="B904" s="18" t="s">
        <v>174</v>
      </c>
      <c r="C904" s="18"/>
      <c r="D904" s="26"/>
      <c r="E904" s="2"/>
      <c r="F904" s="2"/>
      <c r="G904" s="2"/>
      <c r="H904" s="2"/>
      <c r="I904" s="2"/>
      <c r="J904" s="2"/>
      <c r="K904" s="2"/>
      <c r="L904" s="2"/>
      <c r="M904" s="27"/>
      <c r="N904" s="26"/>
      <c r="O904" s="2"/>
      <c r="P904" s="24"/>
    </row>
    <row r="905" spans="1:16" ht="9.75" customHeight="1">
      <c r="A905" s="18"/>
      <c r="B905" s="18" t="s">
        <v>104</v>
      </c>
      <c r="C905" s="18"/>
      <c r="D905" s="26"/>
      <c r="E905" s="2"/>
      <c r="F905" s="2"/>
      <c r="G905" s="2"/>
      <c r="H905" s="2"/>
      <c r="I905" s="2"/>
      <c r="J905" s="2"/>
      <c r="K905" s="2"/>
      <c r="L905" s="2"/>
      <c r="M905" s="27"/>
      <c r="N905" s="26"/>
      <c r="O905" s="2"/>
      <c r="P905" s="24"/>
    </row>
    <row r="906" spans="1:16" ht="9.75" customHeight="1">
      <c r="A906" s="18"/>
      <c r="B906" s="18" t="s">
        <v>104</v>
      </c>
      <c r="C906" s="18"/>
      <c r="D906" s="26"/>
      <c r="E906" s="2"/>
      <c r="F906" s="2"/>
      <c r="G906" s="2"/>
      <c r="H906" s="2"/>
      <c r="I906" s="2"/>
      <c r="J906" s="2"/>
      <c r="K906" s="2"/>
      <c r="L906" s="2"/>
      <c r="M906" s="27"/>
      <c r="N906" s="26"/>
      <c r="O906" s="2"/>
      <c r="P906" s="24"/>
    </row>
    <row r="907" spans="1:16" ht="9.75" customHeight="1">
      <c r="A907" s="18"/>
      <c r="B907" s="18" t="s">
        <v>104</v>
      </c>
      <c r="C907" s="18"/>
      <c r="D907" s="26"/>
      <c r="E907" s="2"/>
      <c r="F907" s="2"/>
      <c r="G907" s="2"/>
      <c r="H907" s="2"/>
      <c r="I907" s="2"/>
      <c r="J907" s="2"/>
      <c r="K907" s="2"/>
      <c r="L907" s="2"/>
      <c r="M907" s="27"/>
      <c r="N907" s="26"/>
      <c r="O907" s="2"/>
      <c r="P907" s="24"/>
    </row>
    <row r="908" spans="1:16" ht="9.75" customHeight="1">
      <c r="A908" s="18"/>
      <c r="B908" s="18" t="s">
        <v>104</v>
      </c>
      <c r="C908" s="18"/>
      <c r="D908" s="26"/>
      <c r="E908" s="2"/>
      <c r="F908" s="2"/>
      <c r="G908" s="2"/>
      <c r="H908" s="2"/>
      <c r="I908" s="2"/>
      <c r="J908" s="2"/>
      <c r="K908" s="2"/>
      <c r="L908" s="2"/>
      <c r="M908" s="27"/>
      <c r="N908" s="26"/>
      <c r="O908" s="2"/>
      <c r="P908" s="24"/>
    </row>
    <row r="909" spans="1:16" ht="9.75" customHeight="1">
      <c r="A909" s="18"/>
      <c r="B909" s="18" t="s">
        <v>34</v>
      </c>
      <c r="C909" s="18">
        <v>1</v>
      </c>
      <c r="D909" s="115">
        <v>1</v>
      </c>
      <c r="E909" s="116">
        <v>1</v>
      </c>
      <c r="F909" s="116">
        <v>1</v>
      </c>
      <c r="G909" s="116">
        <v>1</v>
      </c>
      <c r="H909" s="116">
        <v>1</v>
      </c>
      <c r="I909" s="52">
        <v>1</v>
      </c>
      <c r="J909" s="52">
        <v>1</v>
      </c>
      <c r="K909" s="52">
        <v>1</v>
      </c>
      <c r="L909" s="52">
        <v>1</v>
      </c>
      <c r="M909" s="87">
        <v>1</v>
      </c>
      <c r="N909" s="26">
        <f>MIN(D909:M909)</f>
        <v>1</v>
      </c>
      <c r="O909" s="2">
        <f>C909-N909</f>
        <v>0</v>
      </c>
      <c r="P909" s="24">
        <f>O909/C909</f>
        <v>0</v>
      </c>
    </row>
    <row r="910" spans="1:16" ht="9.75" customHeight="1">
      <c r="A910" s="18"/>
      <c r="B910" s="18" t="s">
        <v>35</v>
      </c>
      <c r="C910" s="18"/>
      <c r="D910" s="26"/>
      <c r="E910" s="2"/>
      <c r="F910" s="2"/>
      <c r="G910" s="2"/>
      <c r="H910" s="2"/>
      <c r="I910" s="2"/>
      <c r="J910" s="2"/>
      <c r="K910" s="2"/>
      <c r="L910" s="2"/>
      <c r="M910" s="27"/>
      <c r="N910" s="26"/>
      <c r="O910" s="2"/>
      <c r="P910" s="24"/>
    </row>
    <row r="911" spans="1:16" ht="9.75" customHeight="1">
      <c r="A911" s="18"/>
      <c r="B911" s="18" t="s">
        <v>36</v>
      </c>
      <c r="C911" s="18"/>
      <c r="D911" s="26"/>
      <c r="E911" s="2"/>
      <c r="F911" s="2"/>
      <c r="G911" s="2"/>
      <c r="H911" s="2"/>
      <c r="I911" s="2"/>
      <c r="J911" s="2"/>
      <c r="K911" s="2"/>
      <c r="L911" s="2"/>
      <c r="M911" s="27"/>
      <c r="N911" s="26"/>
      <c r="O911" s="2"/>
      <c r="P911" s="24"/>
    </row>
    <row r="912" spans="1:16" ht="9.75" customHeight="1">
      <c r="A912" s="18"/>
      <c r="B912" s="18" t="s">
        <v>37</v>
      </c>
      <c r="C912" s="18"/>
      <c r="D912" s="26"/>
      <c r="E912" s="2"/>
      <c r="F912" s="2"/>
      <c r="G912" s="2"/>
      <c r="H912" s="2"/>
      <c r="I912" s="2"/>
      <c r="J912" s="2"/>
      <c r="K912" s="2"/>
      <c r="L912" s="2"/>
      <c r="M912" s="27"/>
      <c r="N912" s="26"/>
      <c r="O912" s="2"/>
      <c r="P912" s="24"/>
    </row>
    <row r="913" spans="1:16" ht="9.75" customHeight="1">
      <c r="A913" s="32"/>
      <c r="B913" s="33" t="s">
        <v>38</v>
      </c>
      <c r="C913" s="33">
        <f t="shared" ref="C913:M913" si="170">SUM(C897:C912)</f>
        <v>1</v>
      </c>
      <c r="D913" s="70">
        <f t="shared" si="170"/>
        <v>1</v>
      </c>
      <c r="E913" s="71">
        <f t="shared" si="170"/>
        <v>1</v>
      </c>
      <c r="F913" s="71">
        <f t="shared" si="170"/>
        <v>1</v>
      </c>
      <c r="G913" s="71">
        <f t="shared" si="170"/>
        <v>1</v>
      </c>
      <c r="H913" s="71">
        <f t="shared" si="170"/>
        <v>1</v>
      </c>
      <c r="I913" s="71">
        <f t="shared" si="170"/>
        <v>1</v>
      </c>
      <c r="J913" s="71">
        <f t="shared" si="170"/>
        <v>1</v>
      </c>
      <c r="K913" s="71">
        <f t="shared" si="170"/>
        <v>1</v>
      </c>
      <c r="L913" s="71">
        <f t="shared" si="170"/>
        <v>1</v>
      </c>
      <c r="M913" s="93">
        <f t="shared" si="170"/>
        <v>1</v>
      </c>
      <c r="N913" s="70">
        <f>MIN(D913:M913)</f>
        <v>1</v>
      </c>
      <c r="O913" s="71">
        <f>C913-N913</f>
        <v>0</v>
      </c>
      <c r="P913" s="40">
        <f>O913/C913</f>
        <v>0</v>
      </c>
    </row>
    <row r="914" spans="1:16" ht="9.75" customHeight="1">
      <c r="A914" s="66" t="s">
        <v>198</v>
      </c>
      <c r="B914" s="160" t="s">
        <v>23</v>
      </c>
      <c r="C914" s="66"/>
      <c r="D914" s="41"/>
      <c r="E914" s="72"/>
      <c r="F914" s="72"/>
      <c r="G914" s="72"/>
      <c r="H914" s="72"/>
      <c r="I914" s="72"/>
      <c r="J914" s="72"/>
      <c r="K914" s="72"/>
      <c r="L914" s="72"/>
      <c r="M914" s="73"/>
      <c r="N914" s="41"/>
      <c r="O914" s="72"/>
      <c r="P914" s="99"/>
    </row>
    <row r="915" spans="1:16" ht="9.75" customHeight="1">
      <c r="A915" s="18"/>
      <c r="B915" s="18" t="s">
        <v>25</v>
      </c>
      <c r="C915" s="18"/>
      <c r="D915" s="26"/>
      <c r="E915" s="2"/>
      <c r="F915" s="2"/>
      <c r="G915" s="2"/>
      <c r="H915" s="2"/>
      <c r="I915" s="2"/>
      <c r="J915" s="2"/>
      <c r="K915" s="2"/>
      <c r="L915" s="2"/>
      <c r="M915" s="27"/>
      <c r="N915" s="26"/>
      <c r="O915" s="2"/>
      <c r="P915" s="24"/>
    </row>
    <row r="916" spans="1:16" ht="9.75" customHeight="1">
      <c r="A916" s="18"/>
      <c r="B916" s="18" t="s">
        <v>27</v>
      </c>
      <c r="C916" s="18"/>
      <c r="D916" s="26"/>
      <c r="E916" s="2"/>
      <c r="F916" s="2"/>
      <c r="G916" s="2"/>
      <c r="H916" s="2"/>
      <c r="I916" s="2"/>
      <c r="J916" s="2"/>
      <c r="K916" s="2"/>
      <c r="L916" s="2"/>
      <c r="M916" s="27"/>
      <c r="N916" s="26"/>
      <c r="O916" s="2"/>
      <c r="P916" s="24"/>
    </row>
    <row r="917" spans="1:16" ht="9.75" customHeight="1">
      <c r="A917" s="18"/>
      <c r="B917" s="18" t="s">
        <v>99</v>
      </c>
      <c r="C917" s="18"/>
      <c r="D917" s="26"/>
      <c r="E917" s="2"/>
      <c r="F917" s="2"/>
      <c r="G917" s="2"/>
      <c r="H917" s="2"/>
      <c r="I917" s="2"/>
      <c r="J917" s="2"/>
      <c r="K917" s="2"/>
      <c r="L917" s="2"/>
      <c r="M917" s="27"/>
      <c r="N917" s="26"/>
      <c r="O917" s="2"/>
      <c r="P917" s="24"/>
    </row>
    <row r="918" spans="1:16" ht="9.75" customHeight="1">
      <c r="A918" s="18"/>
      <c r="B918" s="18" t="s">
        <v>99</v>
      </c>
      <c r="C918" s="18"/>
      <c r="D918" s="26"/>
      <c r="E918" s="2"/>
      <c r="F918" s="2"/>
      <c r="G918" s="2"/>
      <c r="H918" s="2"/>
      <c r="I918" s="2"/>
      <c r="J918" s="2"/>
      <c r="K918" s="2"/>
      <c r="L918" s="2"/>
      <c r="M918" s="27"/>
      <c r="N918" s="26"/>
      <c r="O918" s="2"/>
      <c r="P918" s="24"/>
    </row>
    <row r="919" spans="1:16" ht="9.75" customHeight="1">
      <c r="A919" s="18"/>
      <c r="B919" s="18" t="s">
        <v>32</v>
      </c>
      <c r="C919" s="18"/>
      <c r="D919" s="26"/>
      <c r="E919" s="2"/>
      <c r="F919" s="2"/>
      <c r="G919" s="2"/>
      <c r="H919" s="2"/>
      <c r="I919" s="2"/>
      <c r="J919" s="2"/>
      <c r="K919" s="2"/>
      <c r="L919" s="2"/>
      <c r="M919" s="27"/>
      <c r="N919" s="26"/>
      <c r="O919" s="2"/>
      <c r="P919" s="24"/>
    </row>
    <row r="920" spans="1:16" ht="9.75" customHeight="1">
      <c r="A920" s="18"/>
      <c r="B920" s="18" t="s">
        <v>199</v>
      </c>
      <c r="C920" s="18">
        <v>1</v>
      </c>
      <c r="D920" s="115">
        <v>1</v>
      </c>
      <c r="E920" s="116">
        <v>1</v>
      </c>
      <c r="F920" s="116">
        <v>1</v>
      </c>
      <c r="G920" s="116">
        <v>1</v>
      </c>
      <c r="H920" s="116">
        <v>1</v>
      </c>
      <c r="I920" s="52">
        <v>1</v>
      </c>
      <c r="J920" s="52">
        <v>1</v>
      </c>
      <c r="K920" s="52">
        <v>1</v>
      </c>
      <c r="L920" s="52">
        <v>1</v>
      </c>
      <c r="M920" s="87">
        <v>1</v>
      </c>
      <c r="N920" s="26">
        <f>MIN(D920:M920)</f>
        <v>1</v>
      </c>
      <c r="O920" s="2">
        <f>C920-N920</f>
        <v>0</v>
      </c>
      <c r="P920" s="24">
        <f>O920/C920</f>
        <v>0</v>
      </c>
    </row>
    <row r="921" spans="1:16" ht="9.75" customHeight="1">
      <c r="A921" s="18"/>
      <c r="B921" s="18" t="s">
        <v>104</v>
      </c>
      <c r="C921" s="18"/>
      <c r="D921" s="26"/>
      <c r="E921" s="2"/>
      <c r="F921" s="2"/>
      <c r="G921" s="2"/>
      <c r="H921" s="2"/>
      <c r="I921" s="111"/>
      <c r="J921" s="111"/>
      <c r="K921" s="111"/>
      <c r="L921" s="111"/>
      <c r="M921" s="112"/>
      <c r="N921" s="26"/>
      <c r="O921" s="2"/>
      <c r="P921" s="24"/>
    </row>
    <row r="922" spans="1:16" ht="9.75" customHeight="1">
      <c r="A922" s="18"/>
      <c r="B922" s="18" t="s">
        <v>104</v>
      </c>
      <c r="C922" s="18"/>
      <c r="D922" s="26"/>
      <c r="E922" s="2"/>
      <c r="F922" s="2"/>
      <c r="G922" s="2"/>
      <c r="H922" s="2"/>
      <c r="I922" s="111"/>
      <c r="J922" s="111"/>
      <c r="K922" s="111"/>
      <c r="L922" s="111"/>
      <c r="M922" s="112"/>
      <c r="N922" s="26"/>
      <c r="O922" s="2"/>
      <c r="P922" s="24"/>
    </row>
    <row r="923" spans="1:16" ht="9.75" customHeight="1">
      <c r="A923" s="18"/>
      <c r="B923" s="18" t="s">
        <v>104</v>
      </c>
      <c r="C923" s="18"/>
      <c r="D923" s="26"/>
      <c r="E923" s="2"/>
      <c r="F923" s="2"/>
      <c r="G923" s="2"/>
      <c r="H923" s="2"/>
      <c r="I923" s="111"/>
      <c r="J923" s="111"/>
      <c r="K923" s="111"/>
      <c r="L923" s="111"/>
      <c r="M923" s="112"/>
      <c r="N923" s="26"/>
      <c r="O923" s="2"/>
      <c r="P923" s="24"/>
    </row>
    <row r="924" spans="1:16" ht="9.75" customHeight="1">
      <c r="A924" s="18"/>
      <c r="B924" s="18" t="s">
        <v>104</v>
      </c>
      <c r="C924" s="18"/>
      <c r="D924" s="26"/>
      <c r="E924" s="2"/>
      <c r="F924" s="2"/>
      <c r="G924" s="2"/>
      <c r="H924" s="2"/>
      <c r="I924" s="111"/>
      <c r="J924" s="111"/>
      <c r="K924" s="111"/>
      <c r="L924" s="111"/>
      <c r="M924" s="112"/>
      <c r="N924" s="26"/>
      <c r="O924" s="2"/>
      <c r="P924" s="24"/>
    </row>
    <row r="925" spans="1:16" ht="9.75" customHeight="1">
      <c r="A925" s="18"/>
      <c r="B925" s="18" t="s">
        <v>104</v>
      </c>
      <c r="C925" s="18"/>
      <c r="D925" s="26"/>
      <c r="E925" s="2"/>
      <c r="F925" s="2"/>
      <c r="G925" s="2"/>
      <c r="H925" s="2"/>
      <c r="I925" s="111"/>
      <c r="J925" s="111"/>
      <c r="K925" s="111"/>
      <c r="L925" s="111"/>
      <c r="M925" s="112"/>
      <c r="N925" s="26"/>
      <c r="O925" s="2"/>
      <c r="P925" s="24"/>
    </row>
    <row r="926" spans="1:16" ht="9.75" customHeight="1">
      <c r="A926" s="18"/>
      <c r="B926" s="18" t="s">
        <v>34</v>
      </c>
      <c r="C926" s="18">
        <v>4</v>
      </c>
      <c r="D926" s="115">
        <v>4</v>
      </c>
      <c r="E926" s="116">
        <v>4</v>
      </c>
      <c r="F926" s="116">
        <v>4</v>
      </c>
      <c r="G926" s="116">
        <v>4</v>
      </c>
      <c r="H926" s="116">
        <v>4</v>
      </c>
      <c r="I926" s="52">
        <v>4</v>
      </c>
      <c r="J926" s="52">
        <v>4</v>
      </c>
      <c r="K926" s="52">
        <v>4</v>
      </c>
      <c r="L926" s="52">
        <v>4</v>
      </c>
      <c r="M926" s="87">
        <v>3</v>
      </c>
      <c r="N926" s="26">
        <f t="shared" ref="N926:N927" si="171">MIN(D926:M926)</f>
        <v>3</v>
      </c>
      <c r="O926" s="2">
        <f t="shared" ref="O926:O927" si="172">C926-N926</f>
        <v>1</v>
      </c>
      <c r="P926" s="24">
        <f t="shared" ref="P926:P927" si="173">O926/C926</f>
        <v>0.25</v>
      </c>
    </row>
    <row r="927" spans="1:16" ht="9.75" customHeight="1">
      <c r="A927" s="18"/>
      <c r="B927" s="18" t="s">
        <v>35</v>
      </c>
      <c r="C927" s="18">
        <v>1</v>
      </c>
      <c r="D927" s="115">
        <v>1</v>
      </c>
      <c r="E927" s="116">
        <v>1</v>
      </c>
      <c r="F927" s="116">
        <v>0</v>
      </c>
      <c r="G927" s="116">
        <v>1</v>
      </c>
      <c r="H927" s="116">
        <v>0</v>
      </c>
      <c r="I927" s="52">
        <v>1</v>
      </c>
      <c r="J927" s="52">
        <v>1</v>
      </c>
      <c r="K927" s="52">
        <v>1</v>
      </c>
      <c r="L927" s="52">
        <v>1</v>
      </c>
      <c r="M927" s="87">
        <v>1</v>
      </c>
      <c r="N927" s="26">
        <f t="shared" si="171"/>
        <v>0</v>
      </c>
      <c r="O927" s="2">
        <f t="shared" si="172"/>
        <v>1</v>
      </c>
      <c r="P927" s="24">
        <f t="shared" si="173"/>
        <v>1</v>
      </c>
    </row>
    <row r="928" spans="1:16" ht="9.75" customHeight="1">
      <c r="A928" s="18"/>
      <c r="B928" s="18" t="s">
        <v>36</v>
      </c>
      <c r="C928" s="18"/>
      <c r="D928" s="26"/>
      <c r="E928" s="2"/>
      <c r="F928" s="2"/>
      <c r="G928" s="2"/>
      <c r="H928" s="2"/>
      <c r="I928" s="111"/>
      <c r="J928" s="111"/>
      <c r="K928" s="111"/>
      <c r="L928" s="111"/>
      <c r="M928" s="112"/>
      <c r="N928" s="26"/>
      <c r="O928" s="2"/>
      <c r="P928" s="24"/>
    </row>
    <row r="929" spans="1:16" ht="9.75" customHeight="1">
      <c r="A929" s="18"/>
      <c r="B929" s="18" t="s">
        <v>37</v>
      </c>
      <c r="C929" s="18">
        <v>17</v>
      </c>
      <c r="D929" s="115">
        <v>15</v>
      </c>
      <c r="E929" s="116">
        <v>14</v>
      </c>
      <c r="F929" s="116">
        <v>10</v>
      </c>
      <c r="G929" s="116">
        <v>12</v>
      </c>
      <c r="H929" s="116">
        <v>13</v>
      </c>
      <c r="I929" s="113">
        <v>16</v>
      </c>
      <c r="J929" s="113">
        <v>16</v>
      </c>
      <c r="K929" s="113">
        <v>16</v>
      </c>
      <c r="L929" s="113">
        <v>14</v>
      </c>
      <c r="M929" s="114">
        <v>15</v>
      </c>
      <c r="N929" s="26">
        <f t="shared" ref="N929:N930" si="174">MIN(D929:M929)</f>
        <v>10</v>
      </c>
      <c r="O929" s="2">
        <f t="shared" ref="O929:O930" si="175">C929-N929</f>
        <v>7</v>
      </c>
      <c r="P929" s="24">
        <f t="shared" ref="P929:P930" si="176">O929/C929</f>
        <v>0.41176470588235292</v>
      </c>
    </row>
    <row r="930" spans="1:16" ht="9.75" customHeight="1">
      <c r="A930" s="32"/>
      <c r="B930" s="33" t="s">
        <v>38</v>
      </c>
      <c r="C930" s="33">
        <f t="shared" ref="C930:M930" si="177">SUM(C914:C929)</f>
        <v>23</v>
      </c>
      <c r="D930" s="70">
        <f t="shared" si="177"/>
        <v>21</v>
      </c>
      <c r="E930" s="71">
        <f t="shared" si="177"/>
        <v>20</v>
      </c>
      <c r="F930" s="71">
        <f t="shared" si="177"/>
        <v>15</v>
      </c>
      <c r="G930" s="71">
        <f t="shared" si="177"/>
        <v>18</v>
      </c>
      <c r="H930" s="71">
        <f t="shared" si="177"/>
        <v>18</v>
      </c>
      <c r="I930" s="71">
        <f t="shared" si="177"/>
        <v>22</v>
      </c>
      <c r="J930" s="71">
        <f t="shared" si="177"/>
        <v>22</v>
      </c>
      <c r="K930" s="71">
        <f t="shared" si="177"/>
        <v>22</v>
      </c>
      <c r="L930" s="71">
        <f t="shared" si="177"/>
        <v>20</v>
      </c>
      <c r="M930" s="93">
        <f t="shared" si="177"/>
        <v>20</v>
      </c>
      <c r="N930" s="70">
        <f t="shared" si="174"/>
        <v>15</v>
      </c>
      <c r="O930" s="71">
        <f t="shared" si="175"/>
        <v>8</v>
      </c>
      <c r="P930" s="40">
        <f t="shared" si="176"/>
        <v>0.34782608695652173</v>
      </c>
    </row>
    <row r="931" spans="1:16" ht="9.75" customHeight="1">
      <c r="A931" s="66" t="s">
        <v>200</v>
      </c>
      <c r="B931" s="160" t="s">
        <v>23</v>
      </c>
      <c r="C931" s="66"/>
      <c r="D931" s="41"/>
      <c r="E931" s="72"/>
      <c r="F931" s="72"/>
      <c r="G931" s="72"/>
      <c r="H931" s="72"/>
      <c r="I931" s="72"/>
      <c r="J931" s="72"/>
      <c r="K931" s="72"/>
      <c r="L931" s="72"/>
      <c r="M931" s="73"/>
      <c r="N931" s="41"/>
      <c r="O931" s="72"/>
      <c r="P931" s="99"/>
    </row>
    <row r="932" spans="1:16" ht="9.75" customHeight="1">
      <c r="A932" s="18"/>
      <c r="B932" s="18" t="s">
        <v>25</v>
      </c>
      <c r="C932" s="18"/>
      <c r="D932" s="26"/>
      <c r="E932" s="2"/>
      <c r="F932" s="2"/>
      <c r="G932" s="2"/>
      <c r="H932" s="2"/>
      <c r="I932" s="2"/>
      <c r="J932" s="2"/>
      <c r="K932" s="2"/>
      <c r="L932" s="2"/>
      <c r="M932" s="27"/>
      <c r="N932" s="26"/>
      <c r="O932" s="2"/>
      <c r="P932" s="24"/>
    </row>
    <row r="933" spans="1:16" ht="9.75" customHeight="1">
      <c r="A933" s="18"/>
      <c r="B933" s="18" t="s">
        <v>27</v>
      </c>
      <c r="C933" s="18"/>
      <c r="D933" s="26"/>
      <c r="E933" s="2"/>
      <c r="F933" s="2"/>
      <c r="G933" s="2"/>
      <c r="H933" s="2"/>
      <c r="I933" s="2"/>
      <c r="J933" s="2"/>
      <c r="K933" s="2"/>
      <c r="L933" s="2"/>
      <c r="M933" s="27"/>
      <c r="N933" s="26"/>
      <c r="O933" s="2"/>
      <c r="P933" s="24"/>
    </row>
    <row r="934" spans="1:16" ht="9.75" customHeight="1">
      <c r="A934" s="18"/>
      <c r="B934" s="18" t="s">
        <v>99</v>
      </c>
      <c r="C934" s="18"/>
      <c r="D934" s="26"/>
      <c r="E934" s="2"/>
      <c r="F934" s="2"/>
      <c r="G934" s="2"/>
      <c r="H934" s="2"/>
      <c r="I934" s="2"/>
      <c r="J934" s="2"/>
      <c r="K934" s="2"/>
      <c r="L934" s="2"/>
      <c r="M934" s="27"/>
      <c r="N934" s="26"/>
      <c r="O934" s="2"/>
      <c r="P934" s="24"/>
    </row>
    <row r="935" spans="1:16" ht="9.75" customHeight="1">
      <c r="A935" s="18"/>
      <c r="B935" s="18" t="s">
        <v>99</v>
      </c>
      <c r="C935" s="18"/>
      <c r="D935" s="26"/>
      <c r="E935" s="2"/>
      <c r="F935" s="2"/>
      <c r="G935" s="2"/>
      <c r="H935" s="2"/>
      <c r="I935" s="2"/>
      <c r="J935" s="2"/>
      <c r="K935" s="2"/>
      <c r="L935" s="2"/>
      <c r="M935" s="27"/>
      <c r="N935" s="26"/>
      <c r="O935" s="2"/>
      <c r="P935" s="24"/>
    </row>
    <row r="936" spans="1:16" ht="9.75" customHeight="1">
      <c r="A936" s="18"/>
      <c r="B936" s="18" t="s">
        <v>32</v>
      </c>
      <c r="C936" s="18"/>
      <c r="D936" s="26"/>
      <c r="E936" s="2"/>
      <c r="F936" s="2"/>
      <c r="G936" s="2"/>
      <c r="H936" s="2"/>
      <c r="I936" s="2"/>
      <c r="J936" s="2"/>
      <c r="K936" s="2"/>
      <c r="L936" s="2"/>
      <c r="M936" s="27"/>
      <c r="N936" s="26"/>
      <c r="O936" s="2"/>
      <c r="P936" s="24"/>
    </row>
    <row r="937" spans="1:16" ht="9.75" customHeight="1">
      <c r="A937" s="18"/>
      <c r="B937" s="18" t="s">
        <v>104</v>
      </c>
      <c r="C937" s="18"/>
      <c r="D937" s="26"/>
      <c r="E937" s="2"/>
      <c r="F937" s="2"/>
      <c r="G937" s="2"/>
      <c r="H937" s="2"/>
      <c r="I937" s="2"/>
      <c r="J937" s="2"/>
      <c r="K937" s="2"/>
      <c r="L937" s="2"/>
      <c r="M937" s="27"/>
      <c r="N937" s="26"/>
      <c r="O937" s="2"/>
      <c r="P937" s="24"/>
    </row>
    <row r="938" spans="1:16" ht="9.75" customHeight="1">
      <c r="A938" s="18"/>
      <c r="B938" s="18" t="s">
        <v>104</v>
      </c>
      <c r="C938" s="18"/>
      <c r="D938" s="26"/>
      <c r="E938" s="2"/>
      <c r="F938" s="2"/>
      <c r="G938" s="2"/>
      <c r="H938" s="2"/>
      <c r="I938" s="2"/>
      <c r="J938" s="2"/>
      <c r="K938" s="2"/>
      <c r="L938" s="2"/>
      <c r="M938" s="27"/>
      <c r="N938" s="26"/>
      <c r="O938" s="2"/>
      <c r="P938" s="24"/>
    </row>
    <row r="939" spans="1:16" ht="9.75" customHeight="1">
      <c r="A939" s="18"/>
      <c r="B939" s="18" t="s">
        <v>104</v>
      </c>
      <c r="C939" s="18"/>
      <c r="D939" s="26"/>
      <c r="E939" s="2"/>
      <c r="F939" s="2"/>
      <c r="G939" s="2"/>
      <c r="H939" s="2"/>
      <c r="I939" s="2"/>
      <c r="J939" s="2"/>
      <c r="K939" s="2"/>
      <c r="L939" s="2"/>
      <c r="M939" s="27"/>
      <c r="N939" s="26"/>
      <c r="O939" s="2"/>
      <c r="P939" s="24"/>
    </row>
    <row r="940" spans="1:16" ht="9.75" customHeight="1">
      <c r="A940" s="18"/>
      <c r="B940" s="18" t="s">
        <v>104</v>
      </c>
      <c r="C940" s="18"/>
      <c r="D940" s="26"/>
      <c r="E940" s="2"/>
      <c r="F940" s="2"/>
      <c r="G940" s="2"/>
      <c r="H940" s="2"/>
      <c r="I940" s="2"/>
      <c r="J940" s="2"/>
      <c r="K940" s="2"/>
      <c r="L940" s="2"/>
      <c r="M940" s="27"/>
      <c r="N940" s="26"/>
      <c r="O940" s="2"/>
      <c r="P940" s="24"/>
    </row>
    <row r="941" spans="1:16" ht="9.75" customHeight="1">
      <c r="A941" s="18"/>
      <c r="B941" s="18" t="s">
        <v>104</v>
      </c>
      <c r="C941" s="18"/>
      <c r="D941" s="26"/>
      <c r="E941" s="2"/>
      <c r="F941" s="2"/>
      <c r="G941" s="2"/>
      <c r="H941" s="2"/>
      <c r="I941" s="2"/>
      <c r="J941" s="2"/>
      <c r="K941" s="2"/>
      <c r="L941" s="2"/>
      <c r="M941" s="27"/>
      <c r="N941" s="26"/>
      <c r="O941" s="2"/>
      <c r="P941" s="24"/>
    </row>
    <row r="942" spans="1:16" ht="9.75" customHeight="1">
      <c r="A942" s="18"/>
      <c r="B942" s="18" t="s">
        <v>104</v>
      </c>
      <c r="C942" s="18"/>
      <c r="D942" s="26"/>
      <c r="E942" s="2"/>
      <c r="F942" s="2"/>
      <c r="G942" s="2"/>
      <c r="H942" s="2"/>
      <c r="I942" s="2"/>
      <c r="J942" s="2"/>
      <c r="K942" s="2"/>
      <c r="L942" s="2"/>
      <c r="M942" s="27"/>
      <c r="N942" s="26"/>
      <c r="O942" s="2"/>
      <c r="P942" s="24"/>
    </row>
    <row r="943" spans="1:16" ht="9.75" customHeight="1">
      <c r="A943" s="18"/>
      <c r="B943" s="18" t="s">
        <v>34</v>
      </c>
      <c r="C943" s="18">
        <v>4</v>
      </c>
      <c r="D943" s="115">
        <v>4</v>
      </c>
      <c r="E943" s="116">
        <v>4</v>
      </c>
      <c r="F943" s="116">
        <v>4</v>
      </c>
      <c r="G943" s="116">
        <v>4</v>
      </c>
      <c r="H943" s="116">
        <v>4</v>
      </c>
      <c r="I943" s="52">
        <v>4</v>
      </c>
      <c r="J943" s="52">
        <v>4</v>
      </c>
      <c r="K943" s="52">
        <v>4</v>
      </c>
      <c r="L943" s="52">
        <v>4</v>
      </c>
      <c r="M943" s="87">
        <v>3</v>
      </c>
      <c r="N943" s="26">
        <f t="shared" ref="N943:N945" si="178">MIN(D943:M943)</f>
        <v>3</v>
      </c>
      <c r="O943" s="2">
        <f t="shared" ref="O943:O945" si="179">C943-N943</f>
        <v>1</v>
      </c>
      <c r="P943" s="24">
        <f t="shared" ref="P943:P945" si="180">O943/C943</f>
        <v>0.25</v>
      </c>
    </row>
    <row r="944" spans="1:16" ht="9.75" customHeight="1">
      <c r="A944" s="18"/>
      <c r="B944" s="18" t="s">
        <v>35</v>
      </c>
      <c r="C944" s="18">
        <v>2</v>
      </c>
      <c r="D944" s="115">
        <v>0</v>
      </c>
      <c r="E944" s="116">
        <v>0</v>
      </c>
      <c r="F944" s="116">
        <v>0</v>
      </c>
      <c r="G944" s="116">
        <v>0</v>
      </c>
      <c r="H944" s="116">
        <v>0</v>
      </c>
      <c r="I944" s="52">
        <v>1</v>
      </c>
      <c r="J944" s="52">
        <v>0</v>
      </c>
      <c r="K944" s="52">
        <v>2</v>
      </c>
      <c r="L944" s="52">
        <v>2</v>
      </c>
      <c r="M944" s="87">
        <v>2</v>
      </c>
      <c r="N944" s="26">
        <f t="shared" si="178"/>
        <v>0</v>
      </c>
      <c r="O944" s="2">
        <f t="shared" si="179"/>
        <v>2</v>
      </c>
      <c r="P944" s="24">
        <f t="shared" si="180"/>
        <v>1</v>
      </c>
    </row>
    <row r="945" spans="1:16" ht="9.75" customHeight="1">
      <c r="A945" s="18"/>
      <c r="B945" s="18" t="s">
        <v>36</v>
      </c>
      <c r="C945" s="18">
        <v>8</v>
      </c>
      <c r="D945" s="115">
        <v>2</v>
      </c>
      <c r="E945" s="116">
        <v>2</v>
      </c>
      <c r="F945" s="116">
        <v>5</v>
      </c>
      <c r="G945" s="116">
        <v>5</v>
      </c>
      <c r="H945" s="116">
        <v>5</v>
      </c>
      <c r="I945" s="52">
        <v>4</v>
      </c>
      <c r="J945" s="52">
        <v>3</v>
      </c>
      <c r="K945" s="52">
        <v>5</v>
      </c>
      <c r="L945" s="52">
        <v>7</v>
      </c>
      <c r="M945" s="87">
        <v>7</v>
      </c>
      <c r="N945" s="26">
        <f t="shared" si="178"/>
        <v>2</v>
      </c>
      <c r="O945" s="2">
        <f t="shared" si="179"/>
        <v>6</v>
      </c>
      <c r="P945" s="24">
        <f t="shared" si="180"/>
        <v>0.75</v>
      </c>
    </row>
    <row r="946" spans="1:16" ht="9.75" customHeight="1">
      <c r="A946" s="18"/>
      <c r="B946" s="18" t="s">
        <v>37</v>
      </c>
      <c r="C946" s="18"/>
      <c r="D946" s="26"/>
      <c r="E946" s="2"/>
      <c r="F946" s="2"/>
      <c r="G946" s="2"/>
      <c r="H946" s="2"/>
      <c r="I946" s="2"/>
      <c r="J946" s="2"/>
      <c r="K946" s="2"/>
      <c r="L946" s="2"/>
      <c r="M946" s="27"/>
      <c r="N946" s="26"/>
      <c r="O946" s="2"/>
      <c r="P946" s="24"/>
    </row>
    <row r="947" spans="1:16" ht="9.75" customHeight="1">
      <c r="A947" s="32"/>
      <c r="B947" s="33" t="s">
        <v>38</v>
      </c>
      <c r="C947" s="33">
        <f t="shared" ref="C947:M947" si="181">SUM(C931:C946)</f>
        <v>14</v>
      </c>
      <c r="D947" s="70">
        <f t="shared" si="181"/>
        <v>6</v>
      </c>
      <c r="E947" s="71">
        <f t="shared" si="181"/>
        <v>6</v>
      </c>
      <c r="F947" s="71">
        <f t="shared" si="181"/>
        <v>9</v>
      </c>
      <c r="G947" s="71">
        <f t="shared" si="181"/>
        <v>9</v>
      </c>
      <c r="H947" s="71">
        <f t="shared" si="181"/>
        <v>9</v>
      </c>
      <c r="I947" s="71">
        <f t="shared" si="181"/>
        <v>9</v>
      </c>
      <c r="J947" s="71">
        <f t="shared" si="181"/>
        <v>7</v>
      </c>
      <c r="K947" s="71">
        <f t="shared" si="181"/>
        <v>11</v>
      </c>
      <c r="L947" s="71">
        <f t="shared" si="181"/>
        <v>13</v>
      </c>
      <c r="M947" s="93">
        <f t="shared" si="181"/>
        <v>12</v>
      </c>
      <c r="N947" s="70">
        <f>MIN(D947:M947)</f>
        <v>6</v>
      </c>
      <c r="O947" s="71">
        <f>C947-N947</f>
        <v>8</v>
      </c>
      <c r="P947" s="40">
        <f>O947/C947</f>
        <v>0.5714285714285714</v>
      </c>
    </row>
    <row r="948" spans="1:16" ht="9.75" customHeight="1">
      <c r="A948" s="66" t="s">
        <v>201</v>
      </c>
      <c r="B948" s="160" t="s">
        <v>23</v>
      </c>
      <c r="C948" s="66"/>
      <c r="D948" s="41"/>
      <c r="E948" s="72"/>
      <c r="F948" s="72"/>
      <c r="G948" s="72"/>
      <c r="H948" s="72"/>
      <c r="I948" s="72"/>
      <c r="J948" s="72"/>
      <c r="K948" s="72"/>
      <c r="L948" s="72"/>
      <c r="M948" s="73"/>
      <c r="N948" s="41"/>
      <c r="O948" s="72"/>
      <c r="P948" s="99"/>
    </row>
    <row r="949" spans="1:16" ht="9.75" customHeight="1">
      <c r="A949" s="18"/>
      <c r="B949" s="18" t="s">
        <v>25</v>
      </c>
      <c r="C949" s="18">
        <v>120</v>
      </c>
      <c r="D949" s="26">
        <f>120-3</f>
        <v>117</v>
      </c>
      <c r="E949" s="116">
        <v>110</v>
      </c>
      <c r="F949" s="116">
        <v>100</v>
      </c>
      <c r="G949" s="2">
        <f>120-25</f>
        <v>95</v>
      </c>
      <c r="H949" s="2">
        <f>120-30</f>
        <v>90</v>
      </c>
      <c r="I949" s="52">
        <v>112</v>
      </c>
      <c r="J949" s="52">
        <v>115</v>
      </c>
      <c r="K949" s="52">
        <v>114</v>
      </c>
      <c r="L949" s="52">
        <v>114</v>
      </c>
      <c r="M949" s="87">
        <v>115</v>
      </c>
      <c r="N949" s="26">
        <f>MIN(D949:M949)</f>
        <v>90</v>
      </c>
      <c r="O949" s="2">
        <f>C949-N949</f>
        <v>30</v>
      </c>
      <c r="P949" s="24">
        <f>O949/C949</f>
        <v>0.25</v>
      </c>
    </row>
    <row r="950" spans="1:16" ht="9.75" customHeight="1">
      <c r="A950" s="18"/>
      <c r="B950" s="18" t="s">
        <v>27</v>
      </c>
      <c r="C950" s="18"/>
      <c r="D950" s="26"/>
      <c r="E950" s="2"/>
      <c r="F950" s="2"/>
      <c r="G950" s="2"/>
      <c r="H950" s="2"/>
      <c r="I950" s="111"/>
      <c r="J950" s="111"/>
      <c r="K950" s="111"/>
      <c r="L950" s="111"/>
      <c r="M950" s="112"/>
      <c r="N950" s="26"/>
      <c r="O950" s="2"/>
      <c r="P950" s="24"/>
    </row>
    <row r="951" spans="1:16" ht="9.75" customHeight="1">
      <c r="A951" s="18"/>
      <c r="B951" s="18" t="s">
        <v>177</v>
      </c>
      <c r="C951" s="18">
        <v>13</v>
      </c>
      <c r="D951" s="115">
        <v>12</v>
      </c>
      <c r="E951" s="116">
        <v>12</v>
      </c>
      <c r="F951" s="116">
        <v>8</v>
      </c>
      <c r="G951" s="2">
        <f>C951-6</f>
        <v>7</v>
      </c>
      <c r="H951" s="2">
        <f>C951-7</f>
        <v>6</v>
      </c>
      <c r="I951" s="52">
        <v>10</v>
      </c>
      <c r="J951" s="52">
        <v>10</v>
      </c>
      <c r="K951" s="52">
        <v>12</v>
      </c>
      <c r="L951" s="52">
        <v>13</v>
      </c>
      <c r="M951" s="87">
        <v>12</v>
      </c>
      <c r="N951" s="26">
        <f>MIN(D951:M951)</f>
        <v>6</v>
      </c>
      <c r="O951" s="2">
        <f>C951-N951</f>
        <v>7</v>
      </c>
      <c r="P951" s="24">
        <f>O951/C951</f>
        <v>0.53846153846153844</v>
      </c>
    </row>
    <row r="952" spans="1:16" ht="9.75" customHeight="1">
      <c r="A952" s="18"/>
      <c r="B952" s="18" t="s">
        <v>31</v>
      </c>
      <c r="C952" s="18"/>
      <c r="D952" s="26"/>
      <c r="E952" s="2"/>
      <c r="F952" s="2"/>
      <c r="G952" s="2"/>
      <c r="H952" s="2"/>
      <c r="I952" s="2"/>
      <c r="J952" s="2"/>
      <c r="K952" s="2"/>
      <c r="L952" s="2"/>
      <c r="M952" s="27"/>
      <c r="N952" s="26"/>
      <c r="O952" s="2"/>
      <c r="P952" s="24"/>
    </row>
    <row r="953" spans="1:16" ht="9.75" customHeight="1">
      <c r="A953" s="18"/>
      <c r="B953" s="165" t="s">
        <v>202</v>
      </c>
      <c r="C953" s="166">
        <f t="shared" ref="C953:M953" si="182">SUM(C954:C955)</f>
        <v>4</v>
      </c>
      <c r="D953" s="167">
        <f t="shared" si="182"/>
        <v>4</v>
      </c>
      <c r="E953" s="167">
        <f t="shared" si="182"/>
        <v>4</v>
      </c>
      <c r="F953" s="167">
        <f t="shared" si="182"/>
        <v>4</v>
      </c>
      <c r="G953" s="167">
        <f t="shared" si="182"/>
        <v>3</v>
      </c>
      <c r="H953" s="167">
        <f t="shared" si="182"/>
        <v>3</v>
      </c>
      <c r="I953" s="167">
        <f t="shared" si="182"/>
        <v>3</v>
      </c>
      <c r="J953" s="167">
        <f t="shared" si="182"/>
        <v>3</v>
      </c>
      <c r="K953" s="167">
        <f t="shared" si="182"/>
        <v>3</v>
      </c>
      <c r="L953" s="167">
        <f t="shared" si="182"/>
        <v>3</v>
      </c>
      <c r="M953" s="167">
        <f t="shared" si="182"/>
        <v>3</v>
      </c>
      <c r="N953" s="19">
        <f t="shared" ref="N953:N956" si="183">MIN(D953:M953)</f>
        <v>3</v>
      </c>
      <c r="O953" s="23">
        <f t="shared" ref="O953:O956" si="184">C953-N953</f>
        <v>1</v>
      </c>
      <c r="P953" s="24">
        <f t="shared" ref="P953:P956" si="185">O953/C953</f>
        <v>0.25</v>
      </c>
    </row>
    <row r="954" spans="1:16" ht="9.75" customHeight="1">
      <c r="A954" s="18"/>
      <c r="B954" s="51" t="s">
        <v>203</v>
      </c>
      <c r="C954" s="87">
        <v>2</v>
      </c>
      <c r="D954" s="140">
        <v>2</v>
      </c>
      <c r="E954" s="140">
        <v>2</v>
      </c>
      <c r="F954" s="140">
        <v>2</v>
      </c>
      <c r="G954" s="140">
        <v>2</v>
      </c>
      <c r="H954" s="140">
        <v>2</v>
      </c>
      <c r="I954" s="52">
        <v>2</v>
      </c>
      <c r="J954" s="52">
        <v>2</v>
      </c>
      <c r="K954" s="52">
        <v>2</v>
      </c>
      <c r="L954" s="52">
        <v>2</v>
      </c>
      <c r="M954" s="87">
        <v>2</v>
      </c>
      <c r="N954" s="168">
        <f t="shared" si="183"/>
        <v>2</v>
      </c>
      <c r="O954" s="169">
        <f t="shared" si="184"/>
        <v>0</v>
      </c>
      <c r="P954" s="136">
        <f t="shared" si="185"/>
        <v>0</v>
      </c>
    </row>
    <row r="955" spans="1:16" ht="9.75" customHeight="1">
      <c r="A955" s="18"/>
      <c r="B955" s="170" t="s">
        <v>204</v>
      </c>
      <c r="C955" s="166">
        <v>2</v>
      </c>
      <c r="D955" s="171">
        <v>2</v>
      </c>
      <c r="E955" s="171">
        <v>2</v>
      </c>
      <c r="F955" s="171">
        <v>2</v>
      </c>
      <c r="G955" s="171">
        <v>1</v>
      </c>
      <c r="H955" s="171">
        <v>1</v>
      </c>
      <c r="I955" s="167">
        <v>1</v>
      </c>
      <c r="J955" s="167">
        <v>1</v>
      </c>
      <c r="K955" s="167">
        <v>1</v>
      </c>
      <c r="L955" s="167">
        <v>1</v>
      </c>
      <c r="M955" s="166">
        <v>1</v>
      </c>
      <c r="N955" s="172">
        <f t="shared" si="183"/>
        <v>1</v>
      </c>
      <c r="O955" s="173">
        <f t="shared" si="184"/>
        <v>1</v>
      </c>
      <c r="P955" s="174">
        <f t="shared" si="185"/>
        <v>0.5</v>
      </c>
    </row>
    <row r="956" spans="1:16" ht="9.75" customHeight="1">
      <c r="A956" s="18"/>
      <c r="B956" s="18" t="s">
        <v>102</v>
      </c>
      <c r="C956" s="18">
        <v>8</v>
      </c>
      <c r="D956" s="115">
        <v>7</v>
      </c>
      <c r="E956" s="116">
        <v>7</v>
      </c>
      <c r="F956" s="116">
        <v>7</v>
      </c>
      <c r="G956" s="116">
        <v>7</v>
      </c>
      <c r="H956" s="116">
        <v>5</v>
      </c>
      <c r="I956" s="2">
        <v>8</v>
      </c>
      <c r="J956" s="2">
        <v>8</v>
      </c>
      <c r="K956" s="2">
        <v>8</v>
      </c>
      <c r="L956" s="2">
        <v>8</v>
      </c>
      <c r="M956" s="27">
        <v>8</v>
      </c>
      <c r="N956" s="26">
        <f t="shared" si="183"/>
        <v>5</v>
      </c>
      <c r="O956" s="2">
        <f t="shared" si="184"/>
        <v>3</v>
      </c>
      <c r="P956" s="24">
        <f t="shared" si="185"/>
        <v>0.375</v>
      </c>
    </row>
    <row r="957" spans="1:16" ht="9.75" customHeight="1">
      <c r="A957" s="18"/>
      <c r="B957" s="18" t="s">
        <v>104</v>
      </c>
      <c r="C957" s="18"/>
      <c r="D957" s="26"/>
      <c r="E957" s="2"/>
      <c r="F957" s="2"/>
      <c r="G957" s="2"/>
      <c r="H957" s="2"/>
      <c r="I957" s="2"/>
      <c r="J957" s="2"/>
      <c r="K957" s="2"/>
      <c r="L957" s="2"/>
      <c r="M957" s="27"/>
      <c r="N957" s="26"/>
      <c r="O957" s="2"/>
      <c r="P957" s="24"/>
    </row>
    <row r="958" spans="1:16" ht="9.75" customHeight="1">
      <c r="A958" s="18"/>
      <c r="B958" s="18" t="s">
        <v>104</v>
      </c>
      <c r="C958" s="18"/>
      <c r="D958" s="26"/>
      <c r="E958" s="2"/>
      <c r="F958" s="2"/>
      <c r="G958" s="2"/>
      <c r="H958" s="2"/>
      <c r="I958" s="2"/>
      <c r="J958" s="2"/>
      <c r="K958" s="2"/>
      <c r="L958" s="2"/>
      <c r="M958" s="27"/>
      <c r="N958" s="26"/>
      <c r="O958" s="2"/>
      <c r="P958" s="24"/>
    </row>
    <row r="959" spans="1:16" ht="9.75" customHeight="1">
      <c r="A959" s="18"/>
      <c r="B959" s="18" t="s">
        <v>104</v>
      </c>
      <c r="C959" s="18"/>
      <c r="D959" s="26"/>
      <c r="E959" s="2"/>
      <c r="F959" s="2"/>
      <c r="G959" s="2"/>
      <c r="H959" s="2"/>
      <c r="I959" s="2"/>
      <c r="J959" s="2"/>
      <c r="K959" s="2"/>
      <c r="L959" s="2"/>
      <c r="M959" s="27"/>
      <c r="N959" s="26"/>
      <c r="O959" s="2"/>
      <c r="P959" s="24"/>
    </row>
    <row r="960" spans="1:16" ht="9.75" customHeight="1">
      <c r="A960" s="18"/>
      <c r="B960" s="18" t="s">
        <v>104</v>
      </c>
      <c r="C960" s="18"/>
      <c r="D960" s="26"/>
      <c r="E960" s="2"/>
      <c r="F960" s="2"/>
      <c r="G960" s="2"/>
      <c r="H960" s="2"/>
      <c r="I960" s="2"/>
      <c r="J960" s="2"/>
      <c r="K960" s="2"/>
      <c r="L960" s="2"/>
      <c r="M960" s="27"/>
      <c r="N960" s="26"/>
      <c r="O960" s="2"/>
      <c r="P960" s="24"/>
    </row>
    <row r="961" spans="1:16" ht="9.75" customHeight="1">
      <c r="A961" s="18"/>
      <c r="B961" s="18" t="s">
        <v>34</v>
      </c>
      <c r="C961" s="18">
        <v>6</v>
      </c>
      <c r="D961" s="115">
        <v>5</v>
      </c>
      <c r="E961" s="116">
        <v>5</v>
      </c>
      <c r="F961" s="116">
        <v>5</v>
      </c>
      <c r="G961" s="116">
        <v>5</v>
      </c>
      <c r="H961" s="116">
        <v>5</v>
      </c>
      <c r="I961" s="52">
        <v>6</v>
      </c>
      <c r="J961" s="52">
        <v>6</v>
      </c>
      <c r="K961" s="52">
        <v>6</v>
      </c>
      <c r="L961" s="52">
        <v>6</v>
      </c>
      <c r="M961" s="87">
        <v>6</v>
      </c>
      <c r="N961" s="26">
        <f>MIN(D961:M961)</f>
        <v>5</v>
      </c>
      <c r="O961" s="2">
        <f>C961-N961</f>
        <v>1</v>
      </c>
      <c r="P961" s="24">
        <f>O961/C961</f>
        <v>0.16666666666666666</v>
      </c>
    </row>
    <row r="962" spans="1:16" ht="9.75" customHeight="1">
      <c r="A962" s="18"/>
      <c r="B962" s="18" t="s">
        <v>35</v>
      </c>
      <c r="C962" s="18"/>
      <c r="D962" s="26"/>
      <c r="E962" s="2"/>
      <c r="F962" s="2"/>
      <c r="G962" s="2"/>
      <c r="H962" s="2"/>
      <c r="I962" s="111"/>
      <c r="J962" s="111"/>
      <c r="K962" s="111"/>
      <c r="L962" s="111"/>
      <c r="M962" s="112"/>
      <c r="N962" s="26"/>
      <c r="O962" s="2"/>
      <c r="P962" s="24"/>
    </row>
    <row r="963" spans="1:16" ht="9.75" customHeight="1">
      <c r="A963" s="18"/>
      <c r="B963" s="18" t="s">
        <v>36</v>
      </c>
      <c r="C963" s="18">
        <v>2</v>
      </c>
      <c r="D963" s="115">
        <v>2</v>
      </c>
      <c r="E963" s="116">
        <v>2</v>
      </c>
      <c r="F963" s="116">
        <v>2</v>
      </c>
      <c r="G963" s="116">
        <v>1</v>
      </c>
      <c r="H963" s="116">
        <v>2</v>
      </c>
      <c r="I963" s="52">
        <v>1</v>
      </c>
      <c r="J963" s="52">
        <v>1</v>
      </c>
      <c r="K963" s="52">
        <v>1</v>
      </c>
      <c r="L963" s="52">
        <v>1</v>
      </c>
      <c r="M963" s="87">
        <v>1</v>
      </c>
      <c r="N963" s="26">
        <f>MIN(D963:M963)</f>
        <v>1</v>
      </c>
      <c r="O963" s="2">
        <f>C963-N963</f>
        <v>1</v>
      </c>
      <c r="P963" s="24">
        <f>O963/C963</f>
        <v>0.5</v>
      </c>
    </row>
    <row r="964" spans="1:16" ht="9.75" customHeight="1">
      <c r="A964" s="18"/>
      <c r="B964" s="18" t="s">
        <v>37</v>
      </c>
      <c r="C964" s="18"/>
      <c r="D964" s="26"/>
      <c r="E964" s="2"/>
      <c r="F964" s="2"/>
      <c r="G964" s="2"/>
      <c r="H964" s="2"/>
      <c r="I964" s="2"/>
      <c r="J964" s="2"/>
      <c r="K964" s="2"/>
      <c r="L964" s="2"/>
      <c r="M964" s="27"/>
      <c r="N964" s="26"/>
      <c r="O964" s="2"/>
      <c r="P964" s="24"/>
    </row>
    <row r="965" spans="1:16" ht="9.75" customHeight="1">
      <c r="A965" s="32"/>
      <c r="B965" s="33" t="s">
        <v>38</v>
      </c>
      <c r="C965" s="33">
        <f>SUM(C948:C964)</f>
        <v>157</v>
      </c>
      <c r="D965" s="70">
        <f t="shared" ref="D965:M965" si="186">SUM(D948:D953,D956:D964)</f>
        <v>147</v>
      </c>
      <c r="E965" s="71">
        <f t="shared" si="186"/>
        <v>140</v>
      </c>
      <c r="F965" s="71">
        <f t="shared" si="186"/>
        <v>126</v>
      </c>
      <c r="G965" s="71">
        <f t="shared" si="186"/>
        <v>118</v>
      </c>
      <c r="H965" s="71">
        <f t="shared" si="186"/>
        <v>111</v>
      </c>
      <c r="I965" s="71">
        <f t="shared" si="186"/>
        <v>140</v>
      </c>
      <c r="J965" s="71">
        <f t="shared" si="186"/>
        <v>143</v>
      </c>
      <c r="K965" s="71">
        <f t="shared" si="186"/>
        <v>144</v>
      </c>
      <c r="L965" s="71">
        <f t="shared" si="186"/>
        <v>145</v>
      </c>
      <c r="M965" s="93">
        <f t="shared" si="186"/>
        <v>145</v>
      </c>
      <c r="N965" s="70">
        <f>MIN(D965:M965)</f>
        <v>111</v>
      </c>
      <c r="O965" s="71">
        <f>C965-N965</f>
        <v>46</v>
      </c>
      <c r="P965" s="40">
        <f>O965/C965</f>
        <v>0.2929936305732484</v>
      </c>
    </row>
    <row r="966" spans="1:16" ht="9.75" customHeight="1">
      <c r="A966" s="66" t="s">
        <v>205</v>
      </c>
      <c r="B966" s="66" t="s">
        <v>23</v>
      </c>
      <c r="C966" s="66"/>
      <c r="D966" s="41"/>
      <c r="E966" s="72"/>
      <c r="F966" s="72"/>
      <c r="G966" s="72"/>
      <c r="H966" s="72"/>
      <c r="I966" s="72"/>
      <c r="J966" s="72"/>
      <c r="K966" s="72"/>
      <c r="L966" s="72"/>
      <c r="M966" s="73"/>
      <c r="N966" s="41"/>
      <c r="O966" s="72"/>
      <c r="P966" s="99"/>
    </row>
    <row r="967" spans="1:16" ht="9.75" customHeight="1">
      <c r="A967" s="18"/>
      <c r="B967" s="18" t="s">
        <v>25</v>
      </c>
      <c r="C967" s="18"/>
      <c r="D967" s="26"/>
      <c r="E967" s="2"/>
      <c r="F967" s="2"/>
      <c r="G967" s="2"/>
      <c r="H967" s="2"/>
      <c r="I967" s="2"/>
      <c r="J967" s="2"/>
      <c r="K967" s="2"/>
      <c r="L967" s="2"/>
      <c r="M967" s="27"/>
      <c r="N967" s="26"/>
      <c r="O967" s="2"/>
      <c r="P967" s="24"/>
    </row>
    <row r="968" spans="1:16" ht="9.75" customHeight="1">
      <c r="A968" s="18"/>
      <c r="B968" s="18" t="s">
        <v>27</v>
      </c>
      <c r="C968" s="18"/>
      <c r="D968" s="26"/>
      <c r="E968" s="2"/>
      <c r="F968" s="2"/>
      <c r="G968" s="2"/>
      <c r="H968" s="2"/>
      <c r="I968" s="2"/>
      <c r="J968" s="2"/>
      <c r="K968" s="2"/>
      <c r="L968" s="2"/>
      <c r="M968" s="27"/>
      <c r="N968" s="26"/>
      <c r="O968" s="2"/>
      <c r="P968" s="24"/>
    </row>
    <row r="969" spans="1:16" ht="9.75" customHeight="1">
      <c r="A969" s="18"/>
      <c r="B969" s="18" t="s">
        <v>99</v>
      </c>
      <c r="C969" s="18"/>
      <c r="D969" s="26"/>
      <c r="E969" s="2"/>
      <c r="F969" s="2"/>
      <c r="G969" s="2"/>
      <c r="H969" s="2"/>
      <c r="I969" s="2"/>
      <c r="J969" s="2"/>
      <c r="K969" s="2"/>
      <c r="L969" s="2"/>
      <c r="M969" s="27"/>
      <c r="N969" s="26"/>
      <c r="O969" s="2"/>
      <c r="P969" s="24"/>
    </row>
    <row r="970" spans="1:16" ht="9.75" customHeight="1">
      <c r="A970" s="18"/>
      <c r="B970" s="18" t="s">
        <v>99</v>
      </c>
      <c r="C970" s="18"/>
      <c r="D970" s="26"/>
      <c r="E970" s="2"/>
      <c r="F970" s="2"/>
      <c r="G970" s="2"/>
      <c r="H970" s="2"/>
      <c r="I970" s="2"/>
      <c r="J970" s="2"/>
      <c r="K970" s="2"/>
      <c r="L970" s="2"/>
      <c r="M970" s="27"/>
      <c r="N970" s="26"/>
      <c r="O970" s="2"/>
      <c r="P970" s="24"/>
    </row>
    <row r="971" spans="1:16" ht="9.75" customHeight="1">
      <c r="A971" s="18"/>
      <c r="B971" s="18" t="s">
        <v>32</v>
      </c>
      <c r="C971" s="18"/>
      <c r="D971" s="26"/>
      <c r="E971" s="2"/>
      <c r="F971" s="2"/>
      <c r="G971" s="2"/>
      <c r="H971" s="2"/>
      <c r="I971" s="2"/>
      <c r="J971" s="2"/>
      <c r="K971" s="2"/>
      <c r="L971" s="2"/>
      <c r="M971" s="27"/>
      <c r="N971" s="26"/>
      <c r="O971" s="2"/>
      <c r="P971" s="24"/>
    </row>
    <row r="972" spans="1:16" ht="9.75" customHeight="1">
      <c r="A972" s="18"/>
      <c r="B972" s="18" t="s">
        <v>104</v>
      </c>
      <c r="C972" s="18"/>
      <c r="D972" s="26"/>
      <c r="E972" s="2"/>
      <c r="F972" s="2"/>
      <c r="G972" s="2"/>
      <c r="H972" s="2"/>
      <c r="I972" s="2"/>
      <c r="J972" s="2"/>
      <c r="K972" s="2"/>
      <c r="L972" s="2"/>
      <c r="M972" s="27"/>
      <c r="N972" s="26"/>
      <c r="O972" s="2"/>
      <c r="P972" s="24"/>
    </row>
    <row r="973" spans="1:16" ht="9.75" customHeight="1">
      <c r="A973" s="18"/>
      <c r="B973" s="18" t="s">
        <v>104</v>
      </c>
      <c r="C973" s="18"/>
      <c r="D973" s="26"/>
      <c r="E973" s="2"/>
      <c r="F973" s="2"/>
      <c r="G973" s="2"/>
      <c r="H973" s="2"/>
      <c r="I973" s="2"/>
      <c r="J973" s="2"/>
      <c r="K973" s="2"/>
      <c r="L973" s="2"/>
      <c r="M973" s="27"/>
      <c r="N973" s="26"/>
      <c r="O973" s="2"/>
      <c r="P973" s="24"/>
    </row>
    <row r="974" spans="1:16" ht="9.75" customHeight="1">
      <c r="A974" s="18"/>
      <c r="B974" s="18" t="s">
        <v>104</v>
      </c>
      <c r="C974" s="18"/>
      <c r="D974" s="26"/>
      <c r="E974" s="2"/>
      <c r="F974" s="2"/>
      <c r="G974" s="2"/>
      <c r="H974" s="2"/>
      <c r="I974" s="2"/>
      <c r="J974" s="2"/>
      <c r="K974" s="2"/>
      <c r="L974" s="2"/>
      <c r="M974" s="27"/>
      <c r="N974" s="26"/>
      <c r="O974" s="2"/>
      <c r="P974" s="24"/>
    </row>
    <row r="975" spans="1:16" ht="9.75" customHeight="1">
      <c r="A975" s="18"/>
      <c r="B975" s="18" t="s">
        <v>104</v>
      </c>
      <c r="C975" s="18"/>
      <c r="D975" s="26"/>
      <c r="E975" s="2"/>
      <c r="F975" s="2"/>
      <c r="G975" s="2"/>
      <c r="H975" s="2"/>
      <c r="I975" s="2"/>
      <c r="J975" s="2"/>
      <c r="K975" s="2"/>
      <c r="L975" s="2"/>
      <c r="M975" s="27"/>
      <c r="N975" s="26"/>
      <c r="O975" s="2"/>
      <c r="P975" s="24"/>
    </row>
    <row r="976" spans="1:16" ht="9.75" customHeight="1">
      <c r="A976" s="18"/>
      <c r="B976" s="18" t="s">
        <v>104</v>
      </c>
      <c r="C976" s="18"/>
      <c r="D976" s="26"/>
      <c r="E976" s="2"/>
      <c r="F976" s="2"/>
      <c r="G976" s="2"/>
      <c r="H976" s="2"/>
      <c r="I976" s="2"/>
      <c r="J976" s="2"/>
      <c r="K976" s="2"/>
      <c r="L976" s="2"/>
      <c r="M976" s="27"/>
      <c r="N976" s="26"/>
      <c r="O976" s="2"/>
      <c r="P976" s="24"/>
    </row>
    <row r="977" spans="1:16" ht="9.75" customHeight="1">
      <c r="A977" s="18"/>
      <c r="B977" s="18" t="s">
        <v>104</v>
      </c>
      <c r="C977" s="18"/>
      <c r="D977" s="26"/>
      <c r="E977" s="2"/>
      <c r="F977" s="2"/>
      <c r="G977" s="2"/>
      <c r="H977" s="2"/>
      <c r="I977" s="2"/>
      <c r="J977" s="2"/>
      <c r="K977" s="2"/>
      <c r="L977" s="2"/>
      <c r="M977" s="27"/>
      <c r="N977" s="26"/>
      <c r="O977" s="2"/>
      <c r="P977" s="24"/>
    </row>
    <row r="978" spans="1:16" ht="9.75" customHeight="1">
      <c r="A978" s="18"/>
      <c r="B978" s="18" t="s">
        <v>34</v>
      </c>
      <c r="C978" s="18"/>
      <c r="D978" s="26"/>
      <c r="E978" s="2"/>
      <c r="F978" s="2"/>
      <c r="G978" s="2"/>
      <c r="H978" s="2"/>
      <c r="I978" s="52"/>
      <c r="J978" s="52"/>
      <c r="K978" s="52"/>
      <c r="L978" s="52"/>
      <c r="M978" s="87"/>
      <c r="N978" s="26"/>
      <c r="O978" s="2"/>
      <c r="P978" s="24"/>
    </row>
    <row r="979" spans="1:16" ht="9.75" customHeight="1">
      <c r="A979" s="18"/>
      <c r="B979" s="18" t="s">
        <v>35</v>
      </c>
      <c r="C979" s="18">
        <v>1</v>
      </c>
      <c r="D979" s="115">
        <v>0</v>
      </c>
      <c r="E979" s="116">
        <v>0</v>
      </c>
      <c r="F979" s="116">
        <v>0</v>
      </c>
      <c r="G979" s="116">
        <v>0</v>
      </c>
      <c r="H979" s="116">
        <v>0</v>
      </c>
      <c r="I979" s="52">
        <v>0</v>
      </c>
      <c r="J979" s="52">
        <v>0</v>
      </c>
      <c r="K979" s="52">
        <v>0</v>
      </c>
      <c r="L979" s="52">
        <v>0</v>
      </c>
      <c r="M979" s="87">
        <v>0</v>
      </c>
      <c r="N979" s="26">
        <f>MIN(D979:M979)</f>
        <v>0</v>
      </c>
      <c r="O979" s="2">
        <f>C979-N979</f>
        <v>1</v>
      </c>
      <c r="P979" s="24">
        <f>O979/C979</f>
        <v>1</v>
      </c>
    </row>
    <row r="980" spans="1:16" ht="9.75" customHeight="1">
      <c r="A980" s="18"/>
      <c r="B980" s="18" t="s">
        <v>36</v>
      </c>
      <c r="C980" s="18"/>
      <c r="D980" s="26"/>
      <c r="E980" s="2"/>
      <c r="F980" s="2"/>
      <c r="G980" s="2"/>
      <c r="H980" s="2"/>
      <c r="I980" s="2"/>
      <c r="J980" s="2"/>
      <c r="K980" s="2"/>
      <c r="L980" s="2"/>
      <c r="M980" s="27"/>
      <c r="N980" s="26"/>
      <c r="O980" s="2"/>
      <c r="P980" s="24"/>
    </row>
    <row r="981" spans="1:16" ht="9.75" customHeight="1">
      <c r="A981" s="18"/>
      <c r="B981" s="18" t="s">
        <v>37</v>
      </c>
      <c r="C981" s="18"/>
      <c r="D981" s="26"/>
      <c r="E981" s="2"/>
      <c r="F981" s="2"/>
      <c r="G981" s="2"/>
      <c r="H981" s="2"/>
      <c r="I981" s="2"/>
      <c r="J981" s="2"/>
      <c r="K981" s="2"/>
      <c r="L981" s="2"/>
      <c r="M981" s="27"/>
      <c r="N981" s="26"/>
      <c r="O981" s="2"/>
      <c r="P981" s="24"/>
    </row>
    <row r="982" spans="1:16" ht="9.75" customHeight="1">
      <c r="A982" s="32"/>
      <c r="B982" s="33" t="s">
        <v>38</v>
      </c>
      <c r="C982" s="33">
        <f t="shared" ref="C982:M982" si="187">SUM(C966:C981)</f>
        <v>1</v>
      </c>
      <c r="D982" s="70">
        <f t="shared" si="187"/>
        <v>0</v>
      </c>
      <c r="E982" s="71">
        <f t="shared" si="187"/>
        <v>0</v>
      </c>
      <c r="F982" s="71">
        <f t="shared" si="187"/>
        <v>0</v>
      </c>
      <c r="G982" s="71">
        <f t="shared" si="187"/>
        <v>0</v>
      </c>
      <c r="H982" s="71">
        <f t="shared" si="187"/>
        <v>0</v>
      </c>
      <c r="I982" s="71">
        <f t="shared" si="187"/>
        <v>0</v>
      </c>
      <c r="J982" s="71">
        <f t="shared" si="187"/>
        <v>0</v>
      </c>
      <c r="K982" s="71">
        <f t="shared" si="187"/>
        <v>0</v>
      </c>
      <c r="L982" s="71">
        <f t="shared" si="187"/>
        <v>0</v>
      </c>
      <c r="M982" s="93">
        <f t="shared" si="187"/>
        <v>0</v>
      </c>
      <c r="N982" s="70">
        <f>MIN(D982:M982)</f>
        <v>0</v>
      </c>
      <c r="O982" s="71">
        <f>C982-N982</f>
        <v>1</v>
      </c>
      <c r="P982" s="40">
        <f>O982/C982</f>
        <v>1</v>
      </c>
    </row>
    <row r="983" spans="1:16" ht="9.75" customHeight="1">
      <c r="A983" s="66" t="s">
        <v>206</v>
      </c>
      <c r="B983" s="160" t="s">
        <v>23</v>
      </c>
      <c r="C983" s="66"/>
      <c r="D983" s="41"/>
      <c r="E983" s="72"/>
      <c r="F983" s="72"/>
      <c r="G983" s="72"/>
      <c r="H983" s="72"/>
      <c r="I983" s="72"/>
      <c r="J983" s="72"/>
      <c r="K983" s="72"/>
      <c r="L983" s="72"/>
      <c r="M983" s="73"/>
      <c r="N983" s="41"/>
      <c r="O983" s="72"/>
      <c r="P983" s="99"/>
    </row>
    <row r="984" spans="1:16" ht="9.75" customHeight="1">
      <c r="A984" s="18"/>
      <c r="B984" s="18" t="s">
        <v>25</v>
      </c>
      <c r="C984" s="18">
        <v>49</v>
      </c>
      <c r="D984" s="115">
        <v>40</v>
      </c>
      <c r="E984" s="116">
        <v>35</v>
      </c>
      <c r="F984" s="116">
        <v>30</v>
      </c>
      <c r="G984" s="116">
        <v>29</v>
      </c>
      <c r="H984" s="116">
        <v>27</v>
      </c>
      <c r="I984" s="52">
        <v>41</v>
      </c>
      <c r="J984" s="52">
        <v>41</v>
      </c>
      <c r="K984" s="52">
        <v>43</v>
      </c>
      <c r="L984" s="52" t="s">
        <v>207</v>
      </c>
      <c r="M984" s="87">
        <f>C984-19</f>
        <v>30</v>
      </c>
      <c r="N984" s="26">
        <f>MIN(D984:M984)</f>
        <v>27</v>
      </c>
      <c r="O984" s="2">
        <f>C984-N984</f>
        <v>22</v>
      </c>
      <c r="P984" s="24">
        <f>O984/C984</f>
        <v>0.44897959183673469</v>
      </c>
    </row>
    <row r="985" spans="1:16" ht="9.75" customHeight="1">
      <c r="A985" s="18"/>
      <c r="B985" s="18" t="s">
        <v>27</v>
      </c>
      <c r="C985" s="18"/>
      <c r="D985" s="26"/>
      <c r="E985" s="2"/>
      <c r="F985" s="2"/>
      <c r="G985" s="2"/>
      <c r="H985" s="2"/>
      <c r="I985" s="111"/>
      <c r="J985" s="111"/>
      <c r="K985" s="111"/>
      <c r="L985" s="111"/>
      <c r="M985" s="112"/>
      <c r="N985" s="26"/>
      <c r="O985" s="2"/>
      <c r="P985" s="24"/>
    </row>
    <row r="986" spans="1:16" ht="9.75" customHeight="1">
      <c r="A986" s="18"/>
      <c r="B986" s="18" t="s">
        <v>99</v>
      </c>
      <c r="C986" s="18"/>
      <c r="D986" s="26"/>
      <c r="E986" s="2"/>
      <c r="F986" s="2"/>
      <c r="G986" s="2"/>
      <c r="H986" s="2"/>
      <c r="I986" s="111"/>
      <c r="J986" s="111"/>
      <c r="K986" s="111"/>
      <c r="L986" s="111"/>
      <c r="M986" s="112"/>
      <c r="N986" s="26"/>
      <c r="O986" s="2"/>
      <c r="P986" s="24"/>
    </row>
    <row r="987" spans="1:16" ht="9.75" customHeight="1">
      <c r="A987" s="18"/>
      <c r="B987" s="18" t="s">
        <v>99</v>
      </c>
      <c r="C987" s="18"/>
      <c r="D987" s="26"/>
      <c r="E987" s="2"/>
      <c r="F987" s="2"/>
      <c r="G987" s="2"/>
      <c r="H987" s="2"/>
      <c r="I987" s="111"/>
      <c r="J987" s="111"/>
      <c r="K987" s="111"/>
      <c r="L987" s="111"/>
      <c r="M987" s="112"/>
      <c r="N987" s="26"/>
      <c r="O987" s="2"/>
      <c r="P987" s="24"/>
    </row>
    <row r="988" spans="1:16" ht="9.75" customHeight="1">
      <c r="A988" s="18"/>
      <c r="B988" s="18" t="s">
        <v>32</v>
      </c>
      <c r="C988" s="18"/>
      <c r="D988" s="26"/>
      <c r="E988" s="2"/>
      <c r="F988" s="2"/>
      <c r="G988" s="2"/>
      <c r="H988" s="2"/>
      <c r="I988" s="111"/>
      <c r="J988" s="111"/>
      <c r="K988" s="111"/>
      <c r="L988" s="111"/>
      <c r="M988" s="112"/>
      <c r="N988" s="26"/>
      <c r="O988" s="2"/>
      <c r="P988" s="24"/>
    </row>
    <row r="989" spans="1:16" ht="9.75" customHeight="1">
      <c r="A989" s="18"/>
      <c r="B989" s="18" t="s">
        <v>104</v>
      </c>
      <c r="C989" s="18"/>
      <c r="D989" s="26"/>
      <c r="E989" s="2"/>
      <c r="F989" s="2"/>
      <c r="G989" s="2"/>
      <c r="H989" s="2"/>
      <c r="I989" s="111"/>
      <c r="J989" s="111"/>
      <c r="K989" s="111"/>
      <c r="L989" s="111"/>
      <c r="M989" s="112"/>
      <c r="N989" s="26"/>
      <c r="O989" s="2"/>
      <c r="P989" s="24"/>
    </row>
    <row r="990" spans="1:16" ht="9.75" customHeight="1">
      <c r="A990" s="18"/>
      <c r="B990" s="18" t="s">
        <v>104</v>
      </c>
      <c r="C990" s="18"/>
      <c r="D990" s="26"/>
      <c r="E990" s="2"/>
      <c r="F990" s="2"/>
      <c r="G990" s="2"/>
      <c r="H990" s="2"/>
      <c r="I990" s="111"/>
      <c r="J990" s="111"/>
      <c r="K990" s="111"/>
      <c r="L990" s="111"/>
      <c r="M990" s="112"/>
      <c r="N990" s="26"/>
      <c r="O990" s="2"/>
      <c r="P990" s="24"/>
    </row>
    <row r="991" spans="1:16" ht="9.75" customHeight="1">
      <c r="A991" s="18"/>
      <c r="B991" s="18" t="s">
        <v>104</v>
      </c>
      <c r="C991" s="18"/>
      <c r="D991" s="26"/>
      <c r="E991" s="2"/>
      <c r="F991" s="2"/>
      <c r="G991" s="2"/>
      <c r="H991" s="2"/>
      <c r="I991" s="111"/>
      <c r="J991" s="111"/>
      <c r="K991" s="111"/>
      <c r="L991" s="111"/>
      <c r="M991" s="112"/>
      <c r="N991" s="26"/>
      <c r="O991" s="2"/>
      <c r="P991" s="24"/>
    </row>
    <row r="992" spans="1:16" ht="9.75" customHeight="1">
      <c r="A992" s="18"/>
      <c r="B992" s="18" t="s">
        <v>104</v>
      </c>
      <c r="C992" s="18"/>
      <c r="D992" s="26"/>
      <c r="E992" s="2"/>
      <c r="F992" s="2"/>
      <c r="G992" s="2"/>
      <c r="H992" s="2"/>
      <c r="I992" s="111"/>
      <c r="J992" s="111"/>
      <c r="K992" s="111"/>
      <c r="L992" s="111"/>
      <c r="M992" s="112"/>
      <c r="N992" s="26"/>
      <c r="O992" s="2"/>
      <c r="P992" s="24"/>
    </row>
    <row r="993" spans="1:16" ht="9.75" customHeight="1">
      <c r="A993" s="18"/>
      <c r="B993" s="18" t="s">
        <v>104</v>
      </c>
      <c r="C993" s="18"/>
      <c r="D993" s="26"/>
      <c r="E993" s="2"/>
      <c r="F993" s="2"/>
      <c r="G993" s="2"/>
      <c r="H993" s="2"/>
      <c r="I993" s="111"/>
      <c r="J993" s="111"/>
      <c r="K993" s="111"/>
      <c r="L993" s="111"/>
      <c r="M993" s="112"/>
      <c r="N993" s="26"/>
      <c r="O993" s="2"/>
      <c r="P993" s="24"/>
    </row>
    <row r="994" spans="1:16" ht="9.75" customHeight="1">
      <c r="A994" s="18"/>
      <c r="B994" s="18" t="s">
        <v>104</v>
      </c>
      <c r="C994" s="18"/>
      <c r="D994" s="26"/>
      <c r="E994" s="2"/>
      <c r="F994" s="2"/>
      <c r="G994" s="2"/>
      <c r="H994" s="2"/>
      <c r="I994" s="111"/>
      <c r="J994" s="111"/>
      <c r="K994" s="111"/>
      <c r="L994" s="111"/>
      <c r="M994" s="112"/>
      <c r="N994" s="26"/>
      <c r="O994" s="2"/>
      <c r="P994" s="24"/>
    </row>
    <row r="995" spans="1:16" ht="9.75" customHeight="1">
      <c r="A995" s="18"/>
      <c r="B995" s="18" t="s">
        <v>34</v>
      </c>
      <c r="C995" s="18"/>
      <c r="D995" s="26"/>
      <c r="E995" s="2"/>
      <c r="F995" s="2"/>
      <c r="G995" s="2"/>
      <c r="H995" s="2"/>
      <c r="I995" s="111"/>
      <c r="J995" s="111"/>
      <c r="K995" s="111"/>
      <c r="L995" s="111"/>
      <c r="M995" s="112"/>
      <c r="N995" s="26"/>
      <c r="O995" s="2"/>
      <c r="P995" s="24"/>
    </row>
    <row r="996" spans="1:16" ht="9.75" customHeight="1">
      <c r="A996" s="18"/>
      <c r="B996" s="18" t="s">
        <v>35</v>
      </c>
      <c r="C996" s="18">
        <v>6</v>
      </c>
      <c r="D996" s="115">
        <v>1</v>
      </c>
      <c r="E996" s="116">
        <v>2</v>
      </c>
      <c r="F996" s="116">
        <v>3</v>
      </c>
      <c r="G996" s="116">
        <v>2</v>
      </c>
      <c r="H996" s="116">
        <v>1</v>
      </c>
      <c r="I996" s="52">
        <v>1</v>
      </c>
      <c r="J996" s="52">
        <v>1</v>
      </c>
      <c r="K996" s="52">
        <v>1</v>
      </c>
      <c r="L996" s="52">
        <v>1</v>
      </c>
      <c r="M996" s="87">
        <v>1</v>
      </c>
      <c r="N996" s="26">
        <f>MIN(D996:M996)</f>
        <v>1</v>
      </c>
      <c r="O996" s="2">
        <f>C996-N996</f>
        <v>5</v>
      </c>
      <c r="P996" s="24">
        <f>O996/C996</f>
        <v>0.83333333333333337</v>
      </c>
    </row>
    <row r="997" spans="1:16" ht="9.75" customHeight="1">
      <c r="A997" s="18"/>
      <c r="B997" s="18" t="s">
        <v>36</v>
      </c>
      <c r="C997" s="18"/>
      <c r="D997" s="26"/>
      <c r="E997" s="2"/>
      <c r="F997" s="2"/>
      <c r="G997" s="2"/>
      <c r="H997" s="2"/>
      <c r="I997" s="2"/>
      <c r="J997" s="2"/>
      <c r="K997" s="2"/>
      <c r="L997" s="2"/>
      <c r="M997" s="27"/>
      <c r="N997" s="26"/>
      <c r="O997" s="2"/>
      <c r="P997" s="24"/>
    </row>
    <row r="998" spans="1:16" ht="9.75" customHeight="1">
      <c r="A998" s="18"/>
      <c r="B998" s="18" t="s">
        <v>37</v>
      </c>
      <c r="C998" s="18"/>
      <c r="D998" s="26"/>
      <c r="E998" s="2"/>
      <c r="F998" s="2"/>
      <c r="G998" s="2"/>
      <c r="H998" s="2"/>
      <c r="I998" s="2"/>
      <c r="J998" s="2"/>
      <c r="K998" s="2"/>
      <c r="L998" s="2"/>
      <c r="M998" s="27"/>
      <c r="N998" s="26"/>
      <c r="O998" s="2"/>
      <c r="P998" s="24"/>
    </row>
    <row r="999" spans="1:16" ht="9.75" customHeight="1">
      <c r="A999" s="32"/>
      <c r="B999" s="33" t="s">
        <v>38</v>
      </c>
      <c r="C999" s="33">
        <f t="shared" ref="C999:M999" si="188">SUM(C983:C998)</f>
        <v>55</v>
      </c>
      <c r="D999" s="70">
        <f t="shared" si="188"/>
        <v>41</v>
      </c>
      <c r="E999" s="71">
        <f t="shared" si="188"/>
        <v>37</v>
      </c>
      <c r="F999" s="71">
        <f t="shared" si="188"/>
        <v>33</v>
      </c>
      <c r="G999" s="71">
        <f t="shared" si="188"/>
        <v>31</v>
      </c>
      <c r="H999" s="71">
        <f t="shared" si="188"/>
        <v>28</v>
      </c>
      <c r="I999" s="71">
        <f t="shared" si="188"/>
        <v>42</v>
      </c>
      <c r="J999" s="71">
        <f t="shared" si="188"/>
        <v>42</v>
      </c>
      <c r="K999" s="71">
        <f t="shared" si="188"/>
        <v>44</v>
      </c>
      <c r="L999" s="71">
        <f t="shared" si="188"/>
        <v>1</v>
      </c>
      <c r="M999" s="93">
        <f t="shared" si="188"/>
        <v>31</v>
      </c>
      <c r="N999" s="70">
        <f>MIN(D999:M999)</f>
        <v>1</v>
      </c>
      <c r="O999" s="71">
        <f>C999-N999</f>
        <v>54</v>
      </c>
      <c r="P999" s="40">
        <f>O999/C999</f>
        <v>0.98181818181818181</v>
      </c>
    </row>
    <row r="1000" spans="1:16" ht="9.75" customHeight="1">
      <c r="A1000" s="66" t="s">
        <v>208</v>
      </c>
      <c r="B1000" s="66" t="s">
        <v>23</v>
      </c>
      <c r="C1000" s="66"/>
      <c r="D1000" s="41"/>
      <c r="E1000" s="72"/>
      <c r="F1000" s="72"/>
      <c r="G1000" s="72"/>
      <c r="H1000" s="72"/>
      <c r="I1000" s="72"/>
      <c r="J1000" s="72"/>
      <c r="K1000" s="72"/>
      <c r="L1000" s="72"/>
      <c r="M1000" s="73"/>
      <c r="N1000" s="41"/>
      <c r="O1000" s="72"/>
      <c r="P1000" s="99"/>
    </row>
    <row r="1001" spans="1:16" ht="9.75" customHeight="1">
      <c r="A1001" s="18"/>
      <c r="B1001" s="18" t="s">
        <v>25</v>
      </c>
      <c r="C1001" s="18"/>
      <c r="D1001" s="26"/>
      <c r="E1001" s="2"/>
      <c r="F1001" s="2"/>
      <c r="G1001" s="2"/>
      <c r="H1001" s="2"/>
      <c r="I1001" s="2"/>
      <c r="J1001" s="2"/>
      <c r="K1001" s="2"/>
      <c r="L1001" s="2"/>
      <c r="M1001" s="27"/>
      <c r="N1001" s="26"/>
      <c r="O1001" s="2"/>
      <c r="P1001" s="24"/>
    </row>
    <row r="1002" spans="1:16" ht="9.75" customHeight="1">
      <c r="A1002" s="18"/>
      <c r="B1002" s="18" t="s">
        <v>27</v>
      </c>
      <c r="C1002" s="18">
        <v>126</v>
      </c>
      <c r="D1002" s="26">
        <f>126-7</f>
        <v>119</v>
      </c>
      <c r="E1002" s="116">
        <v>119</v>
      </c>
      <c r="F1002" s="116">
        <v>119</v>
      </c>
      <c r="G1002" s="116">
        <v>119</v>
      </c>
      <c r="H1002" s="116">
        <v>119</v>
      </c>
      <c r="I1002" s="52">
        <v>119</v>
      </c>
      <c r="J1002" s="52">
        <v>119</v>
      </c>
      <c r="K1002" s="52">
        <v>125</v>
      </c>
      <c r="L1002" s="52">
        <v>126</v>
      </c>
      <c r="M1002" s="87">
        <v>126</v>
      </c>
      <c r="N1002" s="26">
        <f>MIN(D1002:M1002)</f>
        <v>119</v>
      </c>
      <c r="O1002" s="2">
        <f>C1002-N1002</f>
        <v>7</v>
      </c>
      <c r="P1002" s="24">
        <f>O1002/C1002</f>
        <v>5.5555555555555552E-2</v>
      </c>
    </row>
    <row r="1003" spans="1:16" ht="9.75" customHeight="1">
      <c r="A1003" s="18"/>
      <c r="B1003" s="18" t="s">
        <v>99</v>
      </c>
      <c r="C1003" s="18"/>
      <c r="D1003" s="26"/>
      <c r="E1003" s="2"/>
      <c r="F1003" s="2"/>
      <c r="G1003" s="2"/>
      <c r="H1003" s="2"/>
      <c r="I1003" s="2"/>
      <c r="J1003" s="2"/>
      <c r="K1003" s="2"/>
      <c r="L1003" s="2"/>
      <c r="M1003" s="27"/>
      <c r="N1003" s="26"/>
      <c r="O1003" s="2"/>
      <c r="P1003" s="24"/>
    </row>
    <row r="1004" spans="1:16" ht="9.75" customHeight="1">
      <c r="A1004" s="18"/>
      <c r="B1004" s="18" t="s">
        <v>99</v>
      </c>
      <c r="C1004" s="18"/>
      <c r="D1004" s="26"/>
      <c r="E1004" s="2"/>
      <c r="F1004" s="2"/>
      <c r="G1004" s="2"/>
      <c r="H1004" s="2"/>
      <c r="I1004" s="2"/>
      <c r="J1004" s="2"/>
      <c r="K1004" s="2"/>
      <c r="L1004" s="2"/>
      <c r="M1004" s="27"/>
      <c r="N1004" s="26"/>
      <c r="O1004" s="2"/>
      <c r="P1004" s="24"/>
    </row>
    <row r="1005" spans="1:16" ht="9.75" customHeight="1">
      <c r="A1005" s="18"/>
      <c r="B1005" s="18" t="s">
        <v>32</v>
      </c>
      <c r="C1005" s="18"/>
      <c r="D1005" s="26"/>
      <c r="E1005" s="2"/>
      <c r="F1005" s="2"/>
      <c r="G1005" s="2"/>
      <c r="H1005" s="2"/>
      <c r="I1005" s="2"/>
      <c r="J1005" s="2"/>
      <c r="K1005" s="2"/>
      <c r="L1005" s="2"/>
      <c r="M1005" s="27"/>
      <c r="N1005" s="26"/>
      <c r="O1005" s="2"/>
      <c r="P1005" s="24"/>
    </row>
    <row r="1006" spans="1:16" ht="9.75" customHeight="1">
      <c r="A1006" s="18"/>
      <c r="B1006" s="18" t="s">
        <v>104</v>
      </c>
      <c r="C1006" s="18"/>
      <c r="D1006" s="26"/>
      <c r="E1006" s="2"/>
      <c r="F1006" s="2"/>
      <c r="G1006" s="2"/>
      <c r="H1006" s="2"/>
      <c r="I1006" s="2"/>
      <c r="J1006" s="2"/>
      <c r="K1006" s="2"/>
      <c r="L1006" s="2"/>
      <c r="M1006" s="27"/>
      <c r="N1006" s="26"/>
      <c r="O1006" s="2"/>
      <c r="P1006" s="24"/>
    </row>
    <row r="1007" spans="1:16" ht="9.75" customHeight="1">
      <c r="A1007" s="18"/>
      <c r="B1007" s="18" t="s">
        <v>104</v>
      </c>
      <c r="C1007" s="18"/>
      <c r="D1007" s="26"/>
      <c r="E1007" s="2"/>
      <c r="F1007" s="2"/>
      <c r="G1007" s="2"/>
      <c r="H1007" s="2"/>
      <c r="I1007" s="2"/>
      <c r="J1007" s="2"/>
      <c r="K1007" s="2"/>
      <c r="L1007" s="2"/>
      <c r="M1007" s="27"/>
      <c r="N1007" s="26"/>
      <c r="O1007" s="2"/>
      <c r="P1007" s="24"/>
    </row>
    <row r="1008" spans="1:16" ht="9.75" customHeight="1">
      <c r="A1008" s="18"/>
      <c r="B1008" s="18" t="s">
        <v>104</v>
      </c>
      <c r="C1008" s="18"/>
      <c r="D1008" s="26"/>
      <c r="E1008" s="2"/>
      <c r="F1008" s="2"/>
      <c r="G1008" s="2"/>
      <c r="H1008" s="2"/>
      <c r="I1008" s="2"/>
      <c r="J1008" s="2"/>
      <c r="K1008" s="2"/>
      <c r="L1008" s="2"/>
      <c r="M1008" s="27"/>
      <c r="N1008" s="26"/>
      <c r="O1008" s="2"/>
      <c r="P1008" s="24"/>
    </row>
    <row r="1009" spans="1:16" ht="9.75" customHeight="1">
      <c r="A1009" s="18"/>
      <c r="B1009" s="18" t="s">
        <v>104</v>
      </c>
      <c r="C1009" s="18"/>
      <c r="D1009" s="26"/>
      <c r="E1009" s="2"/>
      <c r="F1009" s="2"/>
      <c r="G1009" s="2"/>
      <c r="H1009" s="2"/>
      <c r="I1009" s="2"/>
      <c r="J1009" s="2"/>
      <c r="K1009" s="2"/>
      <c r="L1009" s="2"/>
      <c r="M1009" s="27"/>
      <c r="N1009" s="26"/>
      <c r="O1009" s="2"/>
      <c r="P1009" s="24"/>
    </row>
    <row r="1010" spans="1:16" ht="9.75" customHeight="1">
      <c r="A1010" s="18"/>
      <c r="B1010" s="18" t="s">
        <v>104</v>
      </c>
      <c r="C1010" s="18"/>
      <c r="D1010" s="26"/>
      <c r="E1010" s="2"/>
      <c r="F1010" s="2"/>
      <c r="G1010" s="2"/>
      <c r="H1010" s="2"/>
      <c r="I1010" s="2"/>
      <c r="J1010" s="2"/>
      <c r="K1010" s="2"/>
      <c r="L1010" s="2"/>
      <c r="M1010" s="27"/>
      <c r="N1010" s="26"/>
      <c r="O1010" s="2"/>
      <c r="P1010" s="24"/>
    </row>
    <row r="1011" spans="1:16" ht="9.75" customHeight="1">
      <c r="A1011" s="18"/>
      <c r="B1011" s="18" t="s">
        <v>104</v>
      </c>
      <c r="C1011" s="18"/>
      <c r="D1011" s="26"/>
      <c r="E1011" s="2"/>
      <c r="F1011" s="2"/>
      <c r="G1011" s="2"/>
      <c r="H1011" s="2"/>
      <c r="I1011" s="2"/>
      <c r="J1011" s="2"/>
      <c r="K1011" s="2"/>
      <c r="L1011" s="2"/>
      <c r="M1011" s="27"/>
      <c r="N1011" s="26"/>
      <c r="O1011" s="2"/>
      <c r="P1011" s="24"/>
    </row>
    <row r="1012" spans="1:16" ht="9.75" customHeight="1">
      <c r="A1012" s="18"/>
      <c r="B1012" s="18" t="s">
        <v>34</v>
      </c>
      <c r="C1012" s="18"/>
      <c r="D1012" s="26"/>
      <c r="E1012" s="2"/>
      <c r="F1012" s="2"/>
      <c r="G1012" s="2"/>
      <c r="H1012" s="2"/>
      <c r="I1012" s="2"/>
      <c r="J1012" s="2"/>
      <c r="K1012" s="2"/>
      <c r="L1012" s="2"/>
      <c r="M1012" s="27"/>
      <c r="N1012" s="26"/>
      <c r="O1012" s="2"/>
      <c r="P1012" s="24"/>
    </row>
    <row r="1013" spans="1:16" ht="9.75" customHeight="1">
      <c r="A1013" s="18"/>
      <c r="B1013" s="18" t="s">
        <v>35</v>
      </c>
      <c r="C1013" s="18"/>
      <c r="D1013" s="26"/>
      <c r="E1013" s="2"/>
      <c r="F1013" s="2"/>
      <c r="G1013" s="2"/>
      <c r="H1013" s="2"/>
      <c r="I1013" s="2"/>
      <c r="J1013" s="2"/>
      <c r="K1013" s="2"/>
      <c r="L1013" s="2"/>
      <c r="M1013" s="27"/>
      <c r="N1013" s="26"/>
      <c r="O1013" s="2"/>
      <c r="P1013" s="24"/>
    </row>
    <row r="1014" spans="1:16" ht="9.75" customHeight="1">
      <c r="A1014" s="18"/>
      <c r="B1014" s="18" t="s">
        <v>36</v>
      </c>
      <c r="C1014" s="18"/>
      <c r="D1014" s="26"/>
      <c r="E1014" s="2"/>
      <c r="F1014" s="2"/>
      <c r="G1014" s="2"/>
      <c r="H1014" s="2"/>
      <c r="I1014" s="2"/>
      <c r="J1014" s="2"/>
      <c r="K1014" s="2"/>
      <c r="L1014" s="2"/>
      <c r="M1014" s="27"/>
      <c r="N1014" s="26"/>
      <c r="O1014" s="2"/>
      <c r="P1014" s="24"/>
    </row>
    <row r="1015" spans="1:16" ht="9.75" customHeight="1">
      <c r="A1015" s="18"/>
      <c r="B1015" s="18" t="s">
        <v>37</v>
      </c>
      <c r="C1015" s="18"/>
      <c r="D1015" s="26"/>
      <c r="E1015" s="2"/>
      <c r="F1015" s="2"/>
      <c r="G1015" s="2"/>
      <c r="H1015" s="2"/>
      <c r="I1015" s="2"/>
      <c r="J1015" s="2"/>
      <c r="K1015" s="2"/>
      <c r="L1015" s="2"/>
      <c r="M1015" s="27"/>
      <c r="N1015" s="26"/>
      <c r="O1015" s="2"/>
      <c r="P1015" s="24"/>
    </row>
    <row r="1016" spans="1:16" ht="9.75" customHeight="1">
      <c r="A1016" s="32"/>
      <c r="B1016" s="33" t="s">
        <v>38</v>
      </c>
      <c r="C1016" s="33">
        <f t="shared" ref="C1016:M1016" si="189">SUM(C1000:C1015)</f>
        <v>126</v>
      </c>
      <c r="D1016" s="70">
        <f t="shared" si="189"/>
        <v>119</v>
      </c>
      <c r="E1016" s="71">
        <f t="shared" si="189"/>
        <v>119</v>
      </c>
      <c r="F1016" s="71">
        <f t="shared" si="189"/>
        <v>119</v>
      </c>
      <c r="G1016" s="71">
        <f t="shared" si="189"/>
        <v>119</v>
      </c>
      <c r="H1016" s="71">
        <f t="shared" si="189"/>
        <v>119</v>
      </c>
      <c r="I1016" s="71">
        <f t="shared" si="189"/>
        <v>119</v>
      </c>
      <c r="J1016" s="71">
        <f t="shared" si="189"/>
        <v>119</v>
      </c>
      <c r="K1016" s="71">
        <f t="shared" si="189"/>
        <v>125</v>
      </c>
      <c r="L1016" s="71">
        <f t="shared" si="189"/>
        <v>126</v>
      </c>
      <c r="M1016" s="93">
        <f t="shared" si="189"/>
        <v>126</v>
      </c>
      <c r="N1016" s="70">
        <f>MIN(D1016:M1016)</f>
        <v>119</v>
      </c>
      <c r="O1016" s="71">
        <f>C1016-N1016</f>
        <v>7</v>
      </c>
      <c r="P1016" s="40">
        <f>O1016/C1016</f>
        <v>5.5555555555555552E-2</v>
      </c>
    </row>
    <row r="1017" spans="1:16" ht="9.75" customHeight="1">
      <c r="A1017" s="66" t="s">
        <v>209</v>
      </c>
      <c r="B1017" s="66" t="s">
        <v>23</v>
      </c>
      <c r="C1017" s="66"/>
      <c r="D1017" s="41"/>
      <c r="E1017" s="72"/>
      <c r="F1017" s="72"/>
      <c r="G1017" s="72"/>
      <c r="H1017" s="72"/>
      <c r="I1017" s="72"/>
      <c r="J1017" s="72"/>
      <c r="K1017" s="72"/>
      <c r="L1017" s="72"/>
      <c r="M1017" s="73"/>
      <c r="N1017" s="41"/>
      <c r="O1017" s="72"/>
      <c r="P1017" s="99"/>
    </row>
    <row r="1018" spans="1:16" ht="9.75" customHeight="1">
      <c r="A1018" s="18"/>
      <c r="B1018" s="18" t="s">
        <v>25</v>
      </c>
      <c r="C1018" s="18"/>
      <c r="D1018" s="26"/>
      <c r="E1018" s="2"/>
      <c r="F1018" s="2"/>
      <c r="G1018" s="2"/>
      <c r="H1018" s="2"/>
      <c r="I1018" s="2"/>
      <c r="J1018" s="2"/>
      <c r="K1018" s="2"/>
      <c r="L1018" s="2"/>
      <c r="M1018" s="27"/>
      <c r="N1018" s="26"/>
      <c r="O1018" s="2"/>
      <c r="P1018" s="24"/>
    </row>
    <row r="1019" spans="1:16" ht="9.75" customHeight="1">
      <c r="A1019" s="18"/>
      <c r="B1019" s="18" t="s">
        <v>27</v>
      </c>
      <c r="C1019" s="18">
        <v>184</v>
      </c>
      <c r="D1019" s="26">
        <f>C1019-35</f>
        <v>149</v>
      </c>
      <c r="E1019" s="2">
        <f>C1019-40</f>
        <v>144</v>
      </c>
      <c r="F1019" s="2">
        <f>C1019-40</f>
        <v>144</v>
      </c>
      <c r="G1019" s="2">
        <f>C1019-43</f>
        <v>141</v>
      </c>
      <c r="H1019" s="2">
        <f>C1019-45</f>
        <v>139</v>
      </c>
      <c r="I1019" s="52">
        <f>C1019-39</f>
        <v>145</v>
      </c>
      <c r="J1019" s="52">
        <f>C1019-38</f>
        <v>146</v>
      </c>
      <c r="K1019" s="52">
        <f>C1019-15</f>
        <v>169</v>
      </c>
      <c r="L1019" s="52">
        <f>C1019-13</f>
        <v>171</v>
      </c>
      <c r="M1019" s="87">
        <f>C1019-7</f>
        <v>177</v>
      </c>
      <c r="N1019" s="26">
        <f>MIN(D1019:M1019)</f>
        <v>139</v>
      </c>
      <c r="O1019" s="2">
        <f>C1019-N1019</f>
        <v>45</v>
      </c>
      <c r="P1019" s="24">
        <f>O1019/C1019</f>
        <v>0.24456521739130435</v>
      </c>
    </row>
    <row r="1020" spans="1:16" ht="9.75" customHeight="1">
      <c r="A1020" s="18"/>
      <c r="B1020" s="18" t="s">
        <v>99</v>
      </c>
      <c r="C1020" s="18"/>
      <c r="D1020" s="26"/>
      <c r="E1020" s="2"/>
      <c r="F1020" s="2"/>
      <c r="G1020" s="2"/>
      <c r="H1020" s="2"/>
      <c r="I1020" s="111"/>
      <c r="J1020" s="111"/>
      <c r="K1020" s="111"/>
      <c r="L1020" s="111"/>
      <c r="M1020" s="112"/>
      <c r="N1020" s="26"/>
      <c r="O1020" s="2"/>
      <c r="P1020" s="24"/>
    </row>
    <row r="1021" spans="1:16" ht="9.75" customHeight="1">
      <c r="A1021" s="18"/>
      <c r="B1021" s="18" t="s">
        <v>99</v>
      </c>
      <c r="C1021" s="18"/>
      <c r="D1021" s="26"/>
      <c r="E1021" s="2"/>
      <c r="F1021" s="2"/>
      <c r="G1021" s="2"/>
      <c r="H1021" s="2"/>
      <c r="I1021" s="111"/>
      <c r="J1021" s="111"/>
      <c r="K1021" s="111"/>
      <c r="L1021" s="111"/>
      <c r="M1021" s="112"/>
      <c r="N1021" s="26"/>
      <c r="O1021" s="2"/>
      <c r="P1021" s="24"/>
    </row>
    <row r="1022" spans="1:16" ht="9.75" customHeight="1">
      <c r="A1022" s="18"/>
      <c r="B1022" s="18" t="s">
        <v>32</v>
      </c>
      <c r="C1022" s="18"/>
      <c r="D1022" s="26"/>
      <c r="E1022" s="2"/>
      <c r="F1022" s="2"/>
      <c r="G1022" s="2"/>
      <c r="H1022" s="2"/>
      <c r="I1022" s="111"/>
      <c r="J1022" s="111"/>
      <c r="K1022" s="111"/>
      <c r="L1022" s="111"/>
      <c r="M1022" s="112"/>
      <c r="N1022" s="26"/>
      <c r="O1022" s="2"/>
      <c r="P1022" s="24"/>
    </row>
    <row r="1023" spans="1:16" ht="9.75" customHeight="1">
      <c r="A1023" s="18"/>
      <c r="B1023" s="18" t="s">
        <v>104</v>
      </c>
      <c r="C1023" s="18"/>
      <c r="D1023" s="26"/>
      <c r="E1023" s="2"/>
      <c r="F1023" s="2"/>
      <c r="G1023" s="2"/>
      <c r="H1023" s="2"/>
      <c r="I1023" s="111"/>
      <c r="J1023" s="111"/>
      <c r="K1023" s="111"/>
      <c r="L1023" s="111"/>
      <c r="M1023" s="112"/>
      <c r="N1023" s="26"/>
      <c r="O1023" s="2"/>
      <c r="P1023" s="24"/>
    </row>
    <row r="1024" spans="1:16" ht="9.75" customHeight="1">
      <c r="A1024" s="18"/>
      <c r="B1024" s="18" t="s">
        <v>104</v>
      </c>
      <c r="C1024" s="18"/>
      <c r="D1024" s="26"/>
      <c r="E1024" s="2"/>
      <c r="F1024" s="2"/>
      <c r="G1024" s="2"/>
      <c r="H1024" s="2"/>
      <c r="I1024" s="111"/>
      <c r="J1024" s="111"/>
      <c r="K1024" s="111"/>
      <c r="L1024" s="111"/>
      <c r="M1024" s="112"/>
      <c r="N1024" s="26"/>
      <c r="O1024" s="2"/>
      <c r="P1024" s="24"/>
    </row>
    <row r="1025" spans="1:16" ht="9.75" customHeight="1">
      <c r="A1025" s="18"/>
      <c r="B1025" s="18" t="s">
        <v>104</v>
      </c>
      <c r="C1025" s="18"/>
      <c r="D1025" s="26"/>
      <c r="E1025" s="2"/>
      <c r="F1025" s="2"/>
      <c r="G1025" s="2"/>
      <c r="H1025" s="2"/>
      <c r="I1025" s="111"/>
      <c r="J1025" s="111"/>
      <c r="K1025" s="111"/>
      <c r="L1025" s="111"/>
      <c r="M1025" s="112"/>
      <c r="N1025" s="26"/>
      <c r="O1025" s="2"/>
      <c r="P1025" s="24"/>
    </row>
    <row r="1026" spans="1:16" ht="9.75" customHeight="1">
      <c r="A1026" s="18"/>
      <c r="B1026" s="18" t="s">
        <v>104</v>
      </c>
      <c r="C1026" s="18"/>
      <c r="D1026" s="26"/>
      <c r="E1026" s="2"/>
      <c r="F1026" s="2"/>
      <c r="G1026" s="2"/>
      <c r="H1026" s="2"/>
      <c r="I1026" s="111"/>
      <c r="J1026" s="111"/>
      <c r="K1026" s="111"/>
      <c r="L1026" s="111"/>
      <c r="M1026" s="112"/>
      <c r="N1026" s="26"/>
      <c r="O1026" s="2"/>
      <c r="P1026" s="24"/>
    </row>
    <row r="1027" spans="1:16" ht="9.75" customHeight="1">
      <c r="A1027" s="18"/>
      <c r="B1027" s="18" t="s">
        <v>104</v>
      </c>
      <c r="C1027" s="18"/>
      <c r="D1027" s="26"/>
      <c r="E1027" s="2"/>
      <c r="F1027" s="2"/>
      <c r="G1027" s="2"/>
      <c r="H1027" s="2"/>
      <c r="I1027" s="111"/>
      <c r="J1027" s="111"/>
      <c r="K1027" s="111"/>
      <c r="L1027" s="111"/>
      <c r="M1027" s="112"/>
      <c r="N1027" s="26"/>
      <c r="O1027" s="2"/>
      <c r="P1027" s="24"/>
    </row>
    <row r="1028" spans="1:16" ht="9.75" customHeight="1">
      <c r="A1028" s="18"/>
      <c r="B1028" s="18" t="s">
        <v>104</v>
      </c>
      <c r="C1028" s="18"/>
      <c r="D1028" s="26"/>
      <c r="E1028" s="2"/>
      <c r="F1028" s="2"/>
      <c r="G1028" s="2"/>
      <c r="H1028" s="2"/>
      <c r="I1028" s="111"/>
      <c r="J1028" s="111"/>
      <c r="K1028" s="111"/>
      <c r="L1028" s="111"/>
      <c r="M1028" s="112"/>
      <c r="N1028" s="26"/>
      <c r="O1028" s="2"/>
      <c r="P1028" s="24"/>
    </row>
    <row r="1029" spans="1:16" ht="9.75" customHeight="1">
      <c r="A1029" s="18"/>
      <c r="B1029" s="18" t="s">
        <v>34</v>
      </c>
      <c r="C1029" s="18"/>
      <c r="D1029" s="26"/>
      <c r="E1029" s="2"/>
      <c r="F1029" s="2"/>
      <c r="G1029" s="2"/>
      <c r="H1029" s="2"/>
      <c r="I1029" s="111"/>
      <c r="J1029" s="111"/>
      <c r="K1029" s="111"/>
      <c r="L1029" s="111"/>
      <c r="M1029" s="112"/>
      <c r="N1029" s="26"/>
      <c r="O1029" s="2"/>
      <c r="P1029" s="24"/>
    </row>
    <row r="1030" spans="1:16" ht="9.75" customHeight="1">
      <c r="A1030" s="18"/>
      <c r="B1030" s="18" t="s">
        <v>35</v>
      </c>
      <c r="C1030" s="18">
        <v>1</v>
      </c>
      <c r="D1030" s="115">
        <v>1</v>
      </c>
      <c r="E1030" s="116">
        <v>1</v>
      </c>
      <c r="F1030" s="116">
        <v>1</v>
      </c>
      <c r="G1030" s="116">
        <v>1</v>
      </c>
      <c r="H1030" s="116">
        <v>1</v>
      </c>
      <c r="I1030" s="52">
        <v>1</v>
      </c>
      <c r="J1030" s="52">
        <v>1</v>
      </c>
      <c r="K1030" s="52">
        <v>1</v>
      </c>
      <c r="L1030" s="52">
        <v>1</v>
      </c>
      <c r="M1030" s="87">
        <v>1</v>
      </c>
      <c r="N1030" s="26">
        <f>MIN(D1030:M1030)</f>
        <v>1</v>
      </c>
      <c r="O1030" s="2">
        <f>C1030-N1030</f>
        <v>0</v>
      </c>
      <c r="P1030" s="24">
        <f>O1030/C1030</f>
        <v>0</v>
      </c>
    </row>
    <row r="1031" spans="1:16" ht="9.75" customHeight="1">
      <c r="A1031" s="18"/>
      <c r="B1031" s="18" t="s">
        <v>36</v>
      </c>
      <c r="C1031" s="18"/>
      <c r="D1031" s="26"/>
      <c r="E1031" s="2"/>
      <c r="F1031" s="2"/>
      <c r="G1031" s="2"/>
      <c r="H1031" s="2"/>
      <c r="I1031" s="2"/>
      <c r="J1031" s="2"/>
      <c r="K1031" s="2"/>
      <c r="L1031" s="2"/>
      <c r="M1031" s="27"/>
      <c r="N1031" s="26"/>
      <c r="O1031" s="2"/>
      <c r="P1031" s="24"/>
    </row>
    <row r="1032" spans="1:16" ht="9.75" customHeight="1">
      <c r="A1032" s="18"/>
      <c r="B1032" s="18" t="s">
        <v>37</v>
      </c>
      <c r="C1032" s="18"/>
      <c r="D1032" s="26"/>
      <c r="E1032" s="2"/>
      <c r="F1032" s="2"/>
      <c r="G1032" s="2"/>
      <c r="H1032" s="2"/>
      <c r="I1032" s="2"/>
      <c r="J1032" s="2"/>
      <c r="K1032" s="2"/>
      <c r="L1032" s="2"/>
      <c r="M1032" s="27"/>
      <c r="N1032" s="26"/>
      <c r="O1032" s="2"/>
      <c r="P1032" s="24"/>
    </row>
    <row r="1033" spans="1:16" ht="9.75" customHeight="1">
      <c r="A1033" s="32"/>
      <c r="B1033" s="33" t="s">
        <v>38</v>
      </c>
      <c r="C1033" s="33">
        <f t="shared" ref="C1033:M1033" si="190">SUM(C1017:C1032)</f>
        <v>185</v>
      </c>
      <c r="D1033" s="70">
        <f t="shared" si="190"/>
        <v>150</v>
      </c>
      <c r="E1033" s="71">
        <f t="shared" si="190"/>
        <v>145</v>
      </c>
      <c r="F1033" s="71">
        <f t="shared" si="190"/>
        <v>145</v>
      </c>
      <c r="G1033" s="71">
        <f t="shared" si="190"/>
        <v>142</v>
      </c>
      <c r="H1033" s="71">
        <f t="shared" si="190"/>
        <v>140</v>
      </c>
      <c r="I1033" s="71">
        <f t="shared" si="190"/>
        <v>146</v>
      </c>
      <c r="J1033" s="71">
        <f t="shared" si="190"/>
        <v>147</v>
      </c>
      <c r="K1033" s="71">
        <f t="shared" si="190"/>
        <v>170</v>
      </c>
      <c r="L1033" s="71">
        <f t="shared" si="190"/>
        <v>172</v>
      </c>
      <c r="M1033" s="93">
        <f t="shared" si="190"/>
        <v>178</v>
      </c>
      <c r="N1033" s="70">
        <f>MIN(D1033:M1033)</f>
        <v>140</v>
      </c>
      <c r="O1033" s="71">
        <f>C1033-N1033</f>
        <v>45</v>
      </c>
      <c r="P1033" s="40">
        <f>O1033/C1033</f>
        <v>0.24324324324324326</v>
      </c>
    </row>
    <row r="1034" spans="1:16" ht="9.75" customHeight="1">
      <c r="A1034" s="66" t="s">
        <v>210</v>
      </c>
      <c r="B1034" s="160" t="s">
        <v>23</v>
      </c>
      <c r="C1034" s="66"/>
      <c r="D1034" s="41"/>
      <c r="E1034" s="72"/>
      <c r="F1034" s="72"/>
      <c r="G1034" s="72"/>
      <c r="H1034" s="72"/>
      <c r="I1034" s="72"/>
      <c r="J1034" s="72"/>
      <c r="K1034" s="72"/>
      <c r="L1034" s="72"/>
      <c r="M1034" s="73"/>
      <c r="N1034" s="41"/>
      <c r="O1034" s="72"/>
      <c r="P1034" s="99"/>
    </row>
    <row r="1035" spans="1:16" ht="9.75" customHeight="1">
      <c r="A1035" s="18"/>
      <c r="B1035" s="18" t="s">
        <v>25</v>
      </c>
      <c r="C1035" s="18">
        <v>89</v>
      </c>
      <c r="D1035" s="115">
        <v>37</v>
      </c>
      <c r="E1035" s="116">
        <v>28</v>
      </c>
      <c r="F1035" s="116">
        <v>25</v>
      </c>
      <c r="G1035" s="116">
        <v>20</v>
      </c>
      <c r="H1035" s="116">
        <v>22</v>
      </c>
      <c r="I1035" s="2">
        <v>27</v>
      </c>
      <c r="J1035" s="2">
        <v>34</v>
      </c>
      <c r="K1035" s="2">
        <f>C1035-18</f>
        <v>71</v>
      </c>
      <c r="L1035" s="2">
        <f>C1035-18</f>
        <v>71</v>
      </c>
      <c r="M1035" s="27">
        <f>C1035-13</f>
        <v>76</v>
      </c>
      <c r="N1035" s="26">
        <f t="shared" ref="N1035:N1036" si="191">MIN(D1035:M1035)</f>
        <v>20</v>
      </c>
      <c r="O1035" s="2">
        <f t="shared" ref="O1035:O1036" si="192">C1035-N1035</f>
        <v>69</v>
      </c>
      <c r="P1035" s="24">
        <f t="shared" ref="P1035:P1036" si="193">O1035/C1035</f>
        <v>0.7752808988764045</v>
      </c>
    </row>
    <row r="1036" spans="1:16" ht="9.75" customHeight="1">
      <c r="A1036" s="18"/>
      <c r="B1036" s="18" t="s">
        <v>27</v>
      </c>
      <c r="C1036" s="18">
        <v>100</v>
      </c>
      <c r="D1036" s="115">
        <v>45</v>
      </c>
      <c r="E1036" s="116">
        <v>35</v>
      </c>
      <c r="F1036" s="116">
        <v>40</v>
      </c>
      <c r="G1036" s="116">
        <v>40</v>
      </c>
      <c r="H1036" s="116">
        <v>43</v>
      </c>
      <c r="I1036" s="2">
        <v>45</v>
      </c>
      <c r="J1036" s="2">
        <v>47</v>
      </c>
      <c r="K1036" s="2">
        <f>C1036-15</f>
        <v>85</v>
      </c>
      <c r="L1036" s="2">
        <f>C1036-14</f>
        <v>86</v>
      </c>
      <c r="M1036" s="27">
        <f>C1036-9</f>
        <v>91</v>
      </c>
      <c r="N1036" s="26">
        <f t="shared" si="191"/>
        <v>35</v>
      </c>
      <c r="O1036" s="2">
        <f t="shared" si="192"/>
        <v>65</v>
      </c>
      <c r="P1036" s="24">
        <f t="shared" si="193"/>
        <v>0.65</v>
      </c>
    </row>
    <row r="1037" spans="1:16" ht="9.75" customHeight="1">
      <c r="A1037" s="18"/>
      <c r="B1037" s="18" t="s">
        <v>99</v>
      </c>
      <c r="C1037" s="18"/>
      <c r="D1037" s="26"/>
      <c r="E1037" s="2"/>
      <c r="F1037" s="2"/>
      <c r="G1037" s="2"/>
      <c r="H1037" s="2"/>
      <c r="I1037" s="2"/>
      <c r="J1037" s="2"/>
      <c r="K1037" s="2"/>
      <c r="L1037" s="2"/>
      <c r="M1037" s="27"/>
      <c r="N1037" s="26"/>
      <c r="O1037" s="2"/>
      <c r="P1037" s="24"/>
    </row>
    <row r="1038" spans="1:16" ht="9.75" customHeight="1">
      <c r="A1038" s="18"/>
      <c r="B1038" s="18" t="s">
        <v>99</v>
      </c>
      <c r="C1038" s="18"/>
      <c r="D1038" s="26"/>
      <c r="E1038" s="2"/>
      <c r="F1038" s="2"/>
      <c r="G1038" s="2"/>
      <c r="H1038" s="2"/>
      <c r="I1038" s="2"/>
      <c r="J1038" s="2"/>
      <c r="K1038" s="2"/>
      <c r="L1038" s="2"/>
      <c r="M1038" s="27"/>
      <c r="N1038" s="26"/>
      <c r="O1038" s="2"/>
      <c r="P1038" s="24"/>
    </row>
    <row r="1039" spans="1:16" ht="9.75" customHeight="1">
      <c r="A1039" s="18"/>
      <c r="B1039" s="18" t="s">
        <v>32</v>
      </c>
      <c r="C1039" s="18"/>
      <c r="D1039" s="26"/>
      <c r="E1039" s="2"/>
      <c r="F1039" s="2"/>
      <c r="G1039" s="2"/>
      <c r="H1039" s="2"/>
      <c r="I1039" s="2"/>
      <c r="J1039" s="2"/>
      <c r="K1039" s="2"/>
      <c r="L1039" s="2"/>
      <c r="M1039" s="27"/>
      <c r="N1039" s="26"/>
      <c r="O1039" s="2"/>
      <c r="P1039" s="24"/>
    </row>
    <row r="1040" spans="1:16" ht="9.75" customHeight="1">
      <c r="A1040" s="18"/>
      <c r="B1040" s="18" t="s">
        <v>104</v>
      </c>
      <c r="C1040" s="18"/>
      <c r="D1040" s="26"/>
      <c r="E1040" s="2"/>
      <c r="F1040" s="2"/>
      <c r="G1040" s="2"/>
      <c r="H1040" s="2"/>
      <c r="I1040" s="2"/>
      <c r="J1040" s="2"/>
      <c r="K1040" s="2"/>
      <c r="L1040" s="2"/>
      <c r="M1040" s="27"/>
      <c r="N1040" s="26"/>
      <c r="O1040" s="2"/>
      <c r="P1040" s="24"/>
    </row>
    <row r="1041" spans="1:16" ht="9.75" customHeight="1">
      <c r="A1041" s="18"/>
      <c r="B1041" s="18" t="s">
        <v>104</v>
      </c>
      <c r="C1041" s="18"/>
      <c r="D1041" s="26"/>
      <c r="E1041" s="2"/>
      <c r="F1041" s="2"/>
      <c r="G1041" s="2"/>
      <c r="H1041" s="2"/>
      <c r="I1041" s="2"/>
      <c r="J1041" s="2"/>
      <c r="K1041" s="2"/>
      <c r="L1041" s="2"/>
      <c r="M1041" s="27"/>
      <c r="N1041" s="26"/>
      <c r="O1041" s="2"/>
      <c r="P1041" s="24"/>
    </row>
    <row r="1042" spans="1:16" ht="9.75" customHeight="1">
      <c r="A1042" s="18"/>
      <c r="B1042" s="18" t="s">
        <v>104</v>
      </c>
      <c r="C1042" s="18"/>
      <c r="D1042" s="26"/>
      <c r="E1042" s="2"/>
      <c r="F1042" s="2"/>
      <c r="G1042" s="2"/>
      <c r="H1042" s="2"/>
      <c r="I1042" s="2"/>
      <c r="J1042" s="2"/>
      <c r="K1042" s="2"/>
      <c r="L1042" s="2"/>
      <c r="M1042" s="27"/>
      <c r="N1042" s="26"/>
      <c r="O1042" s="2"/>
      <c r="P1042" s="24"/>
    </row>
    <row r="1043" spans="1:16" ht="9.75" customHeight="1">
      <c r="A1043" s="18"/>
      <c r="B1043" s="18" t="s">
        <v>104</v>
      </c>
      <c r="C1043" s="18"/>
      <c r="D1043" s="26"/>
      <c r="E1043" s="2"/>
      <c r="F1043" s="2"/>
      <c r="G1043" s="2"/>
      <c r="H1043" s="2"/>
      <c r="I1043" s="2"/>
      <c r="J1043" s="2"/>
      <c r="K1043" s="2"/>
      <c r="L1043" s="2"/>
      <c r="M1043" s="27"/>
      <c r="N1043" s="26"/>
      <c r="O1043" s="2"/>
      <c r="P1043" s="24"/>
    </row>
    <row r="1044" spans="1:16" ht="9.75" customHeight="1">
      <c r="A1044" s="18"/>
      <c r="B1044" s="18" t="s">
        <v>104</v>
      </c>
      <c r="C1044" s="18"/>
      <c r="D1044" s="26"/>
      <c r="E1044" s="2"/>
      <c r="F1044" s="2"/>
      <c r="G1044" s="2"/>
      <c r="H1044" s="2"/>
      <c r="I1044" s="2"/>
      <c r="J1044" s="2"/>
      <c r="K1044" s="2"/>
      <c r="L1044" s="2"/>
      <c r="M1044" s="27"/>
      <c r="N1044" s="26"/>
      <c r="O1044" s="2"/>
      <c r="P1044" s="24"/>
    </row>
    <row r="1045" spans="1:16" ht="9.75" customHeight="1">
      <c r="A1045" s="18"/>
      <c r="B1045" s="18" t="s">
        <v>104</v>
      </c>
      <c r="C1045" s="18"/>
      <c r="D1045" s="26"/>
      <c r="E1045" s="2"/>
      <c r="F1045" s="2"/>
      <c r="G1045" s="2"/>
      <c r="H1045" s="2"/>
      <c r="I1045" s="2"/>
      <c r="J1045" s="2"/>
      <c r="K1045" s="2"/>
      <c r="L1045" s="2"/>
      <c r="M1045" s="27"/>
      <c r="N1045" s="26"/>
      <c r="O1045" s="2"/>
      <c r="P1045" s="24"/>
    </row>
    <row r="1046" spans="1:16" ht="9.75" customHeight="1">
      <c r="A1046" s="18"/>
      <c r="B1046" s="18" t="s">
        <v>34</v>
      </c>
      <c r="C1046" s="18"/>
      <c r="D1046" s="26"/>
      <c r="E1046" s="2"/>
      <c r="F1046" s="2"/>
      <c r="G1046" s="2"/>
      <c r="H1046" s="2"/>
      <c r="I1046" s="2"/>
      <c r="J1046" s="2"/>
      <c r="K1046" s="2"/>
      <c r="L1046" s="2"/>
      <c r="M1046" s="27"/>
      <c r="N1046" s="26"/>
      <c r="O1046" s="2"/>
      <c r="P1046" s="24"/>
    </row>
    <row r="1047" spans="1:16" ht="9.75" customHeight="1">
      <c r="A1047" s="18"/>
      <c r="B1047" s="18" t="s">
        <v>35</v>
      </c>
      <c r="C1047" s="18"/>
      <c r="D1047" s="26"/>
      <c r="E1047" s="2"/>
      <c r="F1047" s="2"/>
      <c r="G1047" s="2"/>
      <c r="H1047" s="2"/>
      <c r="I1047" s="2"/>
      <c r="J1047" s="2"/>
      <c r="K1047" s="2"/>
      <c r="L1047" s="2"/>
      <c r="M1047" s="27"/>
      <c r="N1047" s="26"/>
      <c r="O1047" s="2"/>
      <c r="P1047" s="24"/>
    </row>
    <row r="1048" spans="1:16" ht="9.75" customHeight="1">
      <c r="A1048" s="18"/>
      <c r="B1048" s="18" t="s">
        <v>36</v>
      </c>
      <c r="C1048" s="18"/>
      <c r="D1048" s="26"/>
      <c r="E1048" s="2"/>
      <c r="F1048" s="2"/>
      <c r="G1048" s="2"/>
      <c r="H1048" s="2"/>
      <c r="I1048" s="2"/>
      <c r="J1048" s="2"/>
      <c r="K1048" s="2"/>
      <c r="L1048" s="2"/>
      <c r="M1048" s="27"/>
      <c r="N1048" s="26"/>
      <c r="O1048" s="2"/>
      <c r="P1048" s="24"/>
    </row>
    <row r="1049" spans="1:16" ht="9.75" customHeight="1">
      <c r="A1049" s="18"/>
      <c r="B1049" s="18" t="s">
        <v>37</v>
      </c>
      <c r="C1049" s="18"/>
      <c r="D1049" s="26"/>
      <c r="E1049" s="2"/>
      <c r="F1049" s="2"/>
      <c r="G1049" s="2"/>
      <c r="H1049" s="2"/>
      <c r="I1049" s="2"/>
      <c r="J1049" s="2"/>
      <c r="K1049" s="2"/>
      <c r="L1049" s="2"/>
      <c r="M1049" s="27"/>
      <c r="N1049" s="26"/>
      <c r="O1049" s="2"/>
      <c r="P1049" s="24"/>
    </row>
    <row r="1050" spans="1:16" ht="9.75" customHeight="1">
      <c r="A1050" s="32"/>
      <c r="B1050" s="33" t="s">
        <v>38</v>
      </c>
      <c r="C1050" s="33">
        <f t="shared" ref="C1050:M1050" si="194">SUM(C1034:C1049)</f>
        <v>189</v>
      </c>
      <c r="D1050" s="70">
        <f t="shared" si="194"/>
        <v>82</v>
      </c>
      <c r="E1050" s="71">
        <f t="shared" si="194"/>
        <v>63</v>
      </c>
      <c r="F1050" s="71">
        <f t="shared" si="194"/>
        <v>65</v>
      </c>
      <c r="G1050" s="71">
        <f t="shared" si="194"/>
        <v>60</v>
      </c>
      <c r="H1050" s="71">
        <f t="shared" si="194"/>
        <v>65</v>
      </c>
      <c r="I1050" s="71">
        <f t="shared" si="194"/>
        <v>72</v>
      </c>
      <c r="J1050" s="71">
        <f t="shared" si="194"/>
        <v>81</v>
      </c>
      <c r="K1050" s="71">
        <f t="shared" si="194"/>
        <v>156</v>
      </c>
      <c r="L1050" s="71">
        <f t="shared" si="194"/>
        <v>157</v>
      </c>
      <c r="M1050" s="93">
        <f t="shared" si="194"/>
        <v>167</v>
      </c>
      <c r="N1050" s="70">
        <f>MIN(D1050:M1050)</f>
        <v>60</v>
      </c>
      <c r="O1050" s="71">
        <f>C1050-N1050</f>
        <v>129</v>
      </c>
      <c r="P1050" s="40">
        <f>O1050/C1050</f>
        <v>0.68253968253968256</v>
      </c>
    </row>
    <row r="1051" spans="1:16" ht="9.75" customHeight="1">
      <c r="A1051" s="66" t="s">
        <v>211</v>
      </c>
      <c r="B1051" s="160" t="s">
        <v>23</v>
      </c>
      <c r="C1051" s="66"/>
      <c r="D1051" s="41"/>
      <c r="E1051" s="72"/>
      <c r="F1051" s="72"/>
      <c r="G1051" s="72"/>
      <c r="H1051" s="72"/>
      <c r="I1051" s="72"/>
      <c r="J1051" s="72"/>
      <c r="K1051" s="72"/>
      <c r="L1051" s="72"/>
      <c r="M1051" s="73"/>
      <c r="N1051" s="41"/>
      <c r="O1051" s="72"/>
      <c r="P1051" s="99"/>
    </row>
    <row r="1052" spans="1:16" ht="9.75" customHeight="1">
      <c r="A1052" s="18"/>
      <c r="B1052" s="18" t="s">
        <v>25</v>
      </c>
      <c r="C1052" s="18">
        <v>165</v>
      </c>
      <c r="D1052" s="115">
        <v>4</v>
      </c>
      <c r="E1052" s="116">
        <v>4</v>
      </c>
      <c r="F1052" s="116">
        <v>5</v>
      </c>
      <c r="G1052" s="116">
        <v>6</v>
      </c>
      <c r="H1052" s="116">
        <v>5</v>
      </c>
      <c r="I1052" s="52">
        <v>14</v>
      </c>
      <c r="J1052" s="52">
        <v>14</v>
      </c>
      <c r="K1052" s="52">
        <f>C1052-35</f>
        <v>130</v>
      </c>
      <c r="L1052" s="52">
        <f>C1052-29</f>
        <v>136</v>
      </c>
      <c r="M1052" s="87">
        <f>C1052-9</f>
        <v>156</v>
      </c>
      <c r="N1052" s="26">
        <f>MIN(D1052:M1052)</f>
        <v>4</v>
      </c>
      <c r="O1052" s="2">
        <f>C1052-N1052</f>
        <v>161</v>
      </c>
      <c r="P1052" s="24">
        <f>O1052/C1052</f>
        <v>0.97575757575757571</v>
      </c>
    </row>
    <row r="1053" spans="1:16" ht="9.75" customHeight="1">
      <c r="A1053" s="18"/>
      <c r="B1053" s="18" t="s">
        <v>27</v>
      </c>
      <c r="C1053" s="18"/>
      <c r="D1053" s="26"/>
      <c r="E1053" s="2"/>
      <c r="F1053" s="2"/>
      <c r="G1053" s="2"/>
      <c r="H1053" s="2"/>
      <c r="I1053" s="111"/>
      <c r="J1053" s="111"/>
      <c r="K1053" s="111"/>
      <c r="L1053" s="111"/>
      <c r="M1053" s="112"/>
      <c r="N1053" s="26"/>
      <c r="O1053" s="2"/>
      <c r="P1053" s="24"/>
    </row>
    <row r="1054" spans="1:16" ht="9.75" customHeight="1">
      <c r="A1054" s="18"/>
      <c r="B1054" s="18" t="s">
        <v>99</v>
      </c>
      <c r="C1054" s="18"/>
      <c r="D1054" s="26"/>
      <c r="E1054" s="2"/>
      <c r="F1054" s="2"/>
      <c r="G1054" s="2"/>
      <c r="H1054" s="2"/>
      <c r="I1054" s="111"/>
      <c r="J1054" s="111"/>
      <c r="K1054" s="111"/>
      <c r="L1054" s="111"/>
      <c r="M1054" s="112"/>
      <c r="N1054" s="26"/>
      <c r="O1054" s="2"/>
      <c r="P1054" s="24"/>
    </row>
    <row r="1055" spans="1:16" ht="9.75" customHeight="1">
      <c r="A1055" s="18"/>
      <c r="B1055" s="18" t="s">
        <v>99</v>
      </c>
      <c r="C1055" s="18"/>
      <c r="D1055" s="26"/>
      <c r="E1055" s="2"/>
      <c r="F1055" s="2"/>
      <c r="G1055" s="2"/>
      <c r="H1055" s="2"/>
      <c r="I1055" s="111"/>
      <c r="J1055" s="111"/>
      <c r="K1055" s="111"/>
      <c r="L1055" s="111"/>
      <c r="M1055" s="112"/>
      <c r="N1055" s="26"/>
      <c r="O1055" s="2"/>
      <c r="P1055" s="24"/>
    </row>
    <row r="1056" spans="1:16" ht="9.75" customHeight="1">
      <c r="A1056" s="18"/>
      <c r="B1056" s="18" t="s">
        <v>32</v>
      </c>
      <c r="C1056" s="18"/>
      <c r="D1056" s="26"/>
      <c r="E1056" s="2"/>
      <c r="F1056" s="2"/>
      <c r="G1056" s="2"/>
      <c r="H1056" s="2"/>
      <c r="I1056" s="111"/>
      <c r="J1056" s="111"/>
      <c r="K1056" s="111"/>
      <c r="L1056" s="111"/>
      <c r="M1056" s="112"/>
      <c r="N1056" s="26"/>
      <c r="O1056" s="2"/>
      <c r="P1056" s="24"/>
    </row>
    <row r="1057" spans="1:16" ht="9.75" customHeight="1">
      <c r="A1057" s="18"/>
      <c r="B1057" s="18" t="s">
        <v>102</v>
      </c>
      <c r="C1057" s="18">
        <v>10</v>
      </c>
      <c r="D1057" s="115">
        <v>9</v>
      </c>
      <c r="E1057" s="116">
        <v>8</v>
      </c>
      <c r="F1057" s="116">
        <v>9</v>
      </c>
      <c r="G1057" s="116">
        <v>9</v>
      </c>
      <c r="H1057" s="116">
        <v>9</v>
      </c>
      <c r="I1057" s="52">
        <v>9</v>
      </c>
      <c r="J1057" s="52">
        <v>9</v>
      </c>
      <c r="K1057" s="52">
        <v>10</v>
      </c>
      <c r="L1057" s="52">
        <v>10</v>
      </c>
      <c r="M1057" s="87">
        <v>10</v>
      </c>
      <c r="N1057" s="26">
        <f>MIN(D1057:M1057)</f>
        <v>8</v>
      </c>
      <c r="O1057" s="2">
        <f>C1057-N1057</f>
        <v>2</v>
      </c>
      <c r="P1057" s="24">
        <f>O1057/C1057</f>
        <v>0.2</v>
      </c>
    </row>
    <row r="1058" spans="1:16" ht="9.75" customHeight="1">
      <c r="A1058" s="18"/>
      <c r="B1058" s="18" t="s">
        <v>104</v>
      </c>
      <c r="C1058" s="18"/>
      <c r="D1058" s="26"/>
      <c r="E1058" s="2"/>
      <c r="F1058" s="2"/>
      <c r="G1058" s="2"/>
      <c r="H1058" s="2"/>
      <c r="I1058" s="2"/>
      <c r="J1058" s="2"/>
      <c r="K1058" s="2"/>
      <c r="L1058" s="2"/>
      <c r="M1058" s="27"/>
      <c r="N1058" s="26"/>
      <c r="O1058" s="2"/>
      <c r="P1058" s="24"/>
    </row>
    <row r="1059" spans="1:16" ht="9.75" customHeight="1">
      <c r="A1059" s="18"/>
      <c r="B1059" s="18" t="s">
        <v>104</v>
      </c>
      <c r="C1059" s="18"/>
      <c r="D1059" s="26"/>
      <c r="E1059" s="2"/>
      <c r="F1059" s="2"/>
      <c r="G1059" s="2"/>
      <c r="H1059" s="2"/>
      <c r="I1059" s="2"/>
      <c r="J1059" s="2"/>
      <c r="K1059" s="2"/>
      <c r="L1059" s="2"/>
      <c r="M1059" s="27"/>
      <c r="N1059" s="26"/>
      <c r="O1059" s="2"/>
      <c r="P1059" s="24"/>
    </row>
    <row r="1060" spans="1:16" ht="9.75" customHeight="1">
      <c r="A1060" s="18"/>
      <c r="B1060" s="18" t="s">
        <v>104</v>
      </c>
      <c r="C1060" s="18"/>
      <c r="D1060" s="26"/>
      <c r="E1060" s="2"/>
      <c r="F1060" s="2"/>
      <c r="G1060" s="2"/>
      <c r="H1060" s="2"/>
      <c r="I1060" s="2"/>
      <c r="J1060" s="2"/>
      <c r="K1060" s="2"/>
      <c r="L1060" s="2"/>
      <c r="M1060" s="27"/>
      <c r="N1060" s="26"/>
      <c r="O1060" s="2"/>
      <c r="P1060" s="24"/>
    </row>
    <row r="1061" spans="1:16" ht="9.75" customHeight="1">
      <c r="A1061" s="18"/>
      <c r="B1061" s="18" t="s">
        <v>104</v>
      </c>
      <c r="C1061" s="18"/>
      <c r="D1061" s="26"/>
      <c r="E1061" s="2"/>
      <c r="F1061" s="2"/>
      <c r="G1061" s="2"/>
      <c r="H1061" s="2"/>
      <c r="I1061" s="2"/>
      <c r="J1061" s="2"/>
      <c r="K1061" s="2"/>
      <c r="L1061" s="2"/>
      <c r="M1061" s="27"/>
      <c r="N1061" s="26"/>
      <c r="O1061" s="2"/>
      <c r="P1061" s="24"/>
    </row>
    <row r="1062" spans="1:16" ht="9.75" customHeight="1">
      <c r="A1062" s="18"/>
      <c r="B1062" s="18" t="s">
        <v>104</v>
      </c>
      <c r="C1062" s="18"/>
      <c r="D1062" s="26"/>
      <c r="E1062" s="2"/>
      <c r="F1062" s="2"/>
      <c r="G1062" s="2"/>
      <c r="H1062" s="2"/>
      <c r="I1062" s="2"/>
      <c r="J1062" s="2"/>
      <c r="K1062" s="2"/>
      <c r="L1062" s="2"/>
      <c r="M1062" s="27"/>
      <c r="N1062" s="26"/>
      <c r="O1062" s="2"/>
      <c r="P1062" s="24"/>
    </row>
    <row r="1063" spans="1:16" ht="9.75" customHeight="1">
      <c r="A1063" s="18"/>
      <c r="B1063" s="18" t="s">
        <v>34</v>
      </c>
      <c r="C1063" s="18"/>
      <c r="D1063" s="26"/>
      <c r="E1063" s="2"/>
      <c r="F1063" s="2"/>
      <c r="G1063" s="2"/>
      <c r="H1063" s="2"/>
      <c r="I1063" s="2"/>
      <c r="J1063" s="2"/>
      <c r="K1063" s="2"/>
      <c r="L1063" s="2"/>
      <c r="M1063" s="27"/>
      <c r="N1063" s="26"/>
      <c r="O1063" s="2"/>
      <c r="P1063" s="24"/>
    </row>
    <row r="1064" spans="1:16" ht="9.75" customHeight="1">
      <c r="A1064" s="18"/>
      <c r="B1064" s="18" t="s">
        <v>35</v>
      </c>
      <c r="C1064" s="18"/>
      <c r="D1064" s="26"/>
      <c r="E1064" s="2"/>
      <c r="F1064" s="2"/>
      <c r="G1064" s="2"/>
      <c r="H1064" s="2"/>
      <c r="I1064" s="2"/>
      <c r="J1064" s="2"/>
      <c r="K1064" s="2"/>
      <c r="L1064" s="2"/>
      <c r="M1064" s="27"/>
      <c r="N1064" s="26"/>
      <c r="O1064" s="2"/>
      <c r="P1064" s="24"/>
    </row>
    <row r="1065" spans="1:16" ht="9.75" customHeight="1">
      <c r="A1065" s="18"/>
      <c r="B1065" s="18" t="s">
        <v>36</v>
      </c>
      <c r="C1065" s="18"/>
      <c r="D1065" s="26"/>
      <c r="E1065" s="2"/>
      <c r="F1065" s="2"/>
      <c r="G1065" s="2"/>
      <c r="H1065" s="2"/>
      <c r="I1065" s="2"/>
      <c r="J1065" s="2"/>
      <c r="K1065" s="2"/>
      <c r="L1065" s="2"/>
      <c r="M1065" s="27"/>
      <c r="N1065" s="26"/>
      <c r="O1065" s="2"/>
      <c r="P1065" s="24"/>
    </row>
    <row r="1066" spans="1:16" ht="9.75" customHeight="1">
      <c r="A1066" s="18"/>
      <c r="B1066" s="18" t="s">
        <v>37</v>
      </c>
      <c r="C1066" s="18"/>
      <c r="D1066" s="26"/>
      <c r="E1066" s="2"/>
      <c r="F1066" s="2"/>
      <c r="G1066" s="2"/>
      <c r="H1066" s="2"/>
      <c r="I1066" s="2"/>
      <c r="J1066" s="2"/>
      <c r="K1066" s="2"/>
      <c r="L1066" s="2"/>
      <c r="M1066" s="27"/>
      <c r="N1066" s="26"/>
      <c r="O1066" s="2"/>
      <c r="P1066" s="24"/>
    </row>
    <row r="1067" spans="1:16" ht="9.75" customHeight="1">
      <c r="A1067" s="32"/>
      <c r="B1067" s="33" t="s">
        <v>38</v>
      </c>
      <c r="C1067" s="33">
        <f t="shared" ref="C1067:M1067" si="195">SUM(C1051:C1066)</f>
        <v>175</v>
      </c>
      <c r="D1067" s="70">
        <f t="shared" si="195"/>
        <v>13</v>
      </c>
      <c r="E1067" s="71">
        <f t="shared" si="195"/>
        <v>12</v>
      </c>
      <c r="F1067" s="71">
        <f t="shared" si="195"/>
        <v>14</v>
      </c>
      <c r="G1067" s="71">
        <f t="shared" si="195"/>
        <v>15</v>
      </c>
      <c r="H1067" s="71">
        <f t="shared" si="195"/>
        <v>14</v>
      </c>
      <c r="I1067" s="71">
        <f t="shared" si="195"/>
        <v>23</v>
      </c>
      <c r="J1067" s="71">
        <f t="shared" si="195"/>
        <v>23</v>
      </c>
      <c r="K1067" s="71">
        <f t="shared" si="195"/>
        <v>140</v>
      </c>
      <c r="L1067" s="71">
        <f t="shared" si="195"/>
        <v>146</v>
      </c>
      <c r="M1067" s="93">
        <f t="shared" si="195"/>
        <v>166</v>
      </c>
      <c r="N1067" s="70">
        <f t="shared" ref="N1067:N1068" si="196">MIN(D1067:M1067)</f>
        <v>12</v>
      </c>
      <c r="O1067" s="71">
        <f t="shared" ref="O1067:O1068" si="197">C1067-N1067</f>
        <v>163</v>
      </c>
      <c r="P1067" s="40">
        <f t="shared" ref="P1067:P1068" si="198">O1067/C1067</f>
        <v>0.93142857142857138</v>
      </c>
    </row>
    <row r="1068" spans="1:16" ht="9.75" customHeight="1">
      <c r="A1068" s="66" t="s">
        <v>212</v>
      </c>
      <c r="B1068" s="160" t="s">
        <v>23</v>
      </c>
      <c r="C1068" s="66">
        <v>61</v>
      </c>
      <c r="D1068" s="41">
        <f>C1068-7</f>
        <v>54</v>
      </c>
      <c r="E1068" s="159">
        <v>54</v>
      </c>
      <c r="F1068" s="159">
        <v>54</v>
      </c>
      <c r="G1068" s="72">
        <f>61-8</f>
        <v>53</v>
      </c>
      <c r="H1068" s="159">
        <v>51</v>
      </c>
      <c r="I1068" s="72">
        <f>C1068-8</f>
        <v>53</v>
      </c>
      <c r="J1068" s="72">
        <f>C1068-8</f>
        <v>53</v>
      </c>
      <c r="K1068" s="72">
        <f>C1068-8</f>
        <v>53</v>
      </c>
      <c r="L1068" s="72">
        <f>C1068-7</f>
        <v>54</v>
      </c>
      <c r="M1068" s="73">
        <f>C1068-5</f>
        <v>56</v>
      </c>
      <c r="N1068" s="41">
        <f t="shared" si="196"/>
        <v>51</v>
      </c>
      <c r="O1068" s="72">
        <f t="shared" si="197"/>
        <v>10</v>
      </c>
      <c r="P1068" s="99">
        <f t="shared" si="198"/>
        <v>0.16393442622950818</v>
      </c>
    </row>
    <row r="1069" spans="1:16" ht="9.75" customHeight="1">
      <c r="A1069" s="18"/>
      <c r="B1069" s="18" t="s">
        <v>25</v>
      </c>
      <c r="C1069" s="18">
        <f>23+52</f>
        <v>75</v>
      </c>
      <c r="D1069" s="26">
        <v>70</v>
      </c>
      <c r="E1069" s="2">
        <v>67</v>
      </c>
      <c r="F1069" s="2">
        <v>65</v>
      </c>
      <c r="G1069" s="2">
        <v>60</v>
      </c>
      <c r="H1069" s="2">
        <v>58</v>
      </c>
      <c r="I1069" s="2">
        <f>C1069-5-14</f>
        <v>56</v>
      </c>
      <c r="J1069" s="2">
        <f>52-14+20</f>
        <v>58</v>
      </c>
      <c r="K1069" s="2">
        <f>52-14+21</f>
        <v>59</v>
      </c>
      <c r="L1069" s="2">
        <f>52-7+23</f>
        <v>68</v>
      </c>
      <c r="M1069" s="27">
        <f>52-6+22</f>
        <v>68</v>
      </c>
      <c r="N1069" s="26"/>
      <c r="O1069" s="2"/>
      <c r="P1069" s="24"/>
    </row>
    <row r="1070" spans="1:16" ht="9.75" customHeight="1">
      <c r="A1070" s="18"/>
      <c r="B1070" s="18" t="s">
        <v>27</v>
      </c>
      <c r="C1070" s="18"/>
      <c r="D1070" s="26"/>
      <c r="E1070" s="2"/>
      <c r="F1070" s="2"/>
      <c r="G1070" s="2"/>
      <c r="H1070" s="2"/>
      <c r="I1070" s="2"/>
      <c r="J1070" s="2"/>
      <c r="K1070" s="2"/>
      <c r="L1070" s="2"/>
      <c r="M1070" s="27"/>
      <c r="N1070" s="26"/>
      <c r="O1070" s="2"/>
      <c r="P1070" s="24"/>
    </row>
    <row r="1071" spans="1:16" ht="9.75" customHeight="1">
      <c r="A1071" s="18"/>
      <c r="B1071" s="18" t="s">
        <v>177</v>
      </c>
      <c r="C1071" s="18"/>
      <c r="D1071" s="26"/>
      <c r="E1071" s="2"/>
      <c r="F1071" s="2"/>
      <c r="G1071" s="2"/>
      <c r="H1071" s="2"/>
      <c r="I1071" s="2"/>
      <c r="J1071" s="2"/>
      <c r="K1071" s="2"/>
      <c r="L1071" s="2"/>
      <c r="M1071" s="27"/>
      <c r="N1071" s="26"/>
      <c r="O1071" s="2"/>
      <c r="P1071" s="24"/>
    </row>
    <row r="1072" spans="1:16" ht="9.75" customHeight="1">
      <c r="A1072" s="18"/>
      <c r="B1072" s="18" t="s">
        <v>99</v>
      </c>
      <c r="C1072" s="18"/>
      <c r="D1072" s="26"/>
      <c r="E1072" s="2"/>
      <c r="F1072" s="2"/>
      <c r="G1072" s="2"/>
      <c r="H1072" s="2"/>
      <c r="I1072" s="2"/>
      <c r="J1072" s="2"/>
      <c r="K1072" s="2"/>
      <c r="L1072" s="2"/>
      <c r="M1072" s="27"/>
      <c r="N1072" s="26"/>
      <c r="O1072" s="2"/>
      <c r="P1072" s="24"/>
    </row>
    <row r="1073" spans="1:16" ht="9.75" customHeight="1">
      <c r="A1073" s="18"/>
      <c r="B1073" s="18" t="s">
        <v>32</v>
      </c>
      <c r="C1073" s="18">
        <v>8</v>
      </c>
      <c r="D1073" s="115">
        <v>3</v>
      </c>
      <c r="E1073" s="116">
        <v>3</v>
      </c>
      <c r="F1073" s="116">
        <v>5</v>
      </c>
      <c r="G1073" s="116">
        <v>5</v>
      </c>
      <c r="H1073" s="116">
        <v>4</v>
      </c>
      <c r="I1073" s="2">
        <v>3</v>
      </c>
      <c r="J1073" s="2">
        <v>5</v>
      </c>
      <c r="K1073" s="2">
        <v>3</v>
      </c>
      <c r="L1073" s="2">
        <v>3</v>
      </c>
      <c r="M1073" s="27">
        <v>6</v>
      </c>
      <c r="N1073" s="26">
        <f>MIN(D1073:M1073)</f>
        <v>3</v>
      </c>
      <c r="O1073" s="2">
        <f>C1073-N1073</f>
        <v>5</v>
      </c>
      <c r="P1073" s="24">
        <f>O1073/C1073</f>
        <v>0.625</v>
      </c>
    </row>
    <row r="1074" spans="1:16" ht="9.75" customHeight="1">
      <c r="A1074" s="18"/>
      <c r="B1074" s="18" t="s">
        <v>174</v>
      </c>
      <c r="C1074" s="18"/>
      <c r="D1074" s="26"/>
      <c r="E1074" s="2"/>
      <c r="F1074" s="2"/>
      <c r="G1074" s="2"/>
      <c r="H1074" s="2"/>
      <c r="I1074" s="2"/>
      <c r="J1074" s="2"/>
      <c r="K1074" s="2"/>
      <c r="L1074" s="2"/>
      <c r="M1074" s="27"/>
      <c r="N1074" s="26"/>
      <c r="O1074" s="2"/>
      <c r="P1074" s="24"/>
    </row>
    <row r="1075" spans="1:16" ht="9.75" customHeight="1">
      <c r="A1075" s="18"/>
      <c r="B1075" s="18" t="s">
        <v>102</v>
      </c>
      <c r="C1075" s="18">
        <v>6</v>
      </c>
      <c r="D1075" s="115">
        <v>4</v>
      </c>
      <c r="E1075" s="116">
        <v>5</v>
      </c>
      <c r="F1075" s="116">
        <v>4</v>
      </c>
      <c r="G1075" s="116">
        <v>4</v>
      </c>
      <c r="H1075" s="116">
        <v>3</v>
      </c>
      <c r="I1075" s="2">
        <v>5</v>
      </c>
      <c r="J1075" s="2">
        <v>6</v>
      </c>
      <c r="K1075" s="2">
        <v>5</v>
      </c>
      <c r="L1075" s="2">
        <v>4</v>
      </c>
      <c r="M1075" s="27">
        <v>4</v>
      </c>
      <c r="N1075" s="26">
        <f>MIN(D1075:M1075)</f>
        <v>3</v>
      </c>
      <c r="O1075" s="2">
        <f>C1075-N1075</f>
        <v>3</v>
      </c>
      <c r="P1075" s="24">
        <f>O1075/C1075</f>
        <v>0.5</v>
      </c>
    </row>
    <row r="1076" spans="1:16" ht="9.75" customHeight="1">
      <c r="A1076" s="18"/>
      <c r="B1076" s="18" t="s">
        <v>104</v>
      </c>
      <c r="C1076" s="18"/>
      <c r="D1076" s="26"/>
      <c r="E1076" s="2"/>
      <c r="F1076" s="2"/>
      <c r="G1076" s="2"/>
      <c r="H1076" s="2"/>
      <c r="I1076" s="2"/>
      <c r="J1076" s="2"/>
      <c r="K1076" s="2"/>
      <c r="L1076" s="2"/>
      <c r="M1076" s="27"/>
      <c r="N1076" s="26"/>
      <c r="O1076" s="2"/>
      <c r="P1076" s="24"/>
    </row>
    <row r="1077" spans="1:16" ht="9.75" customHeight="1">
      <c r="A1077" s="18"/>
      <c r="B1077" s="18" t="s">
        <v>104</v>
      </c>
      <c r="C1077" s="18"/>
      <c r="D1077" s="26"/>
      <c r="E1077" s="2"/>
      <c r="F1077" s="2"/>
      <c r="G1077" s="2"/>
      <c r="H1077" s="2"/>
      <c r="I1077" s="2"/>
      <c r="J1077" s="2"/>
      <c r="K1077" s="2"/>
      <c r="L1077" s="2"/>
      <c r="M1077" s="27"/>
      <c r="N1077" s="26"/>
      <c r="O1077" s="2"/>
      <c r="P1077" s="24"/>
    </row>
    <row r="1078" spans="1:16" ht="9.75" customHeight="1">
      <c r="A1078" s="18"/>
      <c r="B1078" s="18" t="s">
        <v>104</v>
      </c>
      <c r="C1078" s="18"/>
      <c r="D1078" s="26"/>
      <c r="E1078" s="2"/>
      <c r="F1078" s="2"/>
      <c r="G1078" s="2"/>
      <c r="H1078" s="2"/>
      <c r="I1078" s="2"/>
      <c r="J1078" s="2"/>
      <c r="K1078" s="2"/>
      <c r="L1078" s="2"/>
      <c r="M1078" s="27"/>
      <c r="N1078" s="26"/>
      <c r="O1078" s="2"/>
      <c r="P1078" s="24"/>
    </row>
    <row r="1079" spans="1:16" ht="9.75" customHeight="1">
      <c r="A1079" s="18"/>
      <c r="B1079" s="18" t="s">
        <v>104</v>
      </c>
      <c r="C1079" s="18"/>
      <c r="D1079" s="26"/>
      <c r="E1079" s="2"/>
      <c r="F1079" s="2"/>
      <c r="G1079" s="2"/>
      <c r="H1079" s="2"/>
      <c r="I1079" s="2"/>
      <c r="J1079" s="2"/>
      <c r="K1079" s="2"/>
      <c r="L1079" s="2"/>
      <c r="M1079" s="27"/>
      <c r="N1079" s="26"/>
      <c r="O1079" s="2"/>
      <c r="P1079" s="24"/>
    </row>
    <row r="1080" spans="1:16" ht="9.75" customHeight="1">
      <c r="A1080" s="18"/>
      <c r="B1080" s="18" t="s">
        <v>34</v>
      </c>
      <c r="C1080" s="18">
        <v>5</v>
      </c>
      <c r="D1080" s="115">
        <v>5</v>
      </c>
      <c r="E1080" s="116">
        <v>5</v>
      </c>
      <c r="F1080" s="116">
        <v>5</v>
      </c>
      <c r="G1080" s="116">
        <v>5</v>
      </c>
      <c r="H1080" s="116">
        <v>5</v>
      </c>
      <c r="I1080" s="2">
        <v>3</v>
      </c>
      <c r="J1080" s="2">
        <v>3</v>
      </c>
      <c r="K1080" s="2">
        <v>3</v>
      </c>
      <c r="L1080" s="2">
        <v>4</v>
      </c>
      <c r="M1080" s="27">
        <v>5</v>
      </c>
      <c r="N1080" s="26">
        <f t="shared" ref="N1080:N1081" si="199">MIN(D1080:M1080)</f>
        <v>3</v>
      </c>
      <c r="O1080" s="2">
        <f t="shared" ref="O1080:O1081" si="200">C1080-N1080</f>
        <v>2</v>
      </c>
      <c r="P1080" s="24">
        <f t="shared" ref="P1080:P1081" si="201">O1080/C1080</f>
        <v>0.4</v>
      </c>
    </row>
    <row r="1081" spans="1:16" ht="9.75" customHeight="1">
      <c r="A1081" s="18"/>
      <c r="B1081" s="18" t="s">
        <v>35</v>
      </c>
      <c r="C1081" s="18">
        <v>8</v>
      </c>
      <c r="D1081" s="115">
        <v>1</v>
      </c>
      <c r="E1081" s="116">
        <v>1</v>
      </c>
      <c r="F1081" s="116">
        <v>1</v>
      </c>
      <c r="G1081" s="116">
        <v>2</v>
      </c>
      <c r="H1081" s="116">
        <v>3</v>
      </c>
      <c r="I1081" s="2">
        <v>1</v>
      </c>
      <c r="J1081" s="2">
        <v>1</v>
      </c>
      <c r="K1081" s="2">
        <v>2</v>
      </c>
      <c r="L1081" s="2">
        <v>2</v>
      </c>
      <c r="M1081" s="27">
        <v>2</v>
      </c>
      <c r="N1081" s="26">
        <f t="shared" si="199"/>
        <v>1</v>
      </c>
      <c r="O1081" s="2">
        <f t="shared" si="200"/>
        <v>7</v>
      </c>
      <c r="P1081" s="24">
        <f t="shared" si="201"/>
        <v>0.875</v>
      </c>
    </row>
    <row r="1082" spans="1:16" ht="9.75" customHeight="1">
      <c r="A1082" s="18"/>
      <c r="B1082" s="18" t="s">
        <v>36</v>
      </c>
      <c r="C1082" s="18"/>
      <c r="D1082" s="26"/>
      <c r="E1082" s="2"/>
      <c r="F1082" s="2"/>
      <c r="G1082" s="2"/>
      <c r="H1082" s="2"/>
      <c r="I1082" s="2"/>
      <c r="J1082" s="2"/>
      <c r="K1082" s="2"/>
      <c r="L1082" s="2"/>
      <c r="M1082" s="27"/>
      <c r="N1082" s="26"/>
      <c r="O1082" s="2"/>
      <c r="P1082" s="24"/>
    </row>
    <row r="1083" spans="1:16" ht="9.75" customHeight="1">
      <c r="A1083" s="18"/>
      <c r="B1083" s="18" t="s">
        <v>37</v>
      </c>
      <c r="C1083" s="18"/>
      <c r="D1083" s="26"/>
      <c r="E1083" s="2"/>
      <c r="F1083" s="2"/>
      <c r="G1083" s="2"/>
      <c r="H1083" s="2"/>
      <c r="I1083" s="2"/>
      <c r="J1083" s="2"/>
      <c r="K1083" s="2"/>
      <c r="L1083" s="2"/>
      <c r="M1083" s="27"/>
      <c r="N1083" s="26"/>
      <c r="O1083" s="2"/>
      <c r="P1083" s="24"/>
    </row>
    <row r="1084" spans="1:16" ht="9.75" customHeight="1">
      <c r="A1084" s="32"/>
      <c r="B1084" s="33" t="s">
        <v>38</v>
      </c>
      <c r="C1084" s="33">
        <f t="shared" ref="C1084:M1084" si="202">SUM(C1068:C1083)</f>
        <v>163</v>
      </c>
      <c r="D1084" s="70">
        <f t="shared" si="202"/>
        <v>137</v>
      </c>
      <c r="E1084" s="71">
        <f t="shared" si="202"/>
        <v>135</v>
      </c>
      <c r="F1084" s="71">
        <f t="shared" si="202"/>
        <v>134</v>
      </c>
      <c r="G1084" s="71">
        <f t="shared" si="202"/>
        <v>129</v>
      </c>
      <c r="H1084" s="71">
        <f t="shared" si="202"/>
        <v>124</v>
      </c>
      <c r="I1084" s="71">
        <f t="shared" si="202"/>
        <v>121</v>
      </c>
      <c r="J1084" s="71">
        <f t="shared" si="202"/>
        <v>126</v>
      </c>
      <c r="K1084" s="71">
        <f t="shared" si="202"/>
        <v>125</v>
      </c>
      <c r="L1084" s="71">
        <f t="shared" si="202"/>
        <v>135</v>
      </c>
      <c r="M1084" s="93">
        <f t="shared" si="202"/>
        <v>141</v>
      </c>
      <c r="N1084" s="70">
        <f t="shared" ref="N1084:N1085" si="203">MIN(D1084:M1084)</f>
        <v>121</v>
      </c>
      <c r="O1084" s="71">
        <f t="shared" ref="O1084:O1085" si="204">C1084-N1084</f>
        <v>42</v>
      </c>
      <c r="P1084" s="40">
        <f t="shared" ref="P1084:P1085" si="205">O1084/C1084</f>
        <v>0.25766871165644173</v>
      </c>
    </row>
    <row r="1085" spans="1:16" ht="9.75" customHeight="1">
      <c r="A1085" s="66" t="s">
        <v>213</v>
      </c>
      <c r="B1085" s="160" t="s">
        <v>23</v>
      </c>
      <c r="C1085" s="66">
        <v>23</v>
      </c>
      <c r="D1085" s="158">
        <v>41</v>
      </c>
      <c r="E1085" s="159">
        <v>4</v>
      </c>
      <c r="F1085" s="159">
        <v>41</v>
      </c>
      <c r="G1085" s="159">
        <v>41</v>
      </c>
      <c r="H1085" s="159">
        <v>40</v>
      </c>
      <c r="I1085" s="72">
        <v>23</v>
      </c>
      <c r="J1085" s="72">
        <v>22</v>
      </c>
      <c r="K1085" s="72">
        <v>22</v>
      </c>
      <c r="L1085" s="72">
        <v>22</v>
      </c>
      <c r="M1085" s="73">
        <v>22</v>
      </c>
      <c r="N1085" s="41">
        <f t="shared" si="203"/>
        <v>4</v>
      </c>
      <c r="O1085" s="72">
        <f t="shared" si="204"/>
        <v>19</v>
      </c>
      <c r="P1085" s="99">
        <f t="shared" si="205"/>
        <v>0.82608695652173914</v>
      </c>
    </row>
    <row r="1086" spans="1:16" ht="9.75" customHeight="1">
      <c r="A1086" s="18"/>
      <c r="B1086" s="18" t="s">
        <v>25</v>
      </c>
      <c r="C1086" s="18"/>
      <c r="D1086" s="26"/>
      <c r="E1086" s="2"/>
      <c r="F1086" s="2"/>
      <c r="G1086" s="2"/>
      <c r="H1086" s="2"/>
      <c r="I1086" s="2"/>
      <c r="J1086" s="2"/>
      <c r="K1086" s="2"/>
      <c r="L1086" s="2"/>
      <c r="M1086" s="27"/>
      <c r="N1086" s="26"/>
      <c r="O1086" s="2"/>
      <c r="P1086" s="24"/>
    </row>
    <row r="1087" spans="1:16" ht="9.75" customHeight="1">
      <c r="A1087" s="18"/>
      <c r="B1087" s="18" t="s">
        <v>27</v>
      </c>
      <c r="C1087" s="18"/>
      <c r="D1087" s="26"/>
      <c r="E1087" s="2"/>
      <c r="F1087" s="2"/>
      <c r="G1087" s="2"/>
      <c r="H1087" s="2"/>
      <c r="I1087" s="2"/>
      <c r="J1087" s="2"/>
      <c r="K1087" s="2"/>
      <c r="L1087" s="2"/>
      <c r="M1087" s="27"/>
      <c r="N1087" s="26"/>
      <c r="O1087" s="2"/>
      <c r="P1087" s="24"/>
    </row>
    <row r="1088" spans="1:16" ht="9.75" customHeight="1">
      <c r="A1088" s="18"/>
      <c r="B1088" s="18" t="s">
        <v>177</v>
      </c>
      <c r="C1088" s="18">
        <f>47+29</f>
        <v>76</v>
      </c>
      <c r="D1088" s="115">
        <v>69</v>
      </c>
      <c r="E1088" s="116">
        <v>69</v>
      </c>
      <c r="F1088" s="2">
        <f>C1088-8</f>
        <v>68</v>
      </c>
      <c r="G1088" s="116">
        <v>68</v>
      </c>
      <c r="H1088" s="2">
        <f>C1088-9</f>
        <v>67</v>
      </c>
      <c r="I1088" s="2">
        <f>27+43</f>
        <v>70</v>
      </c>
      <c r="J1088" s="2">
        <v>70</v>
      </c>
      <c r="K1088" s="2">
        <f>45+28</f>
        <v>73</v>
      </c>
      <c r="L1088" s="2">
        <f>47+28</f>
        <v>75</v>
      </c>
      <c r="M1088" s="27">
        <v>75</v>
      </c>
      <c r="N1088" s="26">
        <f>MIN(D1088:M1088)</f>
        <v>67</v>
      </c>
      <c r="O1088" s="2">
        <f>C1088-N1088</f>
        <v>9</v>
      </c>
      <c r="P1088" s="24">
        <f>O1088/C1088</f>
        <v>0.11842105263157894</v>
      </c>
    </row>
    <row r="1089" spans="1:16" ht="9.75" customHeight="1">
      <c r="A1089" s="18"/>
      <c r="B1089" s="18" t="s">
        <v>99</v>
      </c>
      <c r="C1089" s="18"/>
      <c r="D1089" s="26"/>
      <c r="E1089" s="2"/>
      <c r="F1089" s="2"/>
      <c r="G1089" s="2"/>
      <c r="H1089" s="2"/>
      <c r="I1089" s="2"/>
      <c r="J1089" s="2"/>
      <c r="K1089" s="2"/>
      <c r="L1089" s="2"/>
      <c r="M1089" s="27"/>
      <c r="N1089" s="26"/>
      <c r="O1089" s="2"/>
      <c r="P1089" s="24"/>
    </row>
    <row r="1090" spans="1:16" ht="9.75" customHeight="1">
      <c r="A1090" s="18"/>
      <c r="B1090" s="18" t="s">
        <v>32</v>
      </c>
      <c r="C1090" s="18"/>
      <c r="D1090" s="26"/>
      <c r="E1090" s="2"/>
      <c r="F1090" s="2"/>
      <c r="G1090" s="2"/>
      <c r="H1090" s="2"/>
      <c r="I1090" s="2"/>
      <c r="J1090" s="2"/>
      <c r="K1090" s="2"/>
      <c r="L1090" s="2"/>
      <c r="M1090" s="27"/>
      <c r="N1090" s="26"/>
      <c r="O1090" s="2"/>
      <c r="P1090" s="24"/>
    </row>
    <row r="1091" spans="1:16" ht="9.75" customHeight="1">
      <c r="A1091" s="18"/>
      <c r="B1091" s="18" t="s">
        <v>214</v>
      </c>
      <c r="C1091" s="18">
        <v>4</v>
      </c>
      <c r="D1091" s="115">
        <v>3</v>
      </c>
      <c r="E1091" s="116">
        <v>3</v>
      </c>
      <c r="F1091" s="116">
        <v>3</v>
      </c>
      <c r="G1091" s="116">
        <v>3</v>
      </c>
      <c r="H1091" s="116">
        <v>3</v>
      </c>
      <c r="I1091" s="2">
        <v>3</v>
      </c>
      <c r="J1091" s="2">
        <v>3</v>
      </c>
      <c r="K1091" s="2">
        <v>3</v>
      </c>
      <c r="L1091" s="2">
        <v>3</v>
      </c>
      <c r="M1091" s="27">
        <v>3</v>
      </c>
      <c r="N1091" s="26">
        <f>MIN(D1091:M1091)</f>
        <v>3</v>
      </c>
      <c r="O1091" s="2">
        <f>C1091-N1091</f>
        <v>1</v>
      </c>
      <c r="P1091" s="24">
        <f>O1091/C1091</f>
        <v>0.25</v>
      </c>
    </row>
    <row r="1092" spans="1:16" ht="9.75" customHeight="1">
      <c r="A1092" s="18"/>
      <c r="B1092" s="18" t="s">
        <v>104</v>
      </c>
      <c r="C1092" s="18"/>
      <c r="D1092" s="26"/>
      <c r="E1092" s="2"/>
      <c r="F1092" s="2"/>
      <c r="G1092" s="2"/>
      <c r="H1092" s="2"/>
      <c r="I1092" s="2"/>
      <c r="J1092" s="2"/>
      <c r="K1092" s="2"/>
      <c r="L1092" s="2"/>
      <c r="M1092" s="27"/>
      <c r="N1092" s="26"/>
      <c r="O1092" s="2"/>
      <c r="P1092" s="24"/>
    </row>
    <row r="1093" spans="1:16" ht="9.75" customHeight="1">
      <c r="A1093" s="18"/>
      <c r="B1093" s="18" t="s">
        <v>104</v>
      </c>
      <c r="C1093" s="18"/>
      <c r="D1093" s="26"/>
      <c r="E1093" s="2"/>
      <c r="F1093" s="2"/>
      <c r="G1093" s="2"/>
      <c r="H1093" s="2"/>
      <c r="I1093" s="2"/>
      <c r="J1093" s="2"/>
      <c r="K1093" s="2"/>
      <c r="L1093" s="2"/>
      <c r="M1093" s="27"/>
      <c r="N1093" s="26"/>
      <c r="O1093" s="2"/>
      <c r="P1093" s="24"/>
    </row>
    <row r="1094" spans="1:16" ht="9.75" customHeight="1">
      <c r="A1094" s="18"/>
      <c r="B1094" s="18" t="s">
        <v>104</v>
      </c>
      <c r="C1094" s="18"/>
      <c r="D1094" s="26"/>
      <c r="E1094" s="2"/>
      <c r="F1094" s="2"/>
      <c r="G1094" s="2"/>
      <c r="H1094" s="2"/>
      <c r="I1094" s="2"/>
      <c r="J1094" s="2"/>
      <c r="K1094" s="2"/>
      <c r="L1094" s="2"/>
      <c r="M1094" s="27"/>
      <c r="N1094" s="26"/>
      <c r="O1094" s="2"/>
      <c r="P1094" s="24"/>
    </row>
    <row r="1095" spans="1:16" ht="9.75" customHeight="1">
      <c r="A1095" s="18"/>
      <c r="B1095" s="18" t="s">
        <v>104</v>
      </c>
      <c r="C1095" s="18"/>
      <c r="D1095" s="26"/>
      <c r="E1095" s="2"/>
      <c r="F1095" s="2"/>
      <c r="G1095" s="2"/>
      <c r="H1095" s="2"/>
      <c r="I1095" s="2"/>
      <c r="J1095" s="2"/>
      <c r="K1095" s="2"/>
      <c r="L1095" s="2"/>
      <c r="M1095" s="27"/>
      <c r="N1095" s="26"/>
      <c r="O1095" s="2"/>
      <c r="P1095" s="24"/>
    </row>
    <row r="1096" spans="1:16" ht="9.75" customHeight="1">
      <c r="A1096" s="18"/>
      <c r="B1096" s="18" t="s">
        <v>104</v>
      </c>
      <c r="C1096" s="18"/>
      <c r="D1096" s="26"/>
      <c r="E1096" s="2"/>
      <c r="F1096" s="2"/>
      <c r="G1096" s="2"/>
      <c r="H1096" s="2"/>
      <c r="I1096" s="2"/>
      <c r="J1096" s="2"/>
      <c r="K1096" s="2"/>
      <c r="L1096" s="2"/>
      <c r="M1096" s="27"/>
      <c r="N1096" s="26"/>
      <c r="O1096" s="2"/>
      <c r="P1096" s="24"/>
    </row>
    <row r="1097" spans="1:16" ht="9.75" customHeight="1">
      <c r="A1097" s="18"/>
      <c r="B1097" s="18" t="s">
        <v>34</v>
      </c>
      <c r="C1097" s="18">
        <v>10</v>
      </c>
      <c r="D1097" s="115">
        <v>10</v>
      </c>
      <c r="E1097" s="116">
        <v>10</v>
      </c>
      <c r="F1097" s="116">
        <v>9</v>
      </c>
      <c r="G1097" s="116">
        <v>9</v>
      </c>
      <c r="H1097" s="116">
        <v>9</v>
      </c>
      <c r="I1097" s="2">
        <v>9</v>
      </c>
      <c r="J1097" s="2">
        <v>9</v>
      </c>
      <c r="K1097" s="2">
        <v>9</v>
      </c>
      <c r="L1097" s="2">
        <v>10</v>
      </c>
      <c r="M1097" s="27">
        <v>10</v>
      </c>
      <c r="N1097" s="26">
        <f>MIN(D1097:M1097)</f>
        <v>9</v>
      </c>
      <c r="O1097" s="2">
        <f>C1097-N1097</f>
        <v>1</v>
      </c>
      <c r="P1097" s="24">
        <f>O1097/C1097</f>
        <v>0.1</v>
      </c>
    </row>
    <row r="1098" spans="1:16" ht="9.75" customHeight="1">
      <c r="A1098" s="18"/>
      <c r="B1098" s="18" t="s">
        <v>35</v>
      </c>
      <c r="C1098" s="18"/>
      <c r="D1098" s="26"/>
      <c r="E1098" s="2"/>
      <c r="F1098" s="2"/>
      <c r="G1098" s="2"/>
      <c r="H1098" s="2"/>
      <c r="I1098" s="2"/>
      <c r="J1098" s="2"/>
      <c r="K1098" s="2"/>
      <c r="L1098" s="2"/>
      <c r="M1098" s="27"/>
      <c r="N1098" s="26"/>
      <c r="O1098" s="2"/>
      <c r="P1098" s="24"/>
    </row>
    <row r="1099" spans="1:16" ht="9.75" customHeight="1">
      <c r="A1099" s="18"/>
      <c r="B1099" s="18" t="s">
        <v>36</v>
      </c>
      <c r="C1099" s="18"/>
      <c r="D1099" s="26"/>
      <c r="E1099" s="2"/>
      <c r="F1099" s="2"/>
      <c r="G1099" s="2"/>
      <c r="H1099" s="2"/>
      <c r="I1099" s="2"/>
      <c r="J1099" s="2"/>
      <c r="K1099" s="2"/>
      <c r="L1099" s="2"/>
      <c r="M1099" s="27"/>
      <c r="N1099" s="26"/>
      <c r="O1099" s="2"/>
      <c r="P1099" s="24"/>
    </row>
    <row r="1100" spans="1:16" ht="9.75" customHeight="1">
      <c r="A1100" s="18"/>
      <c r="B1100" s="18" t="s">
        <v>37</v>
      </c>
      <c r="C1100" s="18"/>
      <c r="D1100" s="26"/>
      <c r="E1100" s="2"/>
      <c r="F1100" s="2"/>
      <c r="G1100" s="2"/>
      <c r="H1100" s="2"/>
      <c r="I1100" s="2"/>
      <c r="J1100" s="2"/>
      <c r="K1100" s="2"/>
      <c r="L1100" s="2"/>
      <c r="M1100" s="27"/>
      <c r="N1100" s="26"/>
      <c r="O1100" s="2"/>
      <c r="P1100" s="24"/>
    </row>
    <row r="1101" spans="1:16" ht="9.75" customHeight="1">
      <c r="A1101" s="32"/>
      <c r="B1101" s="33" t="s">
        <v>38</v>
      </c>
      <c r="C1101" s="33">
        <f t="shared" ref="C1101:M1101" si="206">SUM(C1085:C1100)</f>
        <v>113</v>
      </c>
      <c r="D1101" s="70">
        <f t="shared" si="206"/>
        <v>123</v>
      </c>
      <c r="E1101" s="71">
        <f t="shared" si="206"/>
        <v>86</v>
      </c>
      <c r="F1101" s="71">
        <f t="shared" si="206"/>
        <v>121</v>
      </c>
      <c r="G1101" s="71">
        <f t="shared" si="206"/>
        <v>121</v>
      </c>
      <c r="H1101" s="71">
        <f t="shared" si="206"/>
        <v>119</v>
      </c>
      <c r="I1101" s="71">
        <f t="shared" si="206"/>
        <v>105</v>
      </c>
      <c r="J1101" s="71">
        <f t="shared" si="206"/>
        <v>104</v>
      </c>
      <c r="K1101" s="71">
        <f t="shared" si="206"/>
        <v>107</v>
      </c>
      <c r="L1101" s="71">
        <f t="shared" si="206"/>
        <v>110</v>
      </c>
      <c r="M1101" s="93">
        <f t="shared" si="206"/>
        <v>110</v>
      </c>
      <c r="N1101" s="70">
        <f>MIN(D1101:M1101)</f>
        <v>86</v>
      </c>
      <c r="O1101" s="71">
        <f>C1101-N1101</f>
        <v>27</v>
      </c>
      <c r="P1101" s="40">
        <f>O1101/C1101</f>
        <v>0.23893805309734514</v>
      </c>
    </row>
    <row r="1102" spans="1:16" ht="9.75" customHeight="1">
      <c r="A1102" s="66" t="s">
        <v>215</v>
      </c>
      <c r="B1102" s="66" t="s">
        <v>23</v>
      </c>
      <c r="C1102" s="66"/>
      <c r="D1102" s="41"/>
      <c r="E1102" s="72"/>
      <c r="F1102" s="72"/>
      <c r="G1102" s="72"/>
      <c r="H1102" s="72"/>
      <c r="I1102" s="72"/>
      <c r="J1102" s="72"/>
      <c r="K1102" s="72"/>
      <c r="L1102" s="72"/>
      <c r="M1102" s="73"/>
      <c r="N1102" s="41"/>
      <c r="O1102" s="72"/>
      <c r="P1102" s="99"/>
    </row>
    <row r="1103" spans="1:16" ht="9.75" customHeight="1">
      <c r="A1103" s="18"/>
      <c r="B1103" s="18" t="s">
        <v>25</v>
      </c>
      <c r="C1103" s="18">
        <v>105</v>
      </c>
      <c r="D1103" s="26">
        <f>C1103-10</f>
        <v>95</v>
      </c>
      <c r="E1103" s="2">
        <f>C1103-17</f>
        <v>88</v>
      </c>
      <c r="F1103" s="2">
        <f>C1103-13</f>
        <v>92</v>
      </c>
      <c r="G1103" s="2">
        <f>C1103-15</f>
        <v>90</v>
      </c>
      <c r="H1103" s="2">
        <f>C1103-16</f>
        <v>89</v>
      </c>
      <c r="I1103" s="2">
        <f>C1103-16</f>
        <v>89</v>
      </c>
      <c r="J1103" s="2">
        <v>89</v>
      </c>
      <c r="K1103" s="2">
        <f>C1103-14</f>
        <v>91</v>
      </c>
      <c r="L1103" s="2">
        <v>91</v>
      </c>
      <c r="M1103" s="27">
        <f>C1103-12</f>
        <v>93</v>
      </c>
      <c r="N1103" s="26">
        <f>MIN(D1103:M1103)</f>
        <v>88</v>
      </c>
      <c r="O1103" s="2">
        <f>C1103-N1103</f>
        <v>17</v>
      </c>
      <c r="P1103" s="24">
        <f>O1103/C1103</f>
        <v>0.16190476190476191</v>
      </c>
    </row>
    <row r="1104" spans="1:16" ht="9.75" customHeight="1">
      <c r="A1104" s="18"/>
      <c r="B1104" s="18" t="s">
        <v>27</v>
      </c>
      <c r="C1104" s="18"/>
      <c r="D1104" s="26"/>
      <c r="E1104" s="2"/>
      <c r="F1104" s="2"/>
      <c r="G1104" s="2"/>
      <c r="H1104" s="2"/>
      <c r="I1104" s="2"/>
      <c r="J1104" s="2"/>
      <c r="K1104" s="2"/>
      <c r="L1104" s="2"/>
      <c r="M1104" s="27"/>
      <c r="N1104" s="26"/>
      <c r="O1104" s="2"/>
      <c r="P1104" s="24"/>
    </row>
    <row r="1105" spans="1:16" ht="9.75" customHeight="1">
      <c r="A1105" s="18"/>
      <c r="B1105" s="18" t="s">
        <v>99</v>
      </c>
      <c r="C1105" s="18"/>
      <c r="D1105" s="26"/>
      <c r="E1105" s="2"/>
      <c r="F1105" s="2"/>
      <c r="G1105" s="2"/>
      <c r="H1105" s="2"/>
      <c r="I1105" s="2"/>
      <c r="J1105" s="2"/>
      <c r="K1105" s="2"/>
      <c r="L1105" s="2"/>
      <c r="M1105" s="27"/>
      <c r="N1105" s="26"/>
      <c r="O1105" s="2"/>
      <c r="P1105" s="24"/>
    </row>
    <row r="1106" spans="1:16" ht="9.75" customHeight="1">
      <c r="A1106" s="18"/>
      <c r="B1106" s="18" t="s">
        <v>99</v>
      </c>
      <c r="C1106" s="18"/>
      <c r="D1106" s="26"/>
      <c r="E1106" s="2"/>
      <c r="F1106" s="2"/>
      <c r="G1106" s="2"/>
      <c r="H1106" s="2"/>
      <c r="I1106" s="2"/>
      <c r="J1106" s="2"/>
      <c r="K1106" s="2"/>
      <c r="L1106" s="2"/>
      <c r="M1106" s="27"/>
      <c r="N1106" s="26"/>
      <c r="O1106" s="2"/>
      <c r="P1106" s="24"/>
    </row>
    <row r="1107" spans="1:16" ht="9.75" customHeight="1">
      <c r="A1107" s="18"/>
      <c r="B1107" s="18" t="s">
        <v>32</v>
      </c>
      <c r="C1107" s="18">
        <v>2</v>
      </c>
      <c r="D1107" s="115">
        <v>0</v>
      </c>
      <c r="E1107" s="116">
        <v>0</v>
      </c>
      <c r="F1107" s="116">
        <v>0</v>
      </c>
      <c r="G1107" s="116">
        <v>0</v>
      </c>
      <c r="H1107" s="116">
        <v>0</v>
      </c>
      <c r="I1107" s="2">
        <v>2</v>
      </c>
      <c r="J1107" s="2">
        <v>2</v>
      </c>
      <c r="K1107" s="2">
        <v>2</v>
      </c>
      <c r="L1107" s="2">
        <v>2</v>
      </c>
      <c r="M1107" s="27">
        <v>2</v>
      </c>
      <c r="N1107" s="26">
        <f t="shared" ref="N1107:N1115" si="207">MIN(D1107:M1107)</f>
        <v>0</v>
      </c>
      <c r="O1107" s="2">
        <f t="shared" ref="O1107:O1115" si="208">C1107-N1107</f>
        <v>2</v>
      </c>
      <c r="P1107" s="24">
        <f t="shared" ref="P1107:P1115" si="209">O1107/C1107</f>
        <v>1</v>
      </c>
    </row>
    <row r="1108" spans="1:16" ht="9.75" customHeight="1">
      <c r="A1108" s="18"/>
      <c r="B1108" s="18" t="s">
        <v>216</v>
      </c>
      <c r="C1108" s="18">
        <v>2</v>
      </c>
      <c r="D1108" s="115">
        <v>2</v>
      </c>
      <c r="E1108" s="116">
        <v>2</v>
      </c>
      <c r="F1108" s="116">
        <v>2</v>
      </c>
      <c r="G1108" s="116">
        <v>2</v>
      </c>
      <c r="H1108" s="116">
        <v>2</v>
      </c>
      <c r="I1108" s="2">
        <v>1</v>
      </c>
      <c r="J1108" s="2">
        <v>0</v>
      </c>
      <c r="K1108" s="2">
        <v>0</v>
      </c>
      <c r="L1108" s="2">
        <v>2</v>
      </c>
      <c r="M1108" s="27">
        <v>2</v>
      </c>
      <c r="N1108" s="26">
        <f t="shared" si="207"/>
        <v>0</v>
      </c>
      <c r="O1108" s="2">
        <f t="shared" si="208"/>
        <v>2</v>
      </c>
      <c r="P1108" s="24">
        <f t="shared" si="209"/>
        <v>1</v>
      </c>
    </row>
    <row r="1109" spans="1:16" ht="9.75" customHeight="1">
      <c r="A1109" s="18"/>
      <c r="B1109" s="18" t="s">
        <v>217</v>
      </c>
      <c r="C1109" s="18">
        <v>2</v>
      </c>
      <c r="D1109" s="115">
        <v>0</v>
      </c>
      <c r="E1109" s="116">
        <v>0</v>
      </c>
      <c r="F1109" s="116">
        <v>0</v>
      </c>
      <c r="G1109" s="116">
        <v>0</v>
      </c>
      <c r="H1109" s="116">
        <v>0</v>
      </c>
      <c r="I1109" s="2">
        <v>2</v>
      </c>
      <c r="J1109" s="2">
        <v>2</v>
      </c>
      <c r="K1109" s="2">
        <v>2</v>
      </c>
      <c r="L1109" s="2">
        <v>2</v>
      </c>
      <c r="M1109" s="27">
        <v>2</v>
      </c>
      <c r="N1109" s="26">
        <f t="shared" si="207"/>
        <v>0</v>
      </c>
      <c r="O1109" s="2">
        <f t="shared" si="208"/>
        <v>2</v>
      </c>
      <c r="P1109" s="24">
        <f t="shared" si="209"/>
        <v>1</v>
      </c>
    </row>
    <row r="1110" spans="1:16" ht="9.75" customHeight="1">
      <c r="A1110" s="18"/>
      <c r="B1110" s="18" t="s">
        <v>182</v>
      </c>
      <c r="C1110" s="18">
        <v>3</v>
      </c>
      <c r="D1110" s="115">
        <v>1</v>
      </c>
      <c r="E1110" s="116">
        <v>1</v>
      </c>
      <c r="F1110" s="116">
        <v>1</v>
      </c>
      <c r="G1110" s="116">
        <v>1</v>
      </c>
      <c r="H1110" s="116">
        <v>1</v>
      </c>
      <c r="I1110" s="2">
        <v>0</v>
      </c>
      <c r="J1110" s="2">
        <v>0</v>
      </c>
      <c r="K1110" s="2">
        <v>0</v>
      </c>
      <c r="L1110" s="2">
        <v>0</v>
      </c>
      <c r="M1110" s="27">
        <v>0</v>
      </c>
      <c r="N1110" s="26">
        <f t="shared" si="207"/>
        <v>0</v>
      </c>
      <c r="O1110" s="2">
        <f t="shared" si="208"/>
        <v>3</v>
      </c>
      <c r="P1110" s="24">
        <f t="shared" si="209"/>
        <v>1</v>
      </c>
    </row>
    <row r="1111" spans="1:16" ht="9.75" customHeight="1">
      <c r="A1111" s="18"/>
      <c r="B1111" s="18" t="s">
        <v>218</v>
      </c>
      <c r="C1111" s="18">
        <v>1</v>
      </c>
      <c r="D1111" s="115">
        <v>0</v>
      </c>
      <c r="E1111" s="116">
        <v>0</v>
      </c>
      <c r="F1111" s="116">
        <v>0</v>
      </c>
      <c r="G1111" s="116">
        <v>0</v>
      </c>
      <c r="H1111" s="116">
        <v>0</v>
      </c>
      <c r="I1111" s="2">
        <v>0</v>
      </c>
      <c r="J1111" s="2">
        <v>0</v>
      </c>
      <c r="K1111" s="2">
        <v>0</v>
      </c>
      <c r="L1111" s="2">
        <v>0</v>
      </c>
      <c r="M1111" s="27">
        <v>0</v>
      </c>
      <c r="N1111" s="26">
        <f t="shared" si="207"/>
        <v>0</v>
      </c>
      <c r="O1111" s="2">
        <f t="shared" si="208"/>
        <v>1</v>
      </c>
      <c r="P1111" s="24">
        <f t="shared" si="209"/>
        <v>1</v>
      </c>
    </row>
    <row r="1112" spans="1:16" ht="9.75" customHeight="1">
      <c r="A1112" s="18"/>
      <c r="B1112" s="18" t="s">
        <v>219</v>
      </c>
      <c r="C1112" s="18">
        <v>2</v>
      </c>
      <c r="D1112" s="115">
        <v>2</v>
      </c>
      <c r="E1112" s="116">
        <v>2</v>
      </c>
      <c r="F1112" s="116">
        <v>2</v>
      </c>
      <c r="G1112" s="116">
        <v>2</v>
      </c>
      <c r="H1112" s="116">
        <v>2</v>
      </c>
      <c r="I1112" s="2">
        <v>2</v>
      </c>
      <c r="J1112" s="2">
        <v>2</v>
      </c>
      <c r="K1112" s="2">
        <v>2</v>
      </c>
      <c r="L1112" s="2">
        <v>2</v>
      </c>
      <c r="M1112" s="27">
        <v>2</v>
      </c>
      <c r="N1112" s="26">
        <f t="shared" si="207"/>
        <v>2</v>
      </c>
      <c r="O1112" s="2">
        <f t="shared" si="208"/>
        <v>0</v>
      </c>
      <c r="P1112" s="24">
        <f t="shared" si="209"/>
        <v>0</v>
      </c>
    </row>
    <row r="1113" spans="1:16" ht="9.75" customHeight="1">
      <c r="A1113" s="18"/>
      <c r="B1113" s="18" t="s">
        <v>220</v>
      </c>
      <c r="C1113" s="18">
        <v>6</v>
      </c>
      <c r="D1113" s="115">
        <v>1</v>
      </c>
      <c r="E1113" s="116">
        <v>1</v>
      </c>
      <c r="F1113" s="116">
        <v>1</v>
      </c>
      <c r="G1113" s="116">
        <v>1</v>
      </c>
      <c r="H1113" s="116">
        <v>1</v>
      </c>
      <c r="I1113" s="2">
        <v>1</v>
      </c>
      <c r="J1113" s="2">
        <v>1</v>
      </c>
      <c r="K1113" s="2">
        <v>1</v>
      </c>
      <c r="L1113" s="2">
        <v>1</v>
      </c>
      <c r="M1113" s="27">
        <v>1</v>
      </c>
      <c r="N1113" s="26">
        <f t="shared" si="207"/>
        <v>1</v>
      </c>
      <c r="O1113" s="2">
        <f t="shared" si="208"/>
        <v>5</v>
      </c>
      <c r="P1113" s="24">
        <f t="shared" si="209"/>
        <v>0.83333333333333337</v>
      </c>
    </row>
    <row r="1114" spans="1:16" ht="9.75" customHeight="1">
      <c r="A1114" s="18"/>
      <c r="B1114" s="18" t="s">
        <v>34</v>
      </c>
      <c r="C1114" s="18">
        <v>6</v>
      </c>
      <c r="D1114" s="115">
        <v>6</v>
      </c>
      <c r="E1114" s="116">
        <v>6</v>
      </c>
      <c r="F1114" s="116">
        <v>6</v>
      </c>
      <c r="G1114" s="116">
        <v>6</v>
      </c>
      <c r="H1114" s="116">
        <v>6</v>
      </c>
      <c r="I1114" s="2">
        <v>6</v>
      </c>
      <c r="J1114" s="2">
        <v>6</v>
      </c>
      <c r="K1114" s="2">
        <v>6</v>
      </c>
      <c r="L1114" s="2">
        <v>6</v>
      </c>
      <c r="M1114" s="27">
        <v>6</v>
      </c>
      <c r="N1114" s="26">
        <f t="shared" si="207"/>
        <v>6</v>
      </c>
      <c r="O1114" s="2">
        <f t="shared" si="208"/>
        <v>0</v>
      </c>
      <c r="P1114" s="24">
        <f t="shared" si="209"/>
        <v>0</v>
      </c>
    </row>
    <row r="1115" spans="1:16" ht="9.75" customHeight="1">
      <c r="A1115" s="18"/>
      <c r="B1115" s="18" t="s">
        <v>35</v>
      </c>
      <c r="C1115" s="18">
        <v>7</v>
      </c>
      <c r="D1115" s="115">
        <v>0</v>
      </c>
      <c r="E1115" s="116">
        <v>0</v>
      </c>
      <c r="F1115" s="116">
        <v>0</v>
      </c>
      <c r="G1115" s="116">
        <v>0</v>
      </c>
      <c r="H1115" s="116">
        <v>0</v>
      </c>
      <c r="I1115" s="2">
        <v>2</v>
      </c>
      <c r="J1115" s="2">
        <v>2</v>
      </c>
      <c r="K1115" s="2">
        <v>2</v>
      </c>
      <c r="L1115" s="2">
        <v>1</v>
      </c>
      <c r="M1115" s="27">
        <v>1</v>
      </c>
      <c r="N1115" s="26">
        <f t="shared" si="207"/>
        <v>0</v>
      </c>
      <c r="O1115" s="2">
        <f t="shared" si="208"/>
        <v>7</v>
      </c>
      <c r="P1115" s="24">
        <f t="shared" si="209"/>
        <v>1</v>
      </c>
    </row>
    <row r="1116" spans="1:16" ht="9.75" customHeight="1">
      <c r="A1116" s="18"/>
      <c r="B1116" s="18" t="s">
        <v>36</v>
      </c>
      <c r="C1116" s="18"/>
      <c r="D1116" s="26"/>
      <c r="E1116" s="2"/>
      <c r="F1116" s="2"/>
      <c r="G1116" s="2"/>
      <c r="H1116" s="2"/>
      <c r="I1116" s="2"/>
      <c r="J1116" s="2"/>
      <c r="K1116" s="2"/>
      <c r="L1116" s="2"/>
      <c r="M1116" s="27"/>
      <c r="N1116" s="26"/>
      <c r="O1116" s="2"/>
      <c r="P1116" s="24"/>
    </row>
    <row r="1117" spans="1:16" ht="9.75" customHeight="1">
      <c r="A1117" s="18"/>
      <c r="B1117" s="18" t="s">
        <v>37</v>
      </c>
      <c r="C1117" s="18">
        <v>1</v>
      </c>
      <c r="D1117" s="115">
        <v>1</v>
      </c>
      <c r="E1117" s="116">
        <v>1</v>
      </c>
      <c r="F1117" s="116">
        <v>1</v>
      </c>
      <c r="G1117" s="116">
        <v>1</v>
      </c>
      <c r="H1117" s="116">
        <v>1</v>
      </c>
      <c r="I1117" s="2">
        <v>1</v>
      </c>
      <c r="J1117" s="2">
        <v>1</v>
      </c>
      <c r="K1117" s="2">
        <v>1</v>
      </c>
      <c r="L1117" s="2">
        <v>0</v>
      </c>
      <c r="M1117" s="27">
        <v>0</v>
      </c>
      <c r="N1117" s="26">
        <f t="shared" ref="N1117:N1118" si="210">MIN(D1117:M1117)</f>
        <v>0</v>
      </c>
      <c r="O1117" s="2">
        <f t="shared" ref="O1117:O1118" si="211">C1117-N1117</f>
        <v>1</v>
      </c>
      <c r="P1117" s="24">
        <f t="shared" ref="P1117:P1118" si="212">O1117/C1117</f>
        <v>1</v>
      </c>
    </row>
    <row r="1118" spans="1:16" ht="9.75" customHeight="1">
      <c r="A1118" s="32"/>
      <c r="B1118" s="33" t="s">
        <v>38</v>
      </c>
      <c r="C1118" s="33">
        <f t="shared" ref="C1118:M1118" si="213">SUM(C1102:C1117)</f>
        <v>137</v>
      </c>
      <c r="D1118" s="70">
        <f t="shared" si="213"/>
        <v>108</v>
      </c>
      <c r="E1118" s="71">
        <f t="shared" si="213"/>
        <v>101</v>
      </c>
      <c r="F1118" s="71">
        <f t="shared" si="213"/>
        <v>105</v>
      </c>
      <c r="G1118" s="71">
        <f t="shared" si="213"/>
        <v>103</v>
      </c>
      <c r="H1118" s="71">
        <f t="shared" si="213"/>
        <v>102</v>
      </c>
      <c r="I1118" s="71">
        <f t="shared" si="213"/>
        <v>106</v>
      </c>
      <c r="J1118" s="71">
        <f t="shared" si="213"/>
        <v>105</v>
      </c>
      <c r="K1118" s="71">
        <f t="shared" si="213"/>
        <v>107</v>
      </c>
      <c r="L1118" s="71">
        <f t="shared" si="213"/>
        <v>107</v>
      </c>
      <c r="M1118" s="93">
        <f t="shared" si="213"/>
        <v>109</v>
      </c>
      <c r="N1118" s="70">
        <f t="shared" si="210"/>
        <v>101</v>
      </c>
      <c r="O1118" s="71">
        <f t="shared" si="211"/>
        <v>36</v>
      </c>
      <c r="P1118" s="40">
        <f t="shared" si="212"/>
        <v>0.26277372262773724</v>
      </c>
    </row>
    <row r="1119" spans="1:16" ht="9.75" customHeight="1">
      <c r="A1119" s="66" t="s">
        <v>221</v>
      </c>
      <c r="B1119" s="66" t="s">
        <v>23</v>
      </c>
      <c r="C1119" s="66"/>
      <c r="D1119" s="41"/>
      <c r="E1119" s="72"/>
      <c r="F1119" s="72"/>
      <c r="G1119" s="72"/>
      <c r="H1119" s="72"/>
      <c r="I1119" s="72"/>
      <c r="J1119" s="72"/>
      <c r="K1119" s="72"/>
      <c r="L1119" s="72"/>
      <c r="M1119" s="73"/>
      <c r="N1119" s="41"/>
      <c r="O1119" s="72"/>
      <c r="P1119" s="99"/>
    </row>
    <row r="1120" spans="1:16" ht="9.75" customHeight="1">
      <c r="A1120" s="18"/>
      <c r="B1120" s="18" t="s">
        <v>25</v>
      </c>
      <c r="C1120" s="18">
        <v>275</v>
      </c>
      <c r="D1120" s="115">
        <v>270</v>
      </c>
      <c r="E1120" s="2">
        <f>275-13</f>
        <v>262</v>
      </c>
      <c r="F1120" s="2">
        <f>C1120-12</f>
        <v>263</v>
      </c>
      <c r="G1120" s="2">
        <f>C1120-14</f>
        <v>261</v>
      </c>
      <c r="H1120" s="2">
        <f>C1120-15</f>
        <v>260</v>
      </c>
      <c r="I1120" s="2">
        <f>C1120-15</f>
        <v>260</v>
      </c>
      <c r="J1120" s="2">
        <f>C1120-11</f>
        <v>264</v>
      </c>
      <c r="K1120" s="2">
        <f>C1120-11</f>
        <v>264</v>
      </c>
      <c r="L1120" s="2">
        <f>C1120-10</f>
        <v>265</v>
      </c>
      <c r="M1120" s="27">
        <f>C1120-7</f>
        <v>268</v>
      </c>
      <c r="N1120" s="26">
        <f t="shared" ref="N1120:N1122" si="214">MIN(D1120:M1120)</f>
        <v>260</v>
      </c>
      <c r="O1120" s="2">
        <f t="shared" ref="O1120:O1122" si="215">C1120-N1120</f>
        <v>15</v>
      </c>
      <c r="P1120" s="24">
        <f t="shared" ref="P1120:P1122" si="216">O1120/C1120</f>
        <v>5.4545454545454543E-2</v>
      </c>
    </row>
    <row r="1121" spans="1:16" ht="9.75" customHeight="1">
      <c r="A1121" s="18"/>
      <c r="B1121" s="18" t="s">
        <v>27</v>
      </c>
      <c r="C1121" s="18">
        <v>4</v>
      </c>
      <c r="D1121" s="115">
        <v>4</v>
      </c>
      <c r="E1121" s="116">
        <v>4</v>
      </c>
      <c r="F1121" s="116">
        <v>4</v>
      </c>
      <c r="G1121" s="116">
        <v>4</v>
      </c>
      <c r="H1121" s="116">
        <v>4</v>
      </c>
      <c r="I1121" s="2">
        <v>4</v>
      </c>
      <c r="J1121" s="2">
        <v>4</v>
      </c>
      <c r="K1121" s="2">
        <v>4</v>
      </c>
      <c r="L1121" s="2">
        <v>4</v>
      </c>
      <c r="M1121" s="27">
        <v>4</v>
      </c>
      <c r="N1121" s="26">
        <f t="shared" si="214"/>
        <v>4</v>
      </c>
      <c r="O1121" s="2">
        <f t="shared" si="215"/>
        <v>0</v>
      </c>
      <c r="P1121" s="24">
        <f t="shared" si="216"/>
        <v>0</v>
      </c>
    </row>
    <row r="1122" spans="1:16" ht="9.75" customHeight="1">
      <c r="A1122" s="18"/>
      <c r="B1122" s="18" t="s">
        <v>222</v>
      </c>
      <c r="C1122" s="18">
        <v>9</v>
      </c>
      <c r="D1122" s="115">
        <v>8</v>
      </c>
      <c r="E1122" s="116">
        <v>8</v>
      </c>
      <c r="F1122" s="116">
        <v>8</v>
      </c>
      <c r="G1122" s="116">
        <v>8</v>
      </c>
      <c r="H1122" s="116">
        <v>8</v>
      </c>
      <c r="I1122" s="2">
        <v>8</v>
      </c>
      <c r="J1122" s="2">
        <v>7</v>
      </c>
      <c r="K1122" s="2">
        <v>8</v>
      </c>
      <c r="L1122" s="2">
        <v>8</v>
      </c>
      <c r="M1122" s="27">
        <v>9</v>
      </c>
      <c r="N1122" s="26">
        <f t="shared" si="214"/>
        <v>7</v>
      </c>
      <c r="O1122" s="2">
        <f t="shared" si="215"/>
        <v>2</v>
      </c>
      <c r="P1122" s="24">
        <f t="shared" si="216"/>
        <v>0.22222222222222221</v>
      </c>
    </row>
    <row r="1123" spans="1:16" ht="9.75" customHeight="1">
      <c r="A1123" s="18"/>
      <c r="B1123" s="18" t="s">
        <v>99</v>
      </c>
      <c r="C1123" s="18"/>
      <c r="D1123" s="26"/>
      <c r="E1123" s="2"/>
      <c r="F1123" s="2"/>
      <c r="G1123" s="2"/>
      <c r="H1123" s="2"/>
      <c r="I1123" s="2"/>
      <c r="J1123" s="2"/>
      <c r="K1123" s="2"/>
      <c r="L1123" s="2"/>
      <c r="M1123" s="27"/>
      <c r="N1123" s="26"/>
      <c r="O1123" s="2"/>
      <c r="P1123" s="24"/>
    </row>
    <row r="1124" spans="1:16" ht="9.75" customHeight="1">
      <c r="A1124" s="18"/>
      <c r="B1124" s="18" t="s">
        <v>32</v>
      </c>
      <c r="C1124" s="18">
        <v>2</v>
      </c>
      <c r="D1124" s="115">
        <v>2</v>
      </c>
      <c r="E1124" s="116">
        <v>2</v>
      </c>
      <c r="F1124" s="116">
        <v>2</v>
      </c>
      <c r="G1124" s="116">
        <v>2</v>
      </c>
      <c r="H1124" s="116">
        <v>2</v>
      </c>
      <c r="I1124" s="2">
        <v>2</v>
      </c>
      <c r="J1124" s="2">
        <v>2</v>
      </c>
      <c r="K1124" s="2">
        <v>2</v>
      </c>
      <c r="L1124" s="2">
        <v>2</v>
      </c>
      <c r="M1124" s="27">
        <v>2</v>
      </c>
      <c r="N1124" s="26">
        <f t="shared" ref="N1124:N1127" si="217">MIN(D1124:M1124)</f>
        <v>2</v>
      </c>
      <c r="O1124" s="2">
        <f t="shared" ref="O1124:O1127" si="218">C1124-N1124</f>
        <v>0</v>
      </c>
      <c r="P1124" s="24">
        <f t="shared" ref="P1124:P1127" si="219">O1124/C1124</f>
        <v>0</v>
      </c>
    </row>
    <row r="1125" spans="1:16" ht="9.75" customHeight="1">
      <c r="A1125" s="18"/>
      <c r="B1125" s="18" t="s">
        <v>216</v>
      </c>
      <c r="C1125" s="18">
        <v>6</v>
      </c>
      <c r="D1125" s="115">
        <v>6</v>
      </c>
      <c r="E1125" s="116">
        <v>6</v>
      </c>
      <c r="F1125" s="116">
        <v>6</v>
      </c>
      <c r="G1125" s="116">
        <v>6</v>
      </c>
      <c r="H1125" s="137">
        <v>6</v>
      </c>
      <c r="I1125" s="52">
        <v>6</v>
      </c>
      <c r="J1125" s="52">
        <v>6</v>
      </c>
      <c r="K1125" s="52">
        <v>6</v>
      </c>
      <c r="L1125" s="52">
        <v>6</v>
      </c>
      <c r="M1125" s="52">
        <v>6</v>
      </c>
      <c r="N1125" s="26">
        <f t="shared" si="217"/>
        <v>6</v>
      </c>
      <c r="O1125" s="2">
        <f t="shared" si="218"/>
        <v>0</v>
      </c>
      <c r="P1125" s="24">
        <f t="shared" si="219"/>
        <v>0</v>
      </c>
    </row>
    <row r="1126" spans="1:16" ht="9.75" customHeight="1">
      <c r="A1126" s="18"/>
      <c r="B1126" s="18" t="s">
        <v>218</v>
      </c>
      <c r="C1126" s="18">
        <v>1</v>
      </c>
      <c r="D1126" s="115">
        <v>0</v>
      </c>
      <c r="E1126" s="116">
        <v>0</v>
      </c>
      <c r="F1126" s="116">
        <v>0</v>
      </c>
      <c r="G1126" s="116">
        <v>0</v>
      </c>
      <c r="H1126" s="116">
        <v>0</v>
      </c>
      <c r="I1126" s="2">
        <v>0</v>
      </c>
      <c r="J1126" s="2">
        <v>0</v>
      </c>
      <c r="K1126" s="2">
        <v>0</v>
      </c>
      <c r="L1126" s="2">
        <v>0</v>
      </c>
      <c r="M1126" s="27">
        <v>0</v>
      </c>
      <c r="N1126" s="26">
        <f t="shared" si="217"/>
        <v>0</v>
      </c>
      <c r="O1126" s="2">
        <f t="shared" si="218"/>
        <v>1</v>
      </c>
      <c r="P1126" s="24">
        <f t="shared" si="219"/>
        <v>1</v>
      </c>
    </row>
    <row r="1127" spans="1:16" ht="9.75" customHeight="1">
      <c r="A1127" s="18"/>
      <c r="B1127" s="18" t="s">
        <v>102</v>
      </c>
      <c r="C1127" s="26">
        <v>10</v>
      </c>
      <c r="D1127" s="115">
        <v>10</v>
      </c>
      <c r="E1127" s="116">
        <v>10</v>
      </c>
      <c r="F1127" s="116">
        <v>10</v>
      </c>
      <c r="G1127" s="116">
        <v>10</v>
      </c>
      <c r="H1127" s="116">
        <v>10</v>
      </c>
      <c r="I1127" s="2">
        <v>10</v>
      </c>
      <c r="J1127" s="2">
        <v>10</v>
      </c>
      <c r="K1127" s="2">
        <v>10</v>
      </c>
      <c r="L1127" s="2">
        <v>10</v>
      </c>
      <c r="M1127" s="2">
        <v>10</v>
      </c>
      <c r="N1127" s="26">
        <f t="shared" si="217"/>
        <v>10</v>
      </c>
      <c r="O1127" s="2">
        <f t="shared" si="218"/>
        <v>0</v>
      </c>
      <c r="P1127" s="24">
        <f t="shared" si="219"/>
        <v>0</v>
      </c>
    </row>
    <row r="1128" spans="1:16" ht="9.75" customHeight="1">
      <c r="A1128" s="18"/>
      <c r="B1128" s="18" t="s">
        <v>104</v>
      </c>
      <c r="C1128" s="18"/>
      <c r="D1128" s="26"/>
      <c r="E1128" s="2"/>
      <c r="F1128" s="2"/>
      <c r="G1128" s="2"/>
      <c r="H1128" s="2"/>
      <c r="I1128" s="2"/>
      <c r="J1128" s="2"/>
      <c r="K1128" s="2"/>
      <c r="L1128" s="2"/>
      <c r="M1128" s="27"/>
      <c r="N1128" s="26"/>
      <c r="O1128" s="2"/>
      <c r="P1128" s="24"/>
    </row>
    <row r="1129" spans="1:16" ht="9.75" customHeight="1">
      <c r="A1129" s="18"/>
      <c r="B1129" s="18" t="s">
        <v>104</v>
      </c>
      <c r="C1129" s="18"/>
      <c r="D1129" s="26"/>
      <c r="E1129" s="2"/>
      <c r="F1129" s="2"/>
      <c r="G1129" s="2"/>
      <c r="H1129" s="2"/>
      <c r="I1129" s="2"/>
      <c r="J1129" s="2"/>
      <c r="K1129" s="2"/>
      <c r="L1129" s="2"/>
      <c r="M1129" s="27"/>
      <c r="N1129" s="26"/>
      <c r="O1129" s="2"/>
      <c r="P1129" s="24"/>
    </row>
    <row r="1130" spans="1:16" ht="9.75" customHeight="1">
      <c r="A1130" s="18"/>
      <c r="B1130" s="18" t="s">
        <v>104</v>
      </c>
      <c r="C1130" s="18"/>
      <c r="D1130" s="26"/>
      <c r="E1130" s="2"/>
      <c r="F1130" s="2"/>
      <c r="G1130" s="2"/>
      <c r="H1130" s="2"/>
      <c r="I1130" s="2"/>
      <c r="J1130" s="2"/>
      <c r="K1130" s="2"/>
      <c r="L1130" s="2"/>
      <c r="M1130" s="27"/>
      <c r="N1130" s="26"/>
      <c r="O1130" s="2"/>
      <c r="P1130" s="24"/>
    </row>
    <row r="1131" spans="1:16" ht="9.75" customHeight="1">
      <c r="A1131" s="18"/>
      <c r="B1131" s="18" t="s">
        <v>34</v>
      </c>
      <c r="C1131" s="18">
        <v>4</v>
      </c>
      <c r="D1131" s="115">
        <v>4</v>
      </c>
      <c r="E1131" s="116">
        <v>4</v>
      </c>
      <c r="F1131" s="116">
        <v>4</v>
      </c>
      <c r="G1131" s="116">
        <v>4</v>
      </c>
      <c r="H1131" s="116">
        <v>4</v>
      </c>
      <c r="I1131" s="2">
        <v>4</v>
      </c>
      <c r="J1131" s="2">
        <v>4</v>
      </c>
      <c r="K1131" s="2">
        <v>4</v>
      </c>
      <c r="L1131" s="2">
        <v>4</v>
      </c>
      <c r="M1131" s="27">
        <v>4</v>
      </c>
      <c r="N1131" s="26">
        <f>MIN(D1131:M1131)</f>
        <v>4</v>
      </c>
      <c r="O1131" s="2">
        <f>C1131-N1131</f>
        <v>0</v>
      </c>
      <c r="P1131" s="24">
        <f>O1131/C1131</f>
        <v>0</v>
      </c>
    </row>
    <row r="1132" spans="1:16" ht="9.75" customHeight="1">
      <c r="A1132" s="18"/>
      <c r="B1132" s="18" t="s">
        <v>35</v>
      </c>
      <c r="C1132" s="18"/>
      <c r="D1132" s="26"/>
      <c r="E1132" s="2"/>
      <c r="F1132" s="2"/>
      <c r="G1132" s="2"/>
      <c r="H1132" s="2"/>
      <c r="I1132" s="2"/>
      <c r="J1132" s="2"/>
      <c r="K1132" s="2"/>
      <c r="L1132" s="2"/>
      <c r="M1132" s="27"/>
      <c r="N1132" s="26"/>
      <c r="O1132" s="2"/>
      <c r="P1132" s="24"/>
    </row>
    <row r="1133" spans="1:16" ht="9.75" customHeight="1">
      <c r="A1133" s="18"/>
      <c r="B1133" s="18" t="s">
        <v>36</v>
      </c>
      <c r="C1133" s="18"/>
      <c r="D1133" s="26"/>
      <c r="E1133" s="2"/>
      <c r="F1133" s="2"/>
      <c r="G1133" s="2"/>
      <c r="H1133" s="2"/>
      <c r="I1133" s="2"/>
      <c r="J1133" s="2"/>
      <c r="K1133" s="2"/>
      <c r="L1133" s="2"/>
      <c r="M1133" s="27"/>
      <c r="N1133" s="26"/>
      <c r="O1133" s="2"/>
      <c r="P1133" s="24"/>
    </row>
    <row r="1134" spans="1:16" ht="9.75" customHeight="1">
      <c r="A1134" s="18"/>
      <c r="B1134" s="18" t="s">
        <v>37</v>
      </c>
      <c r="C1134" s="18"/>
      <c r="D1134" s="26"/>
      <c r="E1134" s="2"/>
      <c r="F1134" s="2"/>
      <c r="G1134" s="2"/>
      <c r="H1134" s="2"/>
      <c r="I1134" s="2"/>
      <c r="J1134" s="2"/>
      <c r="K1134" s="2"/>
      <c r="L1134" s="2"/>
      <c r="M1134" s="27"/>
      <c r="N1134" s="26"/>
      <c r="O1134" s="2"/>
      <c r="P1134" s="24"/>
    </row>
    <row r="1135" spans="1:16" ht="9.75" customHeight="1">
      <c r="A1135" s="32"/>
      <c r="B1135" s="33" t="s">
        <v>38</v>
      </c>
      <c r="C1135" s="33">
        <f t="shared" ref="C1135:M1135" si="220">SUM(C1119:C1134)</f>
        <v>311</v>
      </c>
      <c r="D1135" s="70">
        <f t="shared" si="220"/>
        <v>304</v>
      </c>
      <c r="E1135" s="71">
        <f t="shared" si="220"/>
        <v>296</v>
      </c>
      <c r="F1135" s="71">
        <f t="shared" si="220"/>
        <v>297</v>
      </c>
      <c r="G1135" s="71">
        <f t="shared" si="220"/>
        <v>295</v>
      </c>
      <c r="H1135" s="71">
        <f t="shared" si="220"/>
        <v>294</v>
      </c>
      <c r="I1135" s="71">
        <f t="shared" si="220"/>
        <v>294</v>
      </c>
      <c r="J1135" s="71">
        <f t="shared" si="220"/>
        <v>297</v>
      </c>
      <c r="K1135" s="71">
        <f t="shared" si="220"/>
        <v>298</v>
      </c>
      <c r="L1135" s="71">
        <f t="shared" si="220"/>
        <v>299</v>
      </c>
      <c r="M1135" s="93">
        <f t="shared" si="220"/>
        <v>303</v>
      </c>
      <c r="N1135" s="70">
        <f>MIN(D1135:M1135)</f>
        <v>294</v>
      </c>
      <c r="O1135" s="71">
        <f>C1135-N1135</f>
        <v>17</v>
      </c>
      <c r="P1135" s="40">
        <f>O1135/C1135</f>
        <v>5.4662379421221867E-2</v>
      </c>
    </row>
    <row r="1136" spans="1:16" ht="9.75" customHeight="1">
      <c r="A1136" s="66" t="s">
        <v>223</v>
      </c>
      <c r="B1136" s="66" t="s">
        <v>23</v>
      </c>
      <c r="C1136" s="66"/>
      <c r="D1136" s="41"/>
      <c r="E1136" s="72"/>
      <c r="F1136" s="72"/>
      <c r="G1136" s="72"/>
      <c r="H1136" s="72"/>
      <c r="I1136" s="72"/>
      <c r="J1136" s="72"/>
      <c r="K1136" s="72"/>
      <c r="L1136" s="72"/>
      <c r="M1136" s="73"/>
      <c r="N1136" s="41"/>
      <c r="O1136" s="72"/>
      <c r="P1136" s="99"/>
    </row>
    <row r="1137" spans="1:16" ht="9.75" customHeight="1">
      <c r="A1137" s="18"/>
      <c r="B1137" s="18" t="s">
        <v>25</v>
      </c>
      <c r="C1137" s="18"/>
      <c r="D1137" s="26"/>
      <c r="E1137" s="2"/>
      <c r="F1137" s="2"/>
      <c r="G1137" s="2"/>
      <c r="H1137" s="2"/>
      <c r="I1137" s="2"/>
      <c r="J1137" s="2"/>
      <c r="K1137" s="2"/>
      <c r="L1137" s="2"/>
      <c r="M1137" s="27"/>
      <c r="N1137" s="26"/>
      <c r="O1137" s="2"/>
      <c r="P1137" s="24"/>
    </row>
    <row r="1138" spans="1:16" ht="9.75" customHeight="1">
      <c r="A1138" s="18"/>
      <c r="B1138" s="18" t="s">
        <v>27</v>
      </c>
      <c r="C1138" s="18"/>
      <c r="D1138" s="26"/>
      <c r="E1138" s="2"/>
      <c r="F1138" s="2"/>
      <c r="G1138" s="2"/>
      <c r="H1138" s="2"/>
      <c r="I1138" s="2"/>
      <c r="J1138" s="2"/>
      <c r="K1138" s="2"/>
      <c r="L1138" s="2"/>
      <c r="M1138" s="27"/>
      <c r="N1138" s="26"/>
      <c r="O1138" s="2"/>
      <c r="P1138" s="24"/>
    </row>
    <row r="1139" spans="1:16" ht="9.75" customHeight="1">
      <c r="A1139" s="18"/>
      <c r="B1139" s="18" t="s">
        <v>222</v>
      </c>
      <c r="C1139" s="18">
        <v>8</v>
      </c>
      <c r="D1139" s="115">
        <v>6</v>
      </c>
      <c r="E1139" s="116">
        <v>5</v>
      </c>
      <c r="F1139" s="116">
        <v>5</v>
      </c>
      <c r="G1139" s="116">
        <v>5</v>
      </c>
      <c r="H1139" s="116">
        <v>5</v>
      </c>
      <c r="I1139" s="2">
        <v>6</v>
      </c>
      <c r="J1139" s="2">
        <v>5</v>
      </c>
      <c r="K1139" s="2">
        <v>5</v>
      </c>
      <c r="L1139" s="2">
        <v>5</v>
      </c>
      <c r="M1139" s="27">
        <v>7</v>
      </c>
      <c r="N1139" s="26">
        <f>MIN(D1139:M1139)</f>
        <v>5</v>
      </c>
      <c r="O1139" s="2">
        <f>C1139-N1139</f>
        <v>3</v>
      </c>
      <c r="P1139" s="24">
        <f>O1139/C1139</f>
        <v>0.375</v>
      </c>
    </row>
    <row r="1140" spans="1:16" ht="9.75" customHeight="1">
      <c r="A1140" s="18"/>
      <c r="B1140" s="18" t="s">
        <v>99</v>
      </c>
      <c r="C1140" s="18"/>
      <c r="D1140" s="26"/>
      <c r="E1140" s="2"/>
      <c r="F1140" s="2"/>
      <c r="G1140" s="2"/>
      <c r="H1140" s="2"/>
      <c r="I1140" s="2"/>
      <c r="J1140" s="2"/>
      <c r="K1140" s="2"/>
      <c r="L1140" s="2"/>
      <c r="M1140" s="27"/>
      <c r="N1140" s="26"/>
      <c r="O1140" s="2"/>
      <c r="P1140" s="24"/>
    </row>
    <row r="1141" spans="1:16" ht="9.75" customHeight="1">
      <c r="A1141" s="18"/>
      <c r="B1141" s="18" t="s">
        <v>32</v>
      </c>
      <c r="C1141" s="18"/>
      <c r="D1141" s="26"/>
      <c r="E1141" s="2"/>
      <c r="F1141" s="2"/>
      <c r="G1141" s="2"/>
      <c r="H1141" s="2"/>
      <c r="I1141" s="2"/>
      <c r="J1141" s="2"/>
      <c r="K1141" s="2"/>
      <c r="L1141" s="2"/>
      <c r="M1141" s="27"/>
      <c r="N1141" s="26"/>
      <c r="O1141" s="2"/>
      <c r="P1141" s="24"/>
    </row>
    <row r="1142" spans="1:16" ht="9.75" customHeight="1">
      <c r="A1142" s="18"/>
      <c r="B1142" s="18" t="s">
        <v>104</v>
      </c>
      <c r="C1142" s="18"/>
      <c r="D1142" s="26"/>
      <c r="E1142" s="2"/>
      <c r="F1142" s="2"/>
      <c r="G1142" s="2"/>
      <c r="H1142" s="2"/>
      <c r="I1142" s="2"/>
      <c r="J1142" s="2"/>
      <c r="K1142" s="2"/>
      <c r="L1142" s="2"/>
      <c r="M1142" s="27"/>
      <c r="N1142" s="26"/>
      <c r="O1142" s="2"/>
      <c r="P1142" s="24"/>
    </row>
    <row r="1143" spans="1:16" ht="9.75" customHeight="1">
      <c r="A1143" s="18"/>
      <c r="B1143" s="18" t="s">
        <v>104</v>
      </c>
      <c r="C1143" s="18"/>
      <c r="D1143" s="26"/>
      <c r="E1143" s="2"/>
      <c r="F1143" s="2"/>
      <c r="G1143" s="2"/>
      <c r="H1143" s="2"/>
      <c r="I1143" s="2"/>
      <c r="J1143" s="2"/>
      <c r="K1143" s="2"/>
      <c r="L1143" s="2"/>
      <c r="M1143" s="27"/>
      <c r="N1143" s="26"/>
      <c r="O1143" s="2"/>
      <c r="P1143" s="24"/>
    </row>
    <row r="1144" spans="1:16" ht="9.75" customHeight="1">
      <c r="A1144" s="18"/>
      <c r="B1144" s="18" t="s">
        <v>104</v>
      </c>
      <c r="C1144" s="18"/>
      <c r="D1144" s="26"/>
      <c r="E1144" s="2"/>
      <c r="F1144" s="2"/>
      <c r="G1144" s="2"/>
      <c r="H1144" s="2"/>
      <c r="I1144" s="2"/>
      <c r="J1144" s="2"/>
      <c r="K1144" s="2"/>
      <c r="L1144" s="2"/>
      <c r="M1144" s="27"/>
      <c r="N1144" s="26"/>
      <c r="O1144" s="2"/>
      <c r="P1144" s="24"/>
    </row>
    <row r="1145" spans="1:16" ht="9.75" customHeight="1">
      <c r="A1145" s="18"/>
      <c r="B1145" s="18" t="s">
        <v>104</v>
      </c>
      <c r="C1145" s="18"/>
      <c r="D1145" s="26"/>
      <c r="E1145" s="2"/>
      <c r="F1145" s="2"/>
      <c r="G1145" s="2"/>
      <c r="H1145" s="2"/>
      <c r="I1145" s="2"/>
      <c r="J1145" s="2"/>
      <c r="K1145" s="2"/>
      <c r="L1145" s="2"/>
      <c r="M1145" s="27"/>
      <c r="N1145" s="26"/>
      <c r="O1145" s="2"/>
      <c r="P1145" s="24"/>
    </row>
    <row r="1146" spans="1:16" ht="9.75" customHeight="1">
      <c r="A1146" s="18"/>
      <c r="B1146" s="18" t="s">
        <v>104</v>
      </c>
      <c r="C1146" s="18"/>
      <c r="D1146" s="26"/>
      <c r="E1146" s="2"/>
      <c r="F1146" s="2"/>
      <c r="G1146" s="2"/>
      <c r="H1146" s="2"/>
      <c r="I1146" s="2"/>
      <c r="J1146" s="2"/>
      <c r="K1146" s="2"/>
      <c r="L1146" s="2"/>
      <c r="M1146" s="27"/>
      <c r="N1146" s="26"/>
      <c r="O1146" s="2"/>
      <c r="P1146" s="24"/>
    </row>
    <row r="1147" spans="1:16" ht="9.75" customHeight="1">
      <c r="A1147" s="18"/>
      <c r="B1147" s="18" t="s">
        <v>104</v>
      </c>
      <c r="C1147" s="18"/>
      <c r="D1147" s="26"/>
      <c r="E1147" s="2"/>
      <c r="F1147" s="2"/>
      <c r="G1147" s="2"/>
      <c r="H1147" s="2"/>
      <c r="I1147" s="2"/>
      <c r="J1147" s="2"/>
      <c r="K1147" s="2"/>
      <c r="L1147" s="2"/>
      <c r="M1147" s="27"/>
      <c r="N1147" s="26"/>
      <c r="O1147" s="2"/>
      <c r="P1147" s="24"/>
    </row>
    <row r="1148" spans="1:16" ht="9.75" customHeight="1">
      <c r="A1148" s="18"/>
      <c r="B1148" s="18" t="s">
        <v>34</v>
      </c>
      <c r="C1148" s="18">
        <v>1</v>
      </c>
      <c r="D1148" s="115">
        <v>1</v>
      </c>
      <c r="E1148" s="116">
        <v>1</v>
      </c>
      <c r="F1148" s="116">
        <v>1</v>
      </c>
      <c r="G1148" s="116">
        <v>1</v>
      </c>
      <c r="H1148" s="116">
        <v>1</v>
      </c>
      <c r="I1148" s="2">
        <v>1</v>
      </c>
      <c r="J1148" s="2">
        <v>1</v>
      </c>
      <c r="K1148" s="2">
        <v>1</v>
      </c>
      <c r="L1148" s="2">
        <v>1</v>
      </c>
      <c r="M1148" s="27">
        <v>1</v>
      </c>
      <c r="N1148" s="26">
        <f t="shared" ref="N1148:N1149" si="221">MIN(D1148:M1148)</f>
        <v>1</v>
      </c>
      <c r="O1148" s="2">
        <f t="shared" ref="O1148:O1149" si="222">C1148-N1148</f>
        <v>0</v>
      </c>
      <c r="P1148" s="24">
        <f t="shared" ref="P1148:P1149" si="223">O1148/C1148</f>
        <v>0</v>
      </c>
    </row>
    <row r="1149" spans="1:16" ht="9.75" customHeight="1">
      <c r="A1149" s="18"/>
      <c r="B1149" s="18" t="s">
        <v>35</v>
      </c>
      <c r="C1149" s="18">
        <v>15</v>
      </c>
      <c r="D1149" s="115">
        <v>11</v>
      </c>
      <c r="E1149" s="116">
        <v>13</v>
      </c>
      <c r="F1149" s="116">
        <v>12</v>
      </c>
      <c r="G1149" s="116">
        <v>12</v>
      </c>
      <c r="H1149" s="116">
        <v>12</v>
      </c>
      <c r="I1149" s="2">
        <v>13</v>
      </c>
      <c r="J1149" s="2">
        <v>12</v>
      </c>
      <c r="K1149" s="2">
        <v>14</v>
      </c>
      <c r="L1149" s="2">
        <v>14</v>
      </c>
      <c r="M1149" s="27">
        <v>14</v>
      </c>
      <c r="N1149" s="26">
        <f t="shared" si="221"/>
        <v>11</v>
      </c>
      <c r="O1149" s="2">
        <f t="shared" si="222"/>
        <v>4</v>
      </c>
      <c r="P1149" s="24">
        <f t="shared" si="223"/>
        <v>0.26666666666666666</v>
      </c>
    </row>
    <row r="1150" spans="1:16" ht="9.75" customHeight="1">
      <c r="A1150" s="18"/>
      <c r="B1150" s="18" t="s">
        <v>36</v>
      </c>
      <c r="C1150" s="18"/>
      <c r="D1150" s="26"/>
      <c r="E1150" s="2"/>
      <c r="F1150" s="2"/>
      <c r="G1150" s="2"/>
      <c r="H1150" s="2"/>
      <c r="I1150" s="2"/>
      <c r="J1150" s="2"/>
      <c r="K1150" s="2"/>
      <c r="L1150" s="2"/>
      <c r="M1150" s="27"/>
      <c r="N1150" s="26"/>
      <c r="O1150" s="2"/>
      <c r="P1150" s="24"/>
    </row>
    <row r="1151" spans="1:16" ht="9.75" customHeight="1">
      <c r="A1151" s="18"/>
      <c r="B1151" s="18" t="s">
        <v>37</v>
      </c>
      <c r="C1151" s="18"/>
      <c r="D1151" s="26"/>
      <c r="E1151" s="2"/>
      <c r="F1151" s="2"/>
      <c r="G1151" s="2"/>
      <c r="H1151" s="2"/>
      <c r="I1151" s="2"/>
      <c r="J1151" s="2"/>
      <c r="K1151" s="2"/>
      <c r="L1151" s="2"/>
      <c r="M1151" s="27"/>
      <c r="N1151" s="26"/>
      <c r="O1151" s="2"/>
      <c r="P1151" s="24"/>
    </row>
    <row r="1152" spans="1:16" ht="9.75" customHeight="1">
      <c r="A1152" s="32"/>
      <c r="B1152" s="33" t="s">
        <v>38</v>
      </c>
      <c r="C1152" s="33">
        <f t="shared" ref="C1152:M1152" si="224">SUM(C1136:C1151)</f>
        <v>24</v>
      </c>
      <c r="D1152" s="70">
        <f t="shared" si="224"/>
        <v>18</v>
      </c>
      <c r="E1152" s="71">
        <f t="shared" si="224"/>
        <v>19</v>
      </c>
      <c r="F1152" s="71">
        <f t="shared" si="224"/>
        <v>18</v>
      </c>
      <c r="G1152" s="71">
        <f t="shared" si="224"/>
        <v>18</v>
      </c>
      <c r="H1152" s="71">
        <f t="shared" si="224"/>
        <v>18</v>
      </c>
      <c r="I1152" s="71">
        <f t="shared" si="224"/>
        <v>20</v>
      </c>
      <c r="J1152" s="71">
        <f t="shared" si="224"/>
        <v>18</v>
      </c>
      <c r="K1152" s="71">
        <f t="shared" si="224"/>
        <v>20</v>
      </c>
      <c r="L1152" s="71">
        <f t="shared" si="224"/>
        <v>20</v>
      </c>
      <c r="M1152" s="93">
        <f t="shared" si="224"/>
        <v>22</v>
      </c>
      <c r="N1152" s="70">
        <f>MIN(D1152:M1152)</f>
        <v>18</v>
      </c>
      <c r="O1152" s="71">
        <f>C1152-N1152</f>
        <v>6</v>
      </c>
      <c r="P1152" s="40">
        <f>O1152/C1152</f>
        <v>0.25</v>
      </c>
    </row>
    <row r="1153" spans="1:16" ht="9.75" customHeight="1">
      <c r="A1153" s="66" t="s">
        <v>224</v>
      </c>
      <c r="B1153" s="66" t="s">
        <v>23</v>
      </c>
      <c r="C1153" s="66"/>
      <c r="D1153" s="41"/>
      <c r="E1153" s="72"/>
      <c r="F1153" s="72"/>
      <c r="G1153" s="72"/>
      <c r="H1153" s="72"/>
      <c r="I1153" s="72"/>
      <c r="J1153" s="72"/>
      <c r="K1153" s="72"/>
      <c r="L1153" s="72"/>
      <c r="M1153" s="73"/>
      <c r="N1153" s="41"/>
      <c r="O1153" s="72"/>
      <c r="P1153" s="99"/>
    </row>
    <row r="1154" spans="1:16" ht="9.75" customHeight="1">
      <c r="A1154" s="18"/>
      <c r="B1154" s="18" t="s">
        <v>25</v>
      </c>
      <c r="C1154" s="18">
        <v>134</v>
      </c>
      <c r="D1154" s="115">
        <v>133</v>
      </c>
      <c r="E1154" s="116">
        <v>132</v>
      </c>
      <c r="F1154" s="116">
        <v>131</v>
      </c>
      <c r="G1154" s="116">
        <v>131</v>
      </c>
      <c r="H1154" s="116">
        <v>130</v>
      </c>
      <c r="I1154" s="2">
        <v>125</v>
      </c>
      <c r="J1154" s="2">
        <v>123</v>
      </c>
      <c r="K1154" s="2">
        <v>123</v>
      </c>
      <c r="L1154" s="2">
        <v>125</v>
      </c>
      <c r="M1154" s="27">
        <v>127</v>
      </c>
      <c r="N1154" s="26">
        <f>MIN(D1154:M1154)</f>
        <v>123</v>
      </c>
      <c r="O1154" s="2">
        <f>C1154-N1154</f>
        <v>11</v>
      </c>
      <c r="P1154" s="24">
        <f>O1154/C1154</f>
        <v>8.2089552238805971E-2</v>
      </c>
    </row>
    <row r="1155" spans="1:16" ht="9.75" customHeight="1">
      <c r="A1155" s="18"/>
      <c r="B1155" s="18" t="s">
        <v>27</v>
      </c>
      <c r="C1155" s="18"/>
      <c r="D1155" s="26"/>
      <c r="E1155" s="2"/>
      <c r="F1155" s="2"/>
      <c r="G1155" s="2"/>
      <c r="H1155" s="2"/>
      <c r="I1155" s="2"/>
      <c r="J1155" s="2"/>
      <c r="K1155" s="2"/>
      <c r="L1155" s="2"/>
      <c r="M1155" s="27"/>
      <c r="N1155" s="26"/>
      <c r="O1155" s="2"/>
      <c r="P1155" s="24"/>
    </row>
    <row r="1156" spans="1:16" ht="9.75" customHeight="1">
      <c r="A1156" s="18"/>
      <c r="B1156" s="18" t="s">
        <v>99</v>
      </c>
      <c r="C1156" s="18"/>
      <c r="D1156" s="26"/>
      <c r="E1156" s="2"/>
      <c r="F1156" s="2"/>
      <c r="G1156" s="2"/>
      <c r="H1156" s="2"/>
      <c r="I1156" s="2"/>
      <c r="J1156" s="2"/>
      <c r="K1156" s="2"/>
      <c r="L1156" s="2"/>
      <c r="M1156" s="27"/>
      <c r="N1156" s="26"/>
      <c r="O1156" s="2"/>
      <c r="P1156" s="24"/>
    </row>
    <row r="1157" spans="1:16" ht="9.75" customHeight="1">
      <c r="A1157" s="18"/>
      <c r="B1157" s="18" t="s">
        <v>99</v>
      </c>
      <c r="C1157" s="18"/>
      <c r="D1157" s="26"/>
      <c r="E1157" s="2"/>
      <c r="F1157" s="2"/>
      <c r="G1157" s="2"/>
      <c r="H1157" s="2"/>
      <c r="I1157" s="2"/>
      <c r="J1157" s="2"/>
      <c r="K1157" s="2"/>
      <c r="L1157" s="2"/>
      <c r="M1157" s="27"/>
      <c r="N1157" s="26"/>
      <c r="O1157" s="2"/>
      <c r="P1157" s="24"/>
    </row>
    <row r="1158" spans="1:16" ht="9.75" customHeight="1">
      <c r="A1158" s="18"/>
      <c r="B1158" s="18" t="s">
        <v>32</v>
      </c>
      <c r="C1158" s="18"/>
      <c r="D1158" s="26"/>
      <c r="E1158" s="2"/>
      <c r="F1158" s="2"/>
      <c r="G1158" s="2"/>
      <c r="H1158" s="2"/>
      <c r="I1158" s="2"/>
      <c r="J1158" s="2"/>
      <c r="K1158" s="2"/>
      <c r="L1158" s="2"/>
      <c r="M1158" s="27"/>
      <c r="N1158" s="26"/>
      <c r="O1158" s="2"/>
      <c r="P1158" s="24"/>
    </row>
    <row r="1159" spans="1:16" ht="9.75" customHeight="1">
      <c r="A1159" s="18"/>
      <c r="B1159" s="18" t="s">
        <v>225</v>
      </c>
      <c r="C1159" s="18">
        <v>52</v>
      </c>
      <c r="D1159" s="26">
        <f>52-15</f>
        <v>37</v>
      </c>
      <c r="E1159" s="2">
        <f>52-20</f>
        <v>32</v>
      </c>
      <c r="F1159" s="2">
        <f>52-33</f>
        <v>19</v>
      </c>
      <c r="G1159" s="2">
        <f>52-40</f>
        <v>12</v>
      </c>
      <c r="H1159" s="2">
        <f>52-41</f>
        <v>11</v>
      </c>
      <c r="I1159" s="2">
        <v>2</v>
      </c>
      <c r="J1159" s="2">
        <v>3</v>
      </c>
      <c r="K1159" s="2">
        <v>8</v>
      </c>
      <c r="L1159" s="2">
        <v>10</v>
      </c>
      <c r="M1159" s="27">
        <v>21</v>
      </c>
      <c r="N1159" s="26">
        <f>MIN(D1159:M1159)</f>
        <v>2</v>
      </c>
      <c r="O1159" s="2">
        <f>C1159-N1159</f>
        <v>50</v>
      </c>
      <c r="P1159" s="24">
        <f>O1159/C1159</f>
        <v>0.96153846153846156</v>
      </c>
    </row>
    <row r="1160" spans="1:16" ht="9.75" customHeight="1">
      <c r="A1160" s="18"/>
      <c r="B1160" s="18" t="s">
        <v>104</v>
      </c>
      <c r="C1160" s="18"/>
      <c r="D1160" s="26"/>
      <c r="E1160" s="2"/>
      <c r="F1160" s="2"/>
      <c r="G1160" s="2"/>
      <c r="H1160" s="2"/>
      <c r="I1160" s="2"/>
      <c r="J1160" s="2"/>
      <c r="K1160" s="2"/>
      <c r="L1160" s="2"/>
      <c r="M1160" s="27"/>
      <c r="N1160" s="26"/>
      <c r="O1160" s="2"/>
      <c r="P1160" s="24"/>
    </row>
    <row r="1161" spans="1:16" ht="9.75" customHeight="1">
      <c r="A1161" s="18"/>
      <c r="B1161" s="18" t="s">
        <v>104</v>
      </c>
      <c r="C1161" s="18"/>
      <c r="D1161" s="26"/>
      <c r="E1161" s="2"/>
      <c r="F1161" s="2"/>
      <c r="G1161" s="2"/>
      <c r="H1161" s="2"/>
      <c r="I1161" s="2"/>
      <c r="J1161" s="2"/>
      <c r="K1161" s="2"/>
      <c r="L1161" s="2"/>
      <c r="M1161" s="27"/>
      <c r="N1161" s="26"/>
      <c r="O1161" s="2"/>
      <c r="P1161" s="24"/>
    </row>
    <row r="1162" spans="1:16" ht="9.75" customHeight="1">
      <c r="A1162" s="18"/>
      <c r="B1162" s="18" t="s">
        <v>104</v>
      </c>
      <c r="C1162" s="18"/>
      <c r="D1162" s="26"/>
      <c r="E1162" s="2"/>
      <c r="F1162" s="2"/>
      <c r="G1162" s="2"/>
      <c r="H1162" s="2"/>
      <c r="I1162" s="2"/>
      <c r="J1162" s="2"/>
      <c r="K1162" s="2"/>
      <c r="L1162" s="2"/>
      <c r="M1162" s="27"/>
      <c r="N1162" s="26"/>
      <c r="O1162" s="2"/>
      <c r="P1162" s="24"/>
    </row>
    <row r="1163" spans="1:16" ht="9.75" customHeight="1">
      <c r="A1163" s="18"/>
      <c r="B1163" s="18" t="s">
        <v>104</v>
      </c>
      <c r="C1163" s="18"/>
      <c r="D1163" s="26"/>
      <c r="E1163" s="2"/>
      <c r="F1163" s="2"/>
      <c r="G1163" s="2"/>
      <c r="H1163" s="2"/>
      <c r="I1163" s="2"/>
      <c r="J1163" s="2"/>
      <c r="K1163" s="2"/>
      <c r="L1163" s="2"/>
      <c r="M1163" s="27"/>
      <c r="N1163" s="26"/>
      <c r="O1163" s="2"/>
      <c r="P1163" s="24"/>
    </row>
    <row r="1164" spans="1:16" ht="9.75" customHeight="1">
      <c r="A1164" s="18"/>
      <c r="B1164" s="18" t="s">
        <v>104</v>
      </c>
      <c r="C1164" s="18"/>
      <c r="D1164" s="26"/>
      <c r="E1164" s="2"/>
      <c r="F1164" s="2"/>
      <c r="G1164" s="2"/>
      <c r="H1164" s="2"/>
      <c r="I1164" s="2"/>
      <c r="J1164" s="2"/>
      <c r="K1164" s="2"/>
      <c r="L1164" s="2"/>
      <c r="M1164" s="27"/>
      <c r="N1164" s="26"/>
      <c r="O1164" s="2"/>
      <c r="P1164" s="24"/>
    </row>
    <row r="1165" spans="1:16" ht="9.75" customHeight="1">
      <c r="A1165" s="18"/>
      <c r="B1165" s="18" t="s">
        <v>34</v>
      </c>
      <c r="C1165" s="18"/>
      <c r="D1165" s="26"/>
      <c r="E1165" s="2"/>
      <c r="F1165" s="2"/>
      <c r="G1165" s="2"/>
      <c r="H1165" s="2"/>
      <c r="I1165" s="2"/>
      <c r="J1165" s="2"/>
      <c r="K1165" s="2"/>
      <c r="L1165" s="2"/>
      <c r="M1165" s="27"/>
      <c r="N1165" s="26"/>
      <c r="O1165" s="2"/>
      <c r="P1165" s="24"/>
    </row>
    <row r="1166" spans="1:16" ht="9.75" customHeight="1">
      <c r="A1166" s="18"/>
      <c r="B1166" s="18" t="s">
        <v>35</v>
      </c>
      <c r="C1166" s="18"/>
      <c r="D1166" s="26"/>
      <c r="E1166" s="2"/>
      <c r="F1166" s="2"/>
      <c r="G1166" s="2"/>
      <c r="H1166" s="2"/>
      <c r="I1166" s="2"/>
      <c r="J1166" s="2"/>
      <c r="K1166" s="2"/>
      <c r="L1166" s="2"/>
      <c r="M1166" s="27"/>
      <c r="N1166" s="26"/>
      <c r="O1166" s="2"/>
      <c r="P1166" s="24"/>
    </row>
    <row r="1167" spans="1:16" ht="9.75" customHeight="1">
      <c r="A1167" s="18"/>
      <c r="B1167" s="18" t="s">
        <v>36</v>
      </c>
      <c r="C1167" s="18"/>
      <c r="D1167" s="26"/>
      <c r="E1167" s="2"/>
      <c r="F1167" s="2"/>
      <c r="G1167" s="2"/>
      <c r="H1167" s="2"/>
      <c r="I1167" s="2"/>
      <c r="J1167" s="2"/>
      <c r="K1167" s="2"/>
      <c r="L1167" s="2"/>
      <c r="M1167" s="27"/>
      <c r="N1167" s="26"/>
      <c r="O1167" s="2"/>
      <c r="P1167" s="24"/>
    </row>
    <row r="1168" spans="1:16" ht="9.75" customHeight="1">
      <c r="A1168" s="18"/>
      <c r="B1168" s="18" t="s">
        <v>37</v>
      </c>
      <c r="C1168" s="18"/>
      <c r="D1168" s="26"/>
      <c r="E1168" s="2"/>
      <c r="F1168" s="2"/>
      <c r="G1168" s="2"/>
      <c r="H1168" s="2"/>
      <c r="I1168" s="2"/>
      <c r="J1168" s="2"/>
      <c r="K1168" s="2"/>
      <c r="L1168" s="2"/>
      <c r="M1168" s="27"/>
      <c r="N1168" s="26"/>
      <c r="O1168" s="2"/>
      <c r="P1168" s="24"/>
    </row>
    <row r="1169" spans="1:16" ht="9.75" customHeight="1">
      <c r="A1169" s="32"/>
      <c r="B1169" s="33" t="s">
        <v>38</v>
      </c>
      <c r="C1169" s="33">
        <f t="shared" ref="C1169:M1169" si="225">SUM(C1153:C1168)</f>
        <v>186</v>
      </c>
      <c r="D1169" s="70">
        <f t="shared" si="225"/>
        <v>170</v>
      </c>
      <c r="E1169" s="71">
        <f t="shared" si="225"/>
        <v>164</v>
      </c>
      <c r="F1169" s="71">
        <f t="shared" si="225"/>
        <v>150</v>
      </c>
      <c r="G1169" s="71">
        <f t="shared" si="225"/>
        <v>143</v>
      </c>
      <c r="H1169" s="71">
        <f t="shared" si="225"/>
        <v>141</v>
      </c>
      <c r="I1169" s="71">
        <f t="shared" si="225"/>
        <v>127</v>
      </c>
      <c r="J1169" s="71">
        <f t="shared" si="225"/>
        <v>126</v>
      </c>
      <c r="K1169" s="71">
        <f t="shared" si="225"/>
        <v>131</v>
      </c>
      <c r="L1169" s="71">
        <f t="shared" si="225"/>
        <v>135</v>
      </c>
      <c r="M1169" s="93">
        <f t="shared" si="225"/>
        <v>148</v>
      </c>
      <c r="N1169" s="70">
        <f>MIN(D1169:M1169)</f>
        <v>126</v>
      </c>
      <c r="O1169" s="71">
        <f>C1169-N1169</f>
        <v>60</v>
      </c>
      <c r="P1169" s="40">
        <f>O1169/C1169</f>
        <v>0.32258064516129031</v>
      </c>
    </row>
    <row r="1170" spans="1:16" ht="9.75" customHeight="1">
      <c r="A1170" s="66" t="s">
        <v>226</v>
      </c>
      <c r="B1170" s="66" t="s">
        <v>23</v>
      </c>
      <c r="C1170" s="66"/>
      <c r="D1170" s="41"/>
      <c r="E1170" s="72"/>
      <c r="F1170" s="72"/>
      <c r="G1170" s="72"/>
      <c r="H1170" s="72"/>
      <c r="I1170" s="72"/>
      <c r="J1170" s="72"/>
      <c r="K1170" s="72"/>
      <c r="L1170" s="72"/>
      <c r="M1170" s="73"/>
      <c r="N1170" s="41"/>
      <c r="O1170" s="72"/>
      <c r="P1170" s="99"/>
    </row>
    <row r="1171" spans="1:16" ht="9.75" customHeight="1">
      <c r="A1171" s="18"/>
      <c r="B1171" s="18" t="s">
        <v>25</v>
      </c>
      <c r="C1171" s="18"/>
      <c r="D1171" s="26"/>
      <c r="E1171" s="2"/>
      <c r="F1171" s="2"/>
      <c r="G1171" s="2"/>
      <c r="H1171" s="2"/>
      <c r="I1171" s="2"/>
      <c r="J1171" s="2"/>
      <c r="K1171" s="2"/>
      <c r="L1171" s="2"/>
      <c r="M1171" s="27"/>
      <c r="N1171" s="26"/>
      <c r="O1171" s="2"/>
      <c r="P1171" s="24"/>
    </row>
    <row r="1172" spans="1:16" ht="9.75" customHeight="1">
      <c r="A1172" s="18"/>
      <c r="B1172" s="18" t="s">
        <v>27</v>
      </c>
      <c r="C1172" s="18"/>
      <c r="D1172" s="26"/>
      <c r="E1172" s="2"/>
      <c r="F1172" s="2"/>
      <c r="G1172" s="2"/>
      <c r="H1172" s="2"/>
      <c r="I1172" s="2"/>
      <c r="J1172" s="2"/>
      <c r="K1172" s="2"/>
      <c r="L1172" s="2"/>
      <c r="M1172" s="27"/>
      <c r="N1172" s="26"/>
      <c r="O1172" s="2"/>
      <c r="P1172" s="24"/>
    </row>
    <row r="1173" spans="1:16" ht="9.75" customHeight="1">
      <c r="A1173" s="18"/>
      <c r="B1173" s="18" t="s">
        <v>227</v>
      </c>
      <c r="C1173" s="18">
        <v>222</v>
      </c>
      <c r="D1173" s="26">
        <f>C1173-20</f>
        <v>202</v>
      </c>
      <c r="E1173" s="2">
        <f>C1173-23</f>
        <v>199</v>
      </c>
      <c r="F1173" s="2">
        <f>C1173-41</f>
        <v>181</v>
      </c>
      <c r="G1173" s="2">
        <f>C1173-43</f>
        <v>179</v>
      </c>
      <c r="H1173" s="2">
        <f>C1173-45</f>
        <v>177</v>
      </c>
      <c r="I1173" s="2">
        <f>C1173-53</f>
        <v>169</v>
      </c>
      <c r="J1173" s="2">
        <f>C1173-46</f>
        <v>176</v>
      </c>
      <c r="K1173" s="2">
        <f>C1173-40</f>
        <v>182</v>
      </c>
      <c r="L1173" s="2">
        <f>C1173-31</f>
        <v>191</v>
      </c>
      <c r="M1173" s="27">
        <f>C1173-27</f>
        <v>195</v>
      </c>
      <c r="N1173" s="26">
        <f>MIN(D1173:M1173)</f>
        <v>169</v>
      </c>
      <c r="O1173" s="2">
        <f>C1173-N1173</f>
        <v>53</v>
      </c>
      <c r="P1173" s="24">
        <f>O1173/C1173</f>
        <v>0.23873873873873874</v>
      </c>
    </row>
    <row r="1174" spans="1:16" ht="9.75" customHeight="1">
      <c r="A1174" s="18"/>
      <c r="B1174" s="18" t="s">
        <v>99</v>
      </c>
      <c r="C1174" s="18"/>
      <c r="D1174" s="26"/>
      <c r="E1174" s="2"/>
      <c r="F1174" s="2"/>
      <c r="G1174" s="2"/>
      <c r="H1174" s="2"/>
      <c r="I1174" s="2"/>
      <c r="J1174" s="2"/>
      <c r="K1174" s="2"/>
      <c r="L1174" s="2"/>
      <c r="M1174" s="27"/>
      <c r="N1174" s="26"/>
      <c r="O1174" s="2"/>
      <c r="P1174" s="24"/>
    </row>
    <row r="1175" spans="1:16" ht="9.75" customHeight="1">
      <c r="A1175" s="18"/>
      <c r="B1175" s="18" t="s">
        <v>32</v>
      </c>
      <c r="C1175" s="18">
        <v>6</v>
      </c>
      <c r="D1175" s="115">
        <v>6</v>
      </c>
      <c r="E1175" s="116">
        <v>6</v>
      </c>
      <c r="F1175" s="116">
        <v>5</v>
      </c>
      <c r="G1175" s="116">
        <v>5</v>
      </c>
      <c r="H1175" s="116">
        <v>5</v>
      </c>
      <c r="I1175" s="2">
        <v>5</v>
      </c>
      <c r="J1175" s="2">
        <v>6</v>
      </c>
      <c r="K1175" s="2">
        <v>6</v>
      </c>
      <c r="L1175" s="2">
        <v>6</v>
      </c>
      <c r="M1175" s="27">
        <v>6</v>
      </c>
      <c r="N1175" s="26">
        <f>MIN(D1175:M1175)</f>
        <v>5</v>
      </c>
      <c r="O1175" s="2">
        <f>C1175-N1175</f>
        <v>1</v>
      </c>
      <c r="P1175" s="24">
        <f>O1175/C1175</f>
        <v>0.16666666666666666</v>
      </c>
    </row>
    <row r="1176" spans="1:16" ht="9.75" customHeight="1">
      <c r="A1176" s="18"/>
      <c r="B1176" s="18" t="s">
        <v>104</v>
      </c>
      <c r="C1176" s="18"/>
      <c r="D1176" s="26"/>
      <c r="E1176" s="2"/>
      <c r="F1176" s="2"/>
      <c r="G1176" s="2"/>
      <c r="H1176" s="2"/>
      <c r="I1176" s="2"/>
      <c r="J1176" s="2"/>
      <c r="K1176" s="2"/>
      <c r="L1176" s="2"/>
      <c r="M1176" s="27"/>
      <c r="N1176" s="26"/>
      <c r="O1176" s="2"/>
      <c r="P1176" s="24"/>
    </row>
    <row r="1177" spans="1:16" ht="9.75" customHeight="1">
      <c r="A1177" s="18"/>
      <c r="B1177" s="18" t="s">
        <v>104</v>
      </c>
      <c r="C1177" s="18"/>
      <c r="D1177" s="26"/>
      <c r="E1177" s="2"/>
      <c r="F1177" s="2"/>
      <c r="G1177" s="2"/>
      <c r="H1177" s="2"/>
      <c r="I1177" s="2"/>
      <c r="J1177" s="2"/>
      <c r="K1177" s="2"/>
      <c r="L1177" s="2"/>
      <c r="M1177" s="27"/>
      <c r="N1177" s="26"/>
      <c r="O1177" s="2"/>
      <c r="P1177" s="24"/>
    </row>
    <row r="1178" spans="1:16" ht="9.75" customHeight="1">
      <c r="A1178" s="18"/>
      <c r="B1178" s="18" t="s">
        <v>104</v>
      </c>
      <c r="C1178" s="18"/>
      <c r="D1178" s="26"/>
      <c r="E1178" s="2"/>
      <c r="F1178" s="2"/>
      <c r="G1178" s="2"/>
      <c r="H1178" s="2"/>
      <c r="I1178" s="2"/>
      <c r="J1178" s="2"/>
      <c r="K1178" s="2"/>
      <c r="L1178" s="2"/>
      <c r="M1178" s="27"/>
      <c r="N1178" s="26"/>
      <c r="O1178" s="2"/>
      <c r="P1178" s="24"/>
    </row>
    <row r="1179" spans="1:16" ht="9.75" customHeight="1">
      <c r="A1179" s="18"/>
      <c r="B1179" s="18" t="s">
        <v>104</v>
      </c>
      <c r="C1179" s="18"/>
      <c r="D1179" s="26"/>
      <c r="E1179" s="2"/>
      <c r="F1179" s="2"/>
      <c r="G1179" s="2"/>
      <c r="H1179" s="2"/>
      <c r="I1179" s="2"/>
      <c r="J1179" s="2"/>
      <c r="K1179" s="2"/>
      <c r="L1179" s="2"/>
      <c r="M1179" s="27"/>
      <c r="N1179" s="26"/>
      <c r="O1179" s="2"/>
      <c r="P1179" s="24"/>
    </row>
    <row r="1180" spans="1:16" ht="9.75" customHeight="1">
      <c r="A1180" s="18"/>
      <c r="B1180" s="18" t="s">
        <v>104</v>
      </c>
      <c r="C1180" s="18"/>
      <c r="D1180" s="26"/>
      <c r="E1180" s="2"/>
      <c r="F1180" s="2"/>
      <c r="G1180" s="2"/>
      <c r="H1180" s="2"/>
      <c r="I1180" s="2"/>
      <c r="J1180" s="2"/>
      <c r="K1180" s="2"/>
      <c r="L1180" s="2"/>
      <c r="M1180" s="27"/>
      <c r="N1180" s="26"/>
      <c r="O1180" s="2"/>
      <c r="P1180" s="24"/>
    </row>
    <row r="1181" spans="1:16" ht="9.75" customHeight="1">
      <c r="A1181" s="18"/>
      <c r="B1181" s="18" t="s">
        <v>104</v>
      </c>
      <c r="C1181" s="18"/>
      <c r="D1181" s="26"/>
      <c r="E1181" s="2"/>
      <c r="F1181" s="2"/>
      <c r="G1181" s="2"/>
      <c r="H1181" s="2"/>
      <c r="I1181" s="2"/>
      <c r="J1181" s="2"/>
      <c r="K1181" s="2"/>
      <c r="L1181" s="2"/>
      <c r="M1181" s="27"/>
      <c r="N1181" s="26"/>
      <c r="O1181" s="2"/>
      <c r="P1181" s="24"/>
    </row>
    <row r="1182" spans="1:16" ht="9.75" customHeight="1">
      <c r="A1182" s="18"/>
      <c r="B1182" s="18" t="s">
        <v>34</v>
      </c>
      <c r="C1182" s="18">
        <v>10</v>
      </c>
      <c r="D1182" s="115">
        <v>10</v>
      </c>
      <c r="E1182" s="116">
        <v>10</v>
      </c>
      <c r="F1182" s="116">
        <v>9</v>
      </c>
      <c r="G1182" s="116">
        <v>9</v>
      </c>
      <c r="H1182" s="116">
        <v>9</v>
      </c>
      <c r="I1182" s="2">
        <v>10</v>
      </c>
      <c r="J1182" s="2">
        <v>10</v>
      </c>
      <c r="K1182" s="2">
        <v>10</v>
      </c>
      <c r="L1182" s="2">
        <v>10</v>
      </c>
      <c r="M1182" s="27">
        <v>10</v>
      </c>
      <c r="N1182" s="26">
        <f>MIN(D1182:M1182)</f>
        <v>9</v>
      </c>
      <c r="O1182" s="2">
        <f>C1182-N1182</f>
        <v>1</v>
      </c>
      <c r="P1182" s="24">
        <f>O1182/C1182</f>
        <v>0.1</v>
      </c>
    </row>
    <row r="1183" spans="1:16" ht="9.75" customHeight="1">
      <c r="A1183" s="18"/>
      <c r="B1183" s="18" t="s">
        <v>35</v>
      </c>
      <c r="C1183" s="18"/>
      <c r="D1183" s="26"/>
      <c r="E1183" s="2"/>
      <c r="F1183" s="2"/>
      <c r="G1183" s="2"/>
      <c r="H1183" s="2"/>
      <c r="I1183" s="2"/>
      <c r="J1183" s="2"/>
      <c r="K1183" s="2"/>
      <c r="L1183" s="2"/>
      <c r="M1183" s="27"/>
      <c r="N1183" s="26"/>
      <c r="O1183" s="2"/>
      <c r="P1183" s="24"/>
    </row>
    <row r="1184" spans="1:16" ht="9.75" customHeight="1">
      <c r="A1184" s="18"/>
      <c r="B1184" s="18" t="s">
        <v>36</v>
      </c>
      <c r="C1184" s="18"/>
      <c r="D1184" s="26"/>
      <c r="E1184" s="2"/>
      <c r="F1184" s="2"/>
      <c r="G1184" s="2"/>
      <c r="H1184" s="2"/>
      <c r="I1184" s="2"/>
      <c r="J1184" s="2"/>
      <c r="K1184" s="2"/>
      <c r="L1184" s="2"/>
      <c r="M1184" s="27"/>
      <c r="N1184" s="26"/>
      <c r="O1184" s="2"/>
      <c r="P1184" s="24"/>
    </row>
    <row r="1185" spans="1:16" ht="9.75" customHeight="1">
      <c r="A1185" s="18"/>
      <c r="B1185" s="18" t="s">
        <v>37</v>
      </c>
      <c r="C1185" s="18"/>
      <c r="D1185" s="26"/>
      <c r="E1185" s="2"/>
      <c r="F1185" s="2"/>
      <c r="G1185" s="2"/>
      <c r="H1185" s="2"/>
      <c r="I1185" s="2"/>
      <c r="J1185" s="2"/>
      <c r="K1185" s="2"/>
      <c r="L1185" s="2"/>
      <c r="M1185" s="27"/>
      <c r="N1185" s="26"/>
      <c r="O1185" s="2"/>
      <c r="P1185" s="24"/>
    </row>
    <row r="1186" spans="1:16" ht="9.75" customHeight="1">
      <c r="A1186" s="32"/>
      <c r="B1186" s="33" t="s">
        <v>38</v>
      </c>
      <c r="C1186" s="33">
        <f t="shared" ref="C1186:M1186" si="226">SUM(C1170:C1185)</f>
        <v>238</v>
      </c>
      <c r="D1186" s="70">
        <f t="shared" si="226"/>
        <v>218</v>
      </c>
      <c r="E1186" s="71">
        <f t="shared" si="226"/>
        <v>215</v>
      </c>
      <c r="F1186" s="71">
        <f t="shared" si="226"/>
        <v>195</v>
      </c>
      <c r="G1186" s="71">
        <f t="shared" si="226"/>
        <v>193</v>
      </c>
      <c r="H1186" s="71">
        <f t="shared" si="226"/>
        <v>191</v>
      </c>
      <c r="I1186" s="71">
        <f t="shared" si="226"/>
        <v>184</v>
      </c>
      <c r="J1186" s="71">
        <f t="shared" si="226"/>
        <v>192</v>
      </c>
      <c r="K1186" s="71">
        <f t="shared" si="226"/>
        <v>198</v>
      </c>
      <c r="L1186" s="71">
        <f t="shared" si="226"/>
        <v>207</v>
      </c>
      <c r="M1186" s="93">
        <f t="shared" si="226"/>
        <v>211</v>
      </c>
      <c r="N1186" s="70">
        <f>MIN(D1186:M1186)</f>
        <v>184</v>
      </c>
      <c r="O1186" s="71">
        <f>C1186-N1186</f>
        <v>54</v>
      </c>
      <c r="P1186" s="40">
        <f>O1186/C1186</f>
        <v>0.22689075630252101</v>
      </c>
    </row>
    <row r="1187" spans="1:16" ht="9.75" customHeight="1">
      <c r="A1187" s="66" t="s">
        <v>228</v>
      </c>
      <c r="B1187" s="66" t="s">
        <v>23</v>
      </c>
      <c r="C1187" s="66"/>
      <c r="D1187" s="41"/>
      <c r="E1187" s="72"/>
      <c r="F1187" s="72"/>
      <c r="G1187" s="72"/>
      <c r="H1187" s="72"/>
      <c r="I1187" s="72"/>
      <c r="J1187" s="72"/>
      <c r="K1187" s="72"/>
      <c r="L1187" s="72"/>
      <c r="M1187" s="73"/>
      <c r="N1187" s="41"/>
      <c r="O1187" s="72"/>
      <c r="P1187" s="99"/>
    </row>
    <row r="1188" spans="1:16" ht="9.75" customHeight="1">
      <c r="A1188" s="18"/>
      <c r="B1188" s="18" t="s">
        <v>25</v>
      </c>
      <c r="C1188" s="18"/>
      <c r="D1188" s="26"/>
      <c r="E1188" s="2"/>
      <c r="F1188" s="2"/>
      <c r="G1188" s="2"/>
      <c r="H1188" s="2"/>
      <c r="I1188" s="2"/>
      <c r="J1188" s="2"/>
      <c r="K1188" s="2"/>
      <c r="L1188" s="2"/>
      <c r="M1188" s="27"/>
      <c r="N1188" s="26"/>
      <c r="O1188" s="2"/>
      <c r="P1188" s="24"/>
    </row>
    <row r="1189" spans="1:16" ht="9.75" customHeight="1">
      <c r="A1189" s="18"/>
      <c r="B1189" s="18" t="s">
        <v>44</v>
      </c>
      <c r="C1189" s="18">
        <v>398</v>
      </c>
      <c r="D1189" s="115">
        <v>397</v>
      </c>
      <c r="E1189" s="116">
        <v>397</v>
      </c>
      <c r="F1189" s="116">
        <v>396</v>
      </c>
      <c r="G1189" s="116">
        <v>396</v>
      </c>
      <c r="H1189" s="116">
        <v>396</v>
      </c>
      <c r="I1189" s="2">
        <v>395</v>
      </c>
      <c r="J1189" s="2">
        <v>395</v>
      </c>
      <c r="K1189" s="2">
        <v>396</v>
      </c>
      <c r="L1189" s="2">
        <v>396</v>
      </c>
      <c r="M1189" s="27">
        <v>396</v>
      </c>
      <c r="N1189" s="26">
        <f>MIN(D1189:M1189)</f>
        <v>395</v>
      </c>
      <c r="O1189" s="2">
        <f>C1189-N1189</f>
        <v>3</v>
      </c>
      <c r="P1189" s="24">
        <f>O1189/C1189</f>
        <v>7.537688442211055E-3</v>
      </c>
    </row>
    <row r="1190" spans="1:16" ht="9.75" customHeight="1">
      <c r="A1190" s="18"/>
      <c r="B1190" s="18" t="s">
        <v>99</v>
      </c>
      <c r="C1190" s="18"/>
      <c r="D1190" s="26"/>
      <c r="E1190" s="2"/>
      <c r="F1190" s="2"/>
      <c r="G1190" s="2"/>
      <c r="H1190" s="2"/>
      <c r="I1190" s="2"/>
      <c r="J1190" s="2"/>
      <c r="K1190" s="2"/>
      <c r="L1190" s="2"/>
      <c r="M1190" s="27"/>
      <c r="N1190" s="26"/>
      <c r="O1190" s="2"/>
      <c r="P1190" s="24"/>
    </row>
    <row r="1191" spans="1:16" ht="9.75" customHeight="1">
      <c r="A1191" s="18"/>
      <c r="B1191" s="18" t="s">
        <v>99</v>
      </c>
      <c r="C1191" s="18"/>
      <c r="D1191" s="26"/>
      <c r="E1191" s="2"/>
      <c r="F1191" s="2"/>
      <c r="G1191" s="2"/>
      <c r="H1191" s="2"/>
      <c r="I1191" s="2"/>
      <c r="J1191" s="2"/>
      <c r="K1191" s="2"/>
      <c r="L1191" s="2"/>
      <c r="M1191" s="27"/>
      <c r="N1191" s="26"/>
      <c r="O1191" s="2"/>
      <c r="P1191" s="24"/>
    </row>
    <row r="1192" spans="1:16" ht="9.75" customHeight="1">
      <c r="A1192" s="18"/>
      <c r="B1192" s="18" t="s">
        <v>32</v>
      </c>
      <c r="C1192" s="18"/>
      <c r="D1192" s="26"/>
      <c r="E1192" s="2"/>
      <c r="F1192" s="2"/>
      <c r="G1192" s="2"/>
      <c r="H1192" s="2"/>
      <c r="I1192" s="2"/>
      <c r="J1192" s="2"/>
      <c r="K1192" s="2"/>
      <c r="L1192" s="2"/>
      <c r="M1192" s="27"/>
      <c r="N1192" s="26"/>
      <c r="O1192" s="2"/>
      <c r="P1192" s="24"/>
    </row>
    <row r="1193" spans="1:16" ht="9.75" customHeight="1">
      <c r="A1193" s="18"/>
      <c r="B1193" s="18" t="s">
        <v>104</v>
      </c>
      <c r="C1193" s="18"/>
      <c r="D1193" s="26"/>
      <c r="E1193" s="2"/>
      <c r="F1193" s="2"/>
      <c r="G1193" s="2"/>
      <c r="H1193" s="2"/>
      <c r="I1193" s="2"/>
      <c r="J1193" s="2"/>
      <c r="K1193" s="2"/>
      <c r="L1193" s="2"/>
      <c r="M1193" s="27"/>
      <c r="N1193" s="26"/>
      <c r="O1193" s="2"/>
      <c r="P1193" s="24"/>
    </row>
    <row r="1194" spans="1:16" ht="9.75" customHeight="1">
      <c r="A1194" s="18"/>
      <c r="B1194" s="18" t="s">
        <v>104</v>
      </c>
      <c r="C1194" s="18"/>
      <c r="D1194" s="26"/>
      <c r="E1194" s="2"/>
      <c r="F1194" s="2"/>
      <c r="G1194" s="2"/>
      <c r="H1194" s="2"/>
      <c r="I1194" s="2"/>
      <c r="J1194" s="2"/>
      <c r="K1194" s="2"/>
      <c r="L1194" s="2"/>
      <c r="M1194" s="27"/>
      <c r="N1194" s="26"/>
      <c r="O1194" s="2"/>
      <c r="P1194" s="24"/>
    </row>
    <row r="1195" spans="1:16" ht="9.75" customHeight="1">
      <c r="A1195" s="18"/>
      <c r="B1195" s="18" t="s">
        <v>104</v>
      </c>
      <c r="C1195" s="18"/>
      <c r="D1195" s="26"/>
      <c r="E1195" s="2"/>
      <c r="F1195" s="2"/>
      <c r="G1195" s="2"/>
      <c r="H1195" s="2"/>
      <c r="I1195" s="2"/>
      <c r="J1195" s="2"/>
      <c r="K1195" s="2"/>
      <c r="L1195" s="2"/>
      <c r="M1195" s="27"/>
      <c r="N1195" s="26"/>
      <c r="O1195" s="2"/>
      <c r="P1195" s="24"/>
    </row>
    <row r="1196" spans="1:16" ht="9.75" customHeight="1">
      <c r="A1196" s="18"/>
      <c r="B1196" s="18" t="s">
        <v>104</v>
      </c>
      <c r="C1196" s="18"/>
      <c r="D1196" s="26"/>
      <c r="E1196" s="2"/>
      <c r="F1196" s="2"/>
      <c r="G1196" s="2"/>
      <c r="H1196" s="2"/>
      <c r="I1196" s="2"/>
      <c r="J1196" s="2"/>
      <c r="K1196" s="2"/>
      <c r="L1196" s="2"/>
      <c r="M1196" s="27"/>
      <c r="N1196" s="26"/>
      <c r="O1196" s="2"/>
      <c r="P1196" s="24"/>
    </row>
    <row r="1197" spans="1:16" ht="9.75" customHeight="1">
      <c r="A1197" s="18"/>
      <c r="B1197" s="18" t="s">
        <v>104</v>
      </c>
      <c r="C1197" s="18"/>
      <c r="D1197" s="26"/>
      <c r="E1197" s="2"/>
      <c r="F1197" s="2"/>
      <c r="G1197" s="2"/>
      <c r="H1197" s="2"/>
      <c r="I1197" s="2"/>
      <c r="J1197" s="2"/>
      <c r="K1197" s="2"/>
      <c r="L1197" s="2"/>
      <c r="M1197" s="27"/>
      <c r="N1197" s="26"/>
      <c r="O1197" s="2"/>
      <c r="P1197" s="24"/>
    </row>
    <row r="1198" spans="1:16" ht="9.75" customHeight="1">
      <c r="A1198" s="18"/>
      <c r="B1198" s="18" t="s">
        <v>104</v>
      </c>
      <c r="C1198" s="18"/>
      <c r="D1198" s="26"/>
      <c r="E1198" s="2"/>
      <c r="F1198" s="2"/>
      <c r="G1198" s="2"/>
      <c r="H1198" s="2"/>
      <c r="I1198" s="2"/>
      <c r="J1198" s="2"/>
      <c r="K1198" s="2"/>
      <c r="L1198" s="2"/>
      <c r="M1198" s="27"/>
      <c r="N1198" s="26"/>
      <c r="O1198" s="2"/>
      <c r="P1198" s="24"/>
    </row>
    <row r="1199" spans="1:16" ht="9.75" customHeight="1">
      <c r="A1199" s="18"/>
      <c r="B1199" s="18" t="s">
        <v>34</v>
      </c>
      <c r="C1199" s="18"/>
      <c r="D1199" s="26"/>
      <c r="E1199" s="2"/>
      <c r="F1199" s="2"/>
      <c r="G1199" s="2"/>
      <c r="H1199" s="2"/>
      <c r="I1199" s="2"/>
      <c r="J1199" s="2"/>
      <c r="K1199" s="2"/>
      <c r="L1199" s="2"/>
      <c r="M1199" s="27"/>
      <c r="N1199" s="26"/>
      <c r="O1199" s="2"/>
      <c r="P1199" s="24"/>
    </row>
    <row r="1200" spans="1:16" ht="9.75" customHeight="1">
      <c r="A1200" s="18"/>
      <c r="B1200" s="18" t="s">
        <v>35</v>
      </c>
      <c r="C1200" s="18"/>
      <c r="D1200" s="26"/>
      <c r="E1200" s="2"/>
      <c r="F1200" s="2"/>
      <c r="G1200" s="2"/>
      <c r="H1200" s="2"/>
      <c r="I1200" s="2"/>
      <c r="J1200" s="2"/>
      <c r="K1200" s="2"/>
      <c r="L1200" s="2"/>
      <c r="M1200" s="27"/>
      <c r="N1200" s="26"/>
      <c r="O1200" s="2"/>
      <c r="P1200" s="24"/>
    </row>
    <row r="1201" spans="1:16" ht="9.75" customHeight="1">
      <c r="A1201" s="18"/>
      <c r="B1201" s="18" t="s">
        <v>36</v>
      </c>
      <c r="C1201" s="18"/>
      <c r="D1201" s="26"/>
      <c r="E1201" s="2"/>
      <c r="F1201" s="2"/>
      <c r="G1201" s="2"/>
      <c r="H1201" s="2"/>
      <c r="I1201" s="2"/>
      <c r="J1201" s="2"/>
      <c r="K1201" s="2"/>
      <c r="L1201" s="2"/>
      <c r="M1201" s="27"/>
      <c r="N1201" s="26"/>
      <c r="O1201" s="2"/>
      <c r="P1201" s="24"/>
    </row>
    <row r="1202" spans="1:16" ht="9.75" customHeight="1">
      <c r="A1202" s="18"/>
      <c r="B1202" s="18" t="s">
        <v>37</v>
      </c>
      <c r="C1202" s="18"/>
      <c r="D1202" s="26"/>
      <c r="E1202" s="2"/>
      <c r="F1202" s="2"/>
      <c r="G1202" s="2"/>
      <c r="H1202" s="2"/>
      <c r="I1202" s="2"/>
      <c r="J1202" s="2"/>
      <c r="K1202" s="2"/>
      <c r="L1202" s="2"/>
      <c r="M1202" s="27"/>
      <c r="N1202" s="26"/>
      <c r="O1202" s="2"/>
      <c r="P1202" s="24"/>
    </row>
    <row r="1203" spans="1:16" ht="9.75" customHeight="1">
      <c r="A1203" s="32"/>
      <c r="B1203" s="33" t="s">
        <v>38</v>
      </c>
      <c r="C1203" s="33">
        <f t="shared" ref="C1203:M1203" si="227">SUM(C1187:C1202)</f>
        <v>398</v>
      </c>
      <c r="D1203" s="70">
        <f t="shared" si="227"/>
        <v>397</v>
      </c>
      <c r="E1203" s="71">
        <f t="shared" si="227"/>
        <v>397</v>
      </c>
      <c r="F1203" s="71">
        <f t="shared" si="227"/>
        <v>396</v>
      </c>
      <c r="G1203" s="71">
        <f t="shared" si="227"/>
        <v>396</v>
      </c>
      <c r="H1203" s="71">
        <f t="shared" si="227"/>
        <v>396</v>
      </c>
      <c r="I1203" s="71">
        <f t="shared" si="227"/>
        <v>395</v>
      </c>
      <c r="J1203" s="71">
        <f t="shared" si="227"/>
        <v>395</v>
      </c>
      <c r="K1203" s="71">
        <f t="shared" si="227"/>
        <v>396</v>
      </c>
      <c r="L1203" s="71">
        <f t="shared" si="227"/>
        <v>396</v>
      </c>
      <c r="M1203" s="93">
        <f t="shared" si="227"/>
        <v>396</v>
      </c>
      <c r="N1203" s="70">
        <f>MIN(D1203:M1203)</f>
        <v>395</v>
      </c>
      <c r="O1203" s="71">
        <f>C1203-N1203</f>
        <v>3</v>
      </c>
      <c r="P1203" s="40">
        <f>O1203/C1203</f>
        <v>7.537688442211055E-3</v>
      </c>
    </row>
    <row r="1204" spans="1:16" ht="9.75" customHeight="1">
      <c r="A1204" s="66" t="s">
        <v>229</v>
      </c>
      <c r="B1204" s="66" t="s">
        <v>23</v>
      </c>
      <c r="C1204" s="66"/>
      <c r="D1204" s="41"/>
      <c r="E1204" s="72"/>
      <c r="F1204" s="72"/>
      <c r="G1204" s="72"/>
      <c r="H1204" s="72"/>
      <c r="I1204" s="72"/>
      <c r="J1204" s="72"/>
      <c r="K1204" s="72"/>
      <c r="L1204" s="72"/>
      <c r="M1204" s="73"/>
      <c r="N1204" s="41"/>
      <c r="O1204" s="72"/>
      <c r="P1204" s="99"/>
    </row>
    <row r="1205" spans="1:16" ht="9.75" customHeight="1">
      <c r="A1205" s="18"/>
      <c r="B1205" s="18" t="s">
        <v>25</v>
      </c>
      <c r="C1205" s="18">
        <v>18</v>
      </c>
      <c r="D1205" s="115">
        <v>17</v>
      </c>
      <c r="E1205" s="116">
        <v>16</v>
      </c>
      <c r="F1205" s="116">
        <v>15</v>
      </c>
      <c r="G1205" s="116">
        <v>16</v>
      </c>
      <c r="H1205" s="116">
        <v>15</v>
      </c>
      <c r="I1205" s="2">
        <v>16</v>
      </c>
      <c r="J1205" s="2">
        <v>15</v>
      </c>
      <c r="K1205" s="2">
        <v>15</v>
      </c>
      <c r="L1205" s="2">
        <v>15</v>
      </c>
      <c r="M1205" s="27">
        <v>15</v>
      </c>
      <c r="N1205" s="26">
        <f>MIN(D1205:M1205)</f>
        <v>15</v>
      </c>
      <c r="O1205" s="2">
        <f>C1205-N1205</f>
        <v>3</v>
      </c>
      <c r="P1205" s="24">
        <f>O1205/C1205</f>
        <v>0.16666666666666666</v>
      </c>
    </row>
    <row r="1206" spans="1:16" ht="9.75" customHeight="1">
      <c r="A1206" s="18"/>
      <c r="B1206" s="18" t="s">
        <v>27</v>
      </c>
      <c r="C1206" s="18"/>
      <c r="D1206" s="26"/>
      <c r="E1206" s="2"/>
      <c r="F1206" s="2"/>
      <c r="G1206" s="2"/>
      <c r="H1206" s="2"/>
      <c r="I1206" s="2"/>
      <c r="J1206" s="2"/>
      <c r="K1206" s="2"/>
      <c r="L1206" s="2"/>
      <c r="M1206" s="27"/>
      <c r="N1206" s="26"/>
      <c r="O1206" s="2"/>
      <c r="P1206" s="24"/>
    </row>
    <row r="1207" spans="1:16" ht="9.75" customHeight="1">
      <c r="A1207" s="18"/>
      <c r="B1207" s="18" t="s">
        <v>99</v>
      </c>
      <c r="C1207" s="18"/>
      <c r="D1207" s="26"/>
      <c r="E1207" s="2"/>
      <c r="F1207" s="2"/>
      <c r="G1207" s="2"/>
      <c r="H1207" s="2"/>
      <c r="I1207" s="2"/>
      <c r="J1207" s="2"/>
      <c r="K1207" s="2"/>
      <c r="L1207" s="2"/>
      <c r="M1207" s="27"/>
      <c r="N1207" s="26"/>
      <c r="O1207" s="2"/>
      <c r="P1207" s="24"/>
    </row>
    <row r="1208" spans="1:16" ht="9.75" customHeight="1">
      <c r="A1208" s="18"/>
      <c r="B1208" s="18" t="s">
        <v>99</v>
      </c>
      <c r="C1208" s="18"/>
      <c r="D1208" s="26"/>
      <c r="E1208" s="2"/>
      <c r="F1208" s="2"/>
      <c r="G1208" s="2"/>
      <c r="H1208" s="2"/>
      <c r="I1208" s="2"/>
      <c r="J1208" s="2"/>
      <c r="K1208" s="2"/>
      <c r="L1208" s="2"/>
      <c r="M1208" s="27"/>
      <c r="N1208" s="26"/>
      <c r="O1208" s="2"/>
      <c r="P1208" s="24"/>
    </row>
    <row r="1209" spans="1:16" ht="9.75" customHeight="1">
      <c r="A1209" s="18"/>
      <c r="B1209" s="18" t="s">
        <v>32</v>
      </c>
      <c r="C1209" s="18">
        <v>7</v>
      </c>
      <c r="D1209" s="115">
        <v>7</v>
      </c>
      <c r="E1209" s="116">
        <v>7</v>
      </c>
      <c r="F1209" s="116">
        <v>7</v>
      </c>
      <c r="G1209" s="116">
        <v>7</v>
      </c>
      <c r="H1209" s="116">
        <v>7</v>
      </c>
      <c r="I1209" s="2">
        <v>7</v>
      </c>
      <c r="J1209" s="2">
        <v>7</v>
      </c>
      <c r="K1209" s="2">
        <v>7</v>
      </c>
      <c r="L1209" s="2">
        <v>7</v>
      </c>
      <c r="M1209" s="27">
        <v>7</v>
      </c>
      <c r="N1209" s="26">
        <f>MIN(D1209:M1209)</f>
        <v>7</v>
      </c>
      <c r="O1209" s="2">
        <f>C1209-N1209</f>
        <v>0</v>
      </c>
      <c r="P1209" s="24">
        <f>O1209/C1209</f>
        <v>0</v>
      </c>
    </row>
    <row r="1210" spans="1:16" ht="9.75" customHeight="1">
      <c r="A1210" s="18"/>
      <c r="B1210" s="18" t="s">
        <v>104</v>
      </c>
      <c r="C1210" s="18"/>
      <c r="D1210" s="26"/>
      <c r="E1210" s="2"/>
      <c r="F1210" s="2"/>
      <c r="G1210" s="2"/>
      <c r="H1210" s="2"/>
      <c r="I1210" s="2"/>
      <c r="J1210" s="2"/>
      <c r="K1210" s="2"/>
      <c r="L1210" s="2"/>
      <c r="M1210" s="27"/>
      <c r="N1210" s="26"/>
      <c r="O1210" s="2"/>
      <c r="P1210" s="24"/>
    </row>
    <row r="1211" spans="1:16" ht="9.75" customHeight="1">
      <c r="A1211" s="18"/>
      <c r="B1211" s="18" t="s">
        <v>104</v>
      </c>
      <c r="C1211" s="18"/>
      <c r="D1211" s="26"/>
      <c r="E1211" s="2"/>
      <c r="F1211" s="2"/>
      <c r="G1211" s="2"/>
      <c r="H1211" s="2"/>
      <c r="I1211" s="2"/>
      <c r="J1211" s="2"/>
      <c r="K1211" s="2"/>
      <c r="L1211" s="2"/>
      <c r="M1211" s="27"/>
      <c r="N1211" s="26"/>
      <c r="O1211" s="2"/>
      <c r="P1211" s="24"/>
    </row>
    <row r="1212" spans="1:16" ht="9.75" customHeight="1">
      <c r="A1212" s="18"/>
      <c r="B1212" s="18" t="s">
        <v>104</v>
      </c>
      <c r="C1212" s="18"/>
      <c r="D1212" s="26"/>
      <c r="E1212" s="2"/>
      <c r="F1212" s="2"/>
      <c r="G1212" s="2"/>
      <c r="H1212" s="2"/>
      <c r="I1212" s="2"/>
      <c r="J1212" s="2"/>
      <c r="K1212" s="2"/>
      <c r="L1212" s="2"/>
      <c r="M1212" s="27"/>
      <c r="N1212" s="26"/>
      <c r="O1212" s="2"/>
      <c r="P1212" s="24"/>
    </row>
    <row r="1213" spans="1:16" ht="9.75" customHeight="1">
      <c r="A1213" s="18"/>
      <c r="B1213" s="18" t="s">
        <v>104</v>
      </c>
      <c r="C1213" s="18"/>
      <c r="D1213" s="26"/>
      <c r="E1213" s="2"/>
      <c r="F1213" s="2"/>
      <c r="G1213" s="2"/>
      <c r="H1213" s="2"/>
      <c r="I1213" s="2"/>
      <c r="J1213" s="2"/>
      <c r="K1213" s="2"/>
      <c r="L1213" s="2"/>
      <c r="M1213" s="27"/>
      <c r="N1213" s="26"/>
      <c r="O1213" s="2"/>
      <c r="P1213" s="24"/>
    </row>
    <row r="1214" spans="1:16" ht="9.75" customHeight="1">
      <c r="A1214" s="18"/>
      <c r="B1214" s="18" t="s">
        <v>104</v>
      </c>
      <c r="C1214" s="18"/>
      <c r="D1214" s="26"/>
      <c r="E1214" s="2"/>
      <c r="F1214" s="2"/>
      <c r="G1214" s="2"/>
      <c r="H1214" s="2"/>
      <c r="I1214" s="2"/>
      <c r="J1214" s="2"/>
      <c r="K1214" s="2"/>
      <c r="L1214" s="2"/>
      <c r="M1214" s="27"/>
      <c r="N1214" s="26"/>
      <c r="O1214" s="2"/>
      <c r="P1214" s="24"/>
    </row>
    <row r="1215" spans="1:16" ht="9.75" customHeight="1">
      <c r="A1215" s="18"/>
      <c r="B1215" s="18" t="s">
        <v>104</v>
      </c>
      <c r="C1215" s="18"/>
      <c r="D1215" s="26"/>
      <c r="E1215" s="2"/>
      <c r="F1215" s="2"/>
      <c r="G1215" s="2"/>
      <c r="H1215" s="2"/>
      <c r="I1215" s="2"/>
      <c r="J1215" s="2"/>
      <c r="K1215" s="2"/>
      <c r="L1215" s="2"/>
      <c r="M1215" s="27"/>
      <c r="N1215" s="26"/>
      <c r="O1215" s="2"/>
      <c r="P1215" s="24"/>
    </row>
    <row r="1216" spans="1:16" ht="9.75" customHeight="1">
      <c r="A1216" s="18"/>
      <c r="B1216" s="18" t="s">
        <v>34</v>
      </c>
      <c r="C1216" s="18">
        <v>3</v>
      </c>
      <c r="D1216" s="115">
        <v>3</v>
      </c>
      <c r="E1216" s="116">
        <v>3</v>
      </c>
      <c r="F1216" s="116">
        <v>3</v>
      </c>
      <c r="G1216" s="116">
        <v>3</v>
      </c>
      <c r="H1216" s="116">
        <v>3</v>
      </c>
      <c r="I1216" s="2">
        <v>3</v>
      </c>
      <c r="J1216" s="2">
        <v>3</v>
      </c>
      <c r="K1216" s="2">
        <v>3</v>
      </c>
      <c r="L1216" s="2">
        <v>3</v>
      </c>
      <c r="M1216" s="27">
        <v>3</v>
      </c>
      <c r="N1216" s="26">
        <f>MIN(D1216:M1216)</f>
        <v>3</v>
      </c>
      <c r="O1216" s="2">
        <f>C1216-N1216</f>
        <v>0</v>
      </c>
      <c r="P1216" s="24">
        <f>O1216/C1216</f>
        <v>0</v>
      </c>
    </row>
    <row r="1217" spans="1:16" ht="9.75" customHeight="1">
      <c r="A1217" s="18"/>
      <c r="B1217" s="18" t="s">
        <v>35</v>
      </c>
      <c r="C1217" s="18"/>
      <c r="D1217" s="26"/>
      <c r="E1217" s="2"/>
      <c r="F1217" s="2"/>
      <c r="G1217" s="2"/>
      <c r="H1217" s="2"/>
      <c r="I1217" s="2"/>
      <c r="J1217" s="2"/>
      <c r="K1217" s="2"/>
      <c r="L1217" s="2"/>
      <c r="M1217" s="27"/>
      <c r="N1217" s="26"/>
      <c r="O1217" s="2"/>
      <c r="P1217" s="24"/>
    </row>
    <row r="1218" spans="1:16" ht="9.75" customHeight="1">
      <c r="A1218" s="18"/>
      <c r="B1218" s="18" t="s">
        <v>36</v>
      </c>
      <c r="C1218" s="18">
        <v>1</v>
      </c>
      <c r="D1218" s="115">
        <v>1</v>
      </c>
      <c r="E1218" s="116">
        <v>1</v>
      </c>
      <c r="F1218" s="116">
        <v>1</v>
      </c>
      <c r="G1218" s="116">
        <v>1</v>
      </c>
      <c r="H1218" s="116">
        <v>1</v>
      </c>
      <c r="I1218" s="2">
        <v>1</v>
      </c>
      <c r="J1218" s="2">
        <v>1</v>
      </c>
      <c r="K1218" s="2">
        <v>1</v>
      </c>
      <c r="L1218" s="2">
        <v>1</v>
      </c>
      <c r="M1218" s="27">
        <v>1</v>
      </c>
      <c r="N1218" s="26">
        <f t="shared" ref="N1218:N1221" si="228">MIN(D1218:M1218)</f>
        <v>1</v>
      </c>
      <c r="O1218" s="2">
        <f t="shared" ref="O1218:O1221" si="229">C1218-N1218</f>
        <v>0</v>
      </c>
      <c r="P1218" s="24">
        <f t="shared" ref="P1218:P1221" si="230">O1218/C1218</f>
        <v>0</v>
      </c>
    </row>
    <row r="1219" spans="1:16" ht="9.75" customHeight="1">
      <c r="A1219" s="18"/>
      <c r="B1219" s="18" t="s">
        <v>230</v>
      </c>
      <c r="C1219" s="18">
        <v>5</v>
      </c>
      <c r="D1219" s="115">
        <v>3</v>
      </c>
      <c r="E1219" s="116">
        <v>3</v>
      </c>
      <c r="F1219" s="116">
        <v>4</v>
      </c>
      <c r="G1219" s="116">
        <v>4</v>
      </c>
      <c r="H1219" s="116">
        <v>4</v>
      </c>
      <c r="I1219" s="2">
        <v>4</v>
      </c>
      <c r="J1219" s="2">
        <v>4</v>
      </c>
      <c r="K1219" s="2">
        <v>4</v>
      </c>
      <c r="L1219" s="2">
        <v>4</v>
      </c>
      <c r="M1219" s="27">
        <v>4</v>
      </c>
      <c r="N1219" s="26">
        <f t="shared" si="228"/>
        <v>3</v>
      </c>
      <c r="O1219" s="2">
        <f t="shared" si="229"/>
        <v>2</v>
      </c>
      <c r="P1219" s="24">
        <f t="shared" si="230"/>
        <v>0.4</v>
      </c>
    </row>
    <row r="1220" spans="1:16" ht="9.75" customHeight="1">
      <c r="A1220" s="18"/>
      <c r="B1220" s="18" t="s">
        <v>37</v>
      </c>
      <c r="C1220" s="18">
        <v>1</v>
      </c>
      <c r="D1220" s="115">
        <v>1</v>
      </c>
      <c r="E1220" s="116">
        <v>1</v>
      </c>
      <c r="F1220" s="116">
        <v>1</v>
      </c>
      <c r="G1220" s="116">
        <v>1</v>
      </c>
      <c r="H1220" s="116">
        <v>1</v>
      </c>
      <c r="I1220" s="2">
        <v>1</v>
      </c>
      <c r="J1220" s="2">
        <v>1</v>
      </c>
      <c r="K1220" s="2">
        <v>1</v>
      </c>
      <c r="L1220" s="2">
        <v>1</v>
      </c>
      <c r="M1220" s="27">
        <v>1</v>
      </c>
      <c r="N1220" s="26">
        <f t="shared" si="228"/>
        <v>1</v>
      </c>
      <c r="O1220" s="2">
        <f t="shared" si="229"/>
        <v>0</v>
      </c>
      <c r="P1220" s="24">
        <f t="shared" si="230"/>
        <v>0</v>
      </c>
    </row>
    <row r="1221" spans="1:16" ht="9.75" customHeight="1">
      <c r="A1221" s="32"/>
      <c r="B1221" s="33" t="s">
        <v>38</v>
      </c>
      <c r="C1221" s="33">
        <f>SUM(C1204:C1219)</f>
        <v>34</v>
      </c>
      <c r="D1221" s="70">
        <f t="shared" ref="D1221:M1221" si="231">SUM(D1204:D1220)</f>
        <v>32</v>
      </c>
      <c r="E1221" s="71">
        <f t="shared" si="231"/>
        <v>31</v>
      </c>
      <c r="F1221" s="71">
        <f t="shared" si="231"/>
        <v>31</v>
      </c>
      <c r="G1221" s="71">
        <f t="shared" si="231"/>
        <v>32</v>
      </c>
      <c r="H1221" s="71">
        <f t="shared" si="231"/>
        <v>31</v>
      </c>
      <c r="I1221" s="71">
        <f t="shared" si="231"/>
        <v>32</v>
      </c>
      <c r="J1221" s="71">
        <f t="shared" si="231"/>
        <v>31</v>
      </c>
      <c r="K1221" s="71">
        <f t="shared" si="231"/>
        <v>31</v>
      </c>
      <c r="L1221" s="71">
        <f t="shared" si="231"/>
        <v>31</v>
      </c>
      <c r="M1221" s="93">
        <f t="shared" si="231"/>
        <v>31</v>
      </c>
      <c r="N1221" s="70">
        <f t="shared" si="228"/>
        <v>31</v>
      </c>
      <c r="O1221" s="71">
        <f t="shared" si="229"/>
        <v>3</v>
      </c>
      <c r="P1221" s="40">
        <f t="shared" si="230"/>
        <v>8.8235294117647065E-2</v>
      </c>
    </row>
    <row r="1222" spans="1:16" ht="9.75" customHeight="1">
      <c r="A1222" s="66" t="s">
        <v>231</v>
      </c>
      <c r="B1222" s="160" t="s">
        <v>23</v>
      </c>
      <c r="C1222" s="66"/>
      <c r="D1222" s="41"/>
      <c r="E1222" s="72"/>
      <c r="F1222" s="72"/>
      <c r="G1222" s="72"/>
      <c r="H1222" s="72"/>
      <c r="I1222" s="72"/>
      <c r="J1222" s="72"/>
      <c r="K1222" s="72"/>
      <c r="L1222" s="72"/>
      <c r="M1222" s="73"/>
      <c r="N1222" s="41"/>
      <c r="O1222" s="72"/>
      <c r="P1222" s="99"/>
    </row>
    <row r="1223" spans="1:16" ht="9.75" customHeight="1">
      <c r="A1223" s="18"/>
      <c r="B1223" s="18" t="s">
        <v>25</v>
      </c>
      <c r="C1223" s="18">
        <v>80</v>
      </c>
      <c r="D1223" s="115">
        <v>77</v>
      </c>
      <c r="E1223" s="116">
        <v>76</v>
      </c>
      <c r="F1223" s="116">
        <v>77</v>
      </c>
      <c r="G1223" s="116">
        <v>76</v>
      </c>
      <c r="H1223" s="116">
        <v>77</v>
      </c>
      <c r="I1223" s="2">
        <v>77</v>
      </c>
      <c r="J1223" s="2">
        <v>77</v>
      </c>
      <c r="K1223" s="2">
        <v>77</v>
      </c>
      <c r="L1223" s="2">
        <v>77</v>
      </c>
      <c r="M1223" s="27">
        <v>78</v>
      </c>
      <c r="N1223" s="26">
        <f>MIN(D1223:M1223)</f>
        <v>76</v>
      </c>
      <c r="O1223" s="2">
        <f>C1223-N1223</f>
        <v>4</v>
      </c>
      <c r="P1223" s="24">
        <f>O1223/C1223</f>
        <v>0.05</v>
      </c>
    </row>
    <row r="1224" spans="1:16" ht="9.75" customHeight="1">
      <c r="A1224" s="18"/>
      <c r="B1224" s="18" t="s">
        <v>27</v>
      </c>
      <c r="C1224" s="18"/>
      <c r="D1224" s="26"/>
      <c r="E1224" s="2"/>
      <c r="F1224" s="2"/>
      <c r="G1224" s="2"/>
      <c r="H1224" s="2"/>
      <c r="I1224" s="2"/>
      <c r="J1224" s="2"/>
      <c r="K1224" s="2"/>
      <c r="L1224" s="2"/>
      <c r="M1224" s="27"/>
      <c r="N1224" s="26"/>
      <c r="O1224" s="2"/>
      <c r="P1224" s="24"/>
    </row>
    <row r="1225" spans="1:16" ht="9.75" customHeight="1">
      <c r="A1225" s="18"/>
      <c r="B1225" s="18" t="s">
        <v>99</v>
      </c>
      <c r="C1225" s="18"/>
      <c r="D1225" s="26"/>
      <c r="E1225" s="2"/>
      <c r="F1225" s="2"/>
      <c r="G1225" s="2"/>
      <c r="H1225" s="2"/>
      <c r="I1225" s="2"/>
      <c r="J1225" s="2"/>
      <c r="K1225" s="2"/>
      <c r="L1225" s="2"/>
      <c r="M1225" s="27"/>
      <c r="N1225" s="26"/>
      <c r="O1225" s="2"/>
      <c r="P1225" s="24"/>
    </row>
    <row r="1226" spans="1:16" ht="9.75" customHeight="1">
      <c r="A1226" s="18"/>
      <c r="B1226" s="18" t="s">
        <v>99</v>
      </c>
      <c r="C1226" s="18"/>
      <c r="D1226" s="26"/>
      <c r="E1226" s="2"/>
      <c r="F1226" s="2"/>
      <c r="G1226" s="2"/>
      <c r="H1226" s="2"/>
      <c r="I1226" s="2"/>
      <c r="J1226" s="2"/>
      <c r="K1226" s="2"/>
      <c r="L1226" s="2"/>
      <c r="M1226" s="27"/>
      <c r="N1226" s="26"/>
      <c r="O1226" s="2"/>
      <c r="P1226" s="24"/>
    </row>
    <row r="1227" spans="1:16" ht="9.75" customHeight="1">
      <c r="A1227" s="18"/>
      <c r="B1227" s="18" t="s">
        <v>32</v>
      </c>
      <c r="C1227" s="18"/>
      <c r="D1227" s="26"/>
      <c r="E1227" s="2"/>
      <c r="F1227" s="2"/>
      <c r="G1227" s="2"/>
      <c r="H1227" s="2"/>
      <c r="I1227" s="2"/>
      <c r="J1227" s="2"/>
      <c r="K1227" s="2"/>
      <c r="L1227" s="2"/>
      <c r="M1227" s="27"/>
      <c r="N1227" s="26"/>
      <c r="O1227" s="2"/>
      <c r="P1227" s="24"/>
    </row>
    <row r="1228" spans="1:16" ht="9.75" customHeight="1">
      <c r="A1228" s="18"/>
      <c r="B1228" s="18" t="s">
        <v>232</v>
      </c>
      <c r="C1228" s="18">
        <v>1</v>
      </c>
      <c r="D1228" s="115">
        <v>1</v>
      </c>
      <c r="E1228" s="116">
        <v>1</v>
      </c>
      <c r="F1228" s="116">
        <v>1</v>
      </c>
      <c r="G1228" s="116">
        <v>1</v>
      </c>
      <c r="H1228" s="116">
        <v>1</v>
      </c>
      <c r="I1228" s="2">
        <v>1</v>
      </c>
      <c r="J1228" s="2">
        <v>1</v>
      </c>
      <c r="K1228" s="2">
        <v>1</v>
      </c>
      <c r="L1228" s="2">
        <v>1</v>
      </c>
      <c r="M1228" s="27">
        <v>1</v>
      </c>
      <c r="N1228" s="26">
        <f>MIN(D1228:M1228)</f>
        <v>1</v>
      </c>
      <c r="O1228" s="2">
        <f>C1228-N1228</f>
        <v>0</v>
      </c>
      <c r="P1228" s="24">
        <f>O1228/C1228</f>
        <v>0</v>
      </c>
    </row>
    <row r="1229" spans="1:16" ht="9.75" customHeight="1">
      <c r="A1229" s="18"/>
      <c r="B1229" s="18" t="s">
        <v>104</v>
      </c>
      <c r="C1229" s="18"/>
      <c r="D1229" s="26"/>
      <c r="E1229" s="2"/>
      <c r="F1229" s="2"/>
      <c r="G1229" s="2"/>
      <c r="H1229" s="2"/>
      <c r="I1229" s="2"/>
      <c r="J1229" s="2"/>
      <c r="K1229" s="2"/>
      <c r="L1229" s="2"/>
      <c r="M1229" s="27"/>
      <c r="N1229" s="26"/>
      <c r="O1229" s="2"/>
      <c r="P1229" s="24"/>
    </row>
    <row r="1230" spans="1:16" ht="9.75" customHeight="1">
      <c r="A1230" s="18"/>
      <c r="B1230" s="18" t="s">
        <v>104</v>
      </c>
      <c r="C1230" s="18"/>
      <c r="D1230" s="26"/>
      <c r="E1230" s="2"/>
      <c r="F1230" s="2"/>
      <c r="G1230" s="2"/>
      <c r="H1230" s="2"/>
      <c r="I1230" s="2"/>
      <c r="J1230" s="2"/>
      <c r="K1230" s="2"/>
      <c r="L1230" s="2"/>
      <c r="M1230" s="27"/>
      <c r="N1230" s="26"/>
      <c r="O1230" s="2"/>
      <c r="P1230" s="24"/>
    </row>
    <row r="1231" spans="1:16" ht="9.75" customHeight="1">
      <c r="A1231" s="18"/>
      <c r="B1231" s="18" t="s">
        <v>104</v>
      </c>
      <c r="C1231" s="18"/>
      <c r="D1231" s="26"/>
      <c r="E1231" s="2"/>
      <c r="F1231" s="2"/>
      <c r="G1231" s="2"/>
      <c r="H1231" s="2"/>
      <c r="I1231" s="2"/>
      <c r="J1231" s="2"/>
      <c r="K1231" s="2"/>
      <c r="L1231" s="2"/>
      <c r="M1231" s="27"/>
      <c r="N1231" s="26"/>
      <c r="O1231" s="2"/>
      <c r="P1231" s="24"/>
    </row>
    <row r="1232" spans="1:16" ht="9.75" customHeight="1">
      <c r="A1232" s="18"/>
      <c r="B1232" s="18" t="s">
        <v>104</v>
      </c>
      <c r="C1232" s="18"/>
      <c r="D1232" s="26"/>
      <c r="E1232" s="2"/>
      <c r="F1232" s="2"/>
      <c r="G1232" s="2"/>
      <c r="H1232" s="2"/>
      <c r="I1232" s="2"/>
      <c r="J1232" s="2"/>
      <c r="K1232" s="2"/>
      <c r="L1232" s="2"/>
      <c r="M1232" s="27"/>
      <c r="N1232" s="26"/>
      <c r="O1232" s="2"/>
      <c r="P1232" s="24"/>
    </row>
    <row r="1233" spans="1:16" ht="9.75" customHeight="1">
      <c r="A1233" s="18"/>
      <c r="B1233" s="18" t="s">
        <v>104</v>
      </c>
      <c r="C1233" s="18"/>
      <c r="D1233" s="26"/>
      <c r="E1233" s="2"/>
      <c r="F1233" s="2"/>
      <c r="G1233" s="2"/>
      <c r="H1233" s="2"/>
      <c r="I1233" s="2"/>
      <c r="J1233" s="2"/>
      <c r="K1233" s="2"/>
      <c r="L1233" s="2"/>
      <c r="M1233" s="27"/>
      <c r="N1233" s="26"/>
      <c r="O1233" s="2"/>
      <c r="P1233" s="24"/>
    </row>
    <row r="1234" spans="1:16" ht="9.75" customHeight="1">
      <c r="A1234" s="18"/>
      <c r="B1234" s="18" t="s">
        <v>34</v>
      </c>
      <c r="C1234" s="18"/>
      <c r="D1234" s="26"/>
      <c r="E1234" s="2"/>
      <c r="F1234" s="2"/>
      <c r="G1234" s="2"/>
      <c r="H1234" s="2"/>
      <c r="I1234" s="2"/>
      <c r="J1234" s="2"/>
      <c r="K1234" s="2"/>
      <c r="L1234" s="2"/>
      <c r="M1234" s="27"/>
      <c r="N1234" s="26"/>
      <c r="O1234" s="2"/>
      <c r="P1234" s="24"/>
    </row>
    <row r="1235" spans="1:16" ht="9.75" customHeight="1">
      <c r="A1235" s="18"/>
      <c r="B1235" s="18" t="s">
        <v>35</v>
      </c>
      <c r="C1235" s="18"/>
      <c r="D1235" s="26"/>
      <c r="E1235" s="2"/>
      <c r="F1235" s="2"/>
      <c r="G1235" s="2"/>
      <c r="H1235" s="2"/>
      <c r="I1235" s="2"/>
      <c r="J1235" s="2"/>
      <c r="K1235" s="2"/>
      <c r="L1235" s="2"/>
      <c r="M1235" s="27"/>
      <c r="N1235" s="26"/>
      <c r="O1235" s="2"/>
      <c r="P1235" s="24"/>
    </row>
    <row r="1236" spans="1:16" ht="9.75" customHeight="1">
      <c r="A1236" s="18"/>
      <c r="B1236" s="18" t="s">
        <v>36</v>
      </c>
      <c r="C1236" s="18"/>
      <c r="D1236" s="26"/>
      <c r="E1236" s="2"/>
      <c r="F1236" s="2"/>
      <c r="G1236" s="2"/>
      <c r="H1236" s="2"/>
      <c r="I1236" s="2"/>
      <c r="J1236" s="2"/>
      <c r="K1236" s="2"/>
      <c r="L1236" s="2"/>
      <c r="M1236" s="27"/>
      <c r="N1236" s="26"/>
      <c r="O1236" s="2"/>
      <c r="P1236" s="24"/>
    </row>
    <row r="1237" spans="1:16" ht="9.75" customHeight="1">
      <c r="A1237" s="18"/>
      <c r="B1237" s="18" t="s">
        <v>37</v>
      </c>
      <c r="C1237" s="18"/>
      <c r="D1237" s="26"/>
      <c r="E1237" s="2"/>
      <c r="F1237" s="2"/>
      <c r="G1237" s="2"/>
      <c r="H1237" s="2"/>
      <c r="I1237" s="2"/>
      <c r="J1237" s="2"/>
      <c r="K1237" s="2"/>
      <c r="L1237" s="2"/>
      <c r="M1237" s="27"/>
      <c r="N1237" s="26"/>
      <c r="O1237" s="2"/>
      <c r="P1237" s="24"/>
    </row>
    <row r="1238" spans="1:16" ht="9.75" customHeight="1">
      <c r="A1238" s="32"/>
      <c r="B1238" s="33" t="s">
        <v>38</v>
      </c>
      <c r="C1238" s="33">
        <f t="shared" ref="C1238:M1238" si="232">SUM(C1222:C1237)</f>
        <v>81</v>
      </c>
      <c r="D1238" s="70">
        <f t="shared" si="232"/>
        <v>78</v>
      </c>
      <c r="E1238" s="71">
        <f t="shared" si="232"/>
        <v>77</v>
      </c>
      <c r="F1238" s="71">
        <f t="shared" si="232"/>
        <v>78</v>
      </c>
      <c r="G1238" s="71">
        <f t="shared" si="232"/>
        <v>77</v>
      </c>
      <c r="H1238" s="71">
        <f t="shared" si="232"/>
        <v>78</v>
      </c>
      <c r="I1238" s="71">
        <f t="shared" si="232"/>
        <v>78</v>
      </c>
      <c r="J1238" s="71">
        <f t="shared" si="232"/>
        <v>78</v>
      </c>
      <c r="K1238" s="71">
        <f t="shared" si="232"/>
        <v>78</v>
      </c>
      <c r="L1238" s="71">
        <f t="shared" si="232"/>
        <v>78</v>
      </c>
      <c r="M1238" s="93">
        <f t="shared" si="232"/>
        <v>79</v>
      </c>
      <c r="N1238" s="70">
        <f>MIN(D1238:M1238)</f>
        <v>77</v>
      </c>
      <c r="O1238" s="71">
        <f>C1238-N1238</f>
        <v>4</v>
      </c>
      <c r="P1238" s="40">
        <f>O1238/C1238</f>
        <v>4.9382716049382713E-2</v>
      </c>
    </row>
    <row r="1239" spans="1:16" ht="9.75" customHeight="1">
      <c r="A1239" s="66" t="s">
        <v>233</v>
      </c>
      <c r="B1239" s="160" t="s">
        <v>23</v>
      </c>
      <c r="C1239" s="66"/>
      <c r="D1239" s="41"/>
      <c r="E1239" s="72"/>
      <c r="F1239" s="72"/>
      <c r="G1239" s="72"/>
      <c r="H1239" s="72"/>
      <c r="I1239" s="72"/>
      <c r="J1239" s="72"/>
      <c r="K1239" s="72"/>
      <c r="L1239" s="72"/>
      <c r="M1239" s="73"/>
      <c r="N1239" s="41"/>
      <c r="O1239" s="72"/>
      <c r="P1239" s="99"/>
    </row>
    <row r="1240" spans="1:16" ht="9.75" customHeight="1">
      <c r="A1240" s="18"/>
      <c r="B1240" s="18" t="s">
        <v>25</v>
      </c>
      <c r="C1240" s="18">
        <v>39</v>
      </c>
      <c r="D1240" s="115">
        <v>39</v>
      </c>
      <c r="E1240" s="116">
        <v>39</v>
      </c>
      <c r="F1240" s="116">
        <v>39</v>
      </c>
      <c r="G1240" s="116">
        <v>39</v>
      </c>
      <c r="H1240" s="116">
        <v>39</v>
      </c>
      <c r="I1240" s="2">
        <v>39</v>
      </c>
      <c r="J1240" s="2">
        <v>39</v>
      </c>
      <c r="K1240" s="2">
        <v>39</v>
      </c>
      <c r="L1240" s="2">
        <v>39</v>
      </c>
      <c r="M1240" s="27">
        <v>39</v>
      </c>
      <c r="N1240" s="26">
        <f t="shared" ref="N1240:N1241" si="233">MIN(D1240:M1240)</f>
        <v>39</v>
      </c>
      <c r="O1240" s="2">
        <f t="shared" ref="O1240:O1241" si="234">C1240-N1240</f>
        <v>0</v>
      </c>
      <c r="P1240" s="24">
        <f t="shared" ref="P1240:P1241" si="235">O1240/C1240</f>
        <v>0</v>
      </c>
    </row>
    <row r="1241" spans="1:16" ht="9.75" customHeight="1">
      <c r="A1241" s="18"/>
      <c r="B1241" s="18" t="s">
        <v>27</v>
      </c>
      <c r="C1241" s="18">
        <v>5</v>
      </c>
      <c r="D1241" s="115">
        <v>5</v>
      </c>
      <c r="E1241" s="116">
        <v>5</v>
      </c>
      <c r="F1241" s="116">
        <v>5</v>
      </c>
      <c r="G1241" s="116">
        <v>5</v>
      </c>
      <c r="H1241" s="116">
        <v>5</v>
      </c>
      <c r="I1241" s="2">
        <v>5</v>
      </c>
      <c r="J1241" s="2">
        <v>5</v>
      </c>
      <c r="K1241" s="2">
        <v>5</v>
      </c>
      <c r="L1241" s="2">
        <v>5</v>
      </c>
      <c r="M1241" s="27">
        <v>5</v>
      </c>
      <c r="N1241" s="26">
        <f t="shared" si="233"/>
        <v>5</v>
      </c>
      <c r="O1241" s="2">
        <f t="shared" si="234"/>
        <v>0</v>
      </c>
      <c r="P1241" s="24">
        <f t="shared" si="235"/>
        <v>0</v>
      </c>
    </row>
    <row r="1242" spans="1:16" ht="9.75" customHeight="1">
      <c r="A1242" s="18"/>
      <c r="B1242" s="18" t="s">
        <v>99</v>
      </c>
      <c r="C1242" s="18"/>
      <c r="D1242" s="26"/>
      <c r="E1242" s="2"/>
      <c r="F1242" s="2"/>
      <c r="G1242" s="2"/>
      <c r="H1242" s="2"/>
      <c r="I1242" s="2"/>
      <c r="J1242" s="2"/>
      <c r="K1242" s="2"/>
      <c r="L1242" s="2"/>
      <c r="M1242" s="27"/>
      <c r="N1242" s="26"/>
      <c r="O1242" s="2"/>
      <c r="P1242" s="24"/>
    </row>
    <row r="1243" spans="1:16" ht="9.75" customHeight="1">
      <c r="A1243" s="18"/>
      <c r="B1243" s="18" t="s">
        <v>99</v>
      </c>
      <c r="C1243" s="18"/>
      <c r="D1243" s="26"/>
      <c r="E1243" s="2"/>
      <c r="F1243" s="2"/>
      <c r="G1243" s="2"/>
      <c r="H1243" s="2"/>
      <c r="I1243" s="2"/>
      <c r="J1243" s="2"/>
      <c r="K1243" s="2"/>
      <c r="L1243" s="2"/>
      <c r="M1243" s="27"/>
      <c r="N1243" s="26"/>
      <c r="O1243" s="2"/>
      <c r="P1243" s="24"/>
    </row>
    <row r="1244" spans="1:16" ht="9.75" customHeight="1">
      <c r="A1244" s="18"/>
      <c r="B1244" s="18" t="s">
        <v>32</v>
      </c>
      <c r="C1244" s="18"/>
      <c r="D1244" s="26"/>
      <c r="E1244" s="2"/>
      <c r="F1244" s="2"/>
      <c r="G1244" s="2"/>
      <c r="H1244" s="2"/>
      <c r="I1244" s="2"/>
      <c r="J1244" s="2"/>
      <c r="K1244" s="2"/>
      <c r="L1244" s="2"/>
      <c r="M1244" s="27"/>
      <c r="N1244" s="26"/>
      <c r="O1244" s="2"/>
      <c r="P1244" s="24"/>
    </row>
    <row r="1245" spans="1:16" ht="9.75" customHeight="1">
      <c r="A1245" s="18"/>
      <c r="B1245" s="18" t="s">
        <v>104</v>
      </c>
      <c r="C1245" s="18"/>
      <c r="D1245" s="26"/>
      <c r="E1245" s="2"/>
      <c r="F1245" s="2"/>
      <c r="G1245" s="2"/>
      <c r="H1245" s="2"/>
      <c r="I1245" s="2"/>
      <c r="J1245" s="2"/>
      <c r="K1245" s="2"/>
      <c r="L1245" s="2"/>
      <c r="M1245" s="27"/>
      <c r="N1245" s="26"/>
      <c r="O1245" s="2"/>
      <c r="P1245" s="24"/>
    </row>
    <row r="1246" spans="1:16" ht="9.75" customHeight="1">
      <c r="A1246" s="18"/>
      <c r="B1246" s="18" t="s">
        <v>104</v>
      </c>
      <c r="C1246" s="18"/>
      <c r="D1246" s="26"/>
      <c r="E1246" s="2"/>
      <c r="F1246" s="2"/>
      <c r="G1246" s="2"/>
      <c r="H1246" s="2"/>
      <c r="I1246" s="2"/>
      <c r="J1246" s="2"/>
      <c r="K1246" s="2"/>
      <c r="L1246" s="2"/>
      <c r="M1246" s="27"/>
      <c r="N1246" s="26"/>
      <c r="O1246" s="2"/>
      <c r="P1246" s="24"/>
    </row>
    <row r="1247" spans="1:16" ht="9.75" customHeight="1">
      <c r="A1247" s="18"/>
      <c r="B1247" s="18" t="s">
        <v>104</v>
      </c>
      <c r="C1247" s="18"/>
      <c r="D1247" s="26"/>
      <c r="E1247" s="2"/>
      <c r="F1247" s="2"/>
      <c r="G1247" s="2"/>
      <c r="H1247" s="2"/>
      <c r="I1247" s="2"/>
      <c r="J1247" s="2"/>
      <c r="K1247" s="2"/>
      <c r="L1247" s="2"/>
      <c r="M1247" s="27"/>
      <c r="N1247" s="26"/>
      <c r="O1247" s="2"/>
      <c r="P1247" s="24"/>
    </row>
    <row r="1248" spans="1:16" ht="9.75" customHeight="1">
      <c r="A1248" s="18"/>
      <c r="B1248" s="18" t="s">
        <v>104</v>
      </c>
      <c r="C1248" s="18"/>
      <c r="D1248" s="26"/>
      <c r="E1248" s="2"/>
      <c r="F1248" s="2"/>
      <c r="G1248" s="2"/>
      <c r="H1248" s="2"/>
      <c r="I1248" s="2"/>
      <c r="J1248" s="2"/>
      <c r="K1248" s="2"/>
      <c r="L1248" s="2"/>
      <c r="M1248" s="27"/>
      <c r="N1248" s="26"/>
      <c r="O1248" s="2"/>
      <c r="P1248" s="24"/>
    </row>
    <row r="1249" spans="1:16" ht="9.75" customHeight="1">
      <c r="A1249" s="18"/>
      <c r="B1249" s="18" t="s">
        <v>104</v>
      </c>
      <c r="C1249" s="18"/>
      <c r="D1249" s="26"/>
      <c r="E1249" s="2"/>
      <c r="F1249" s="2"/>
      <c r="G1249" s="2"/>
      <c r="H1249" s="2"/>
      <c r="I1249" s="2"/>
      <c r="J1249" s="2"/>
      <c r="K1249" s="2"/>
      <c r="L1249" s="2"/>
      <c r="M1249" s="27"/>
      <c r="N1249" s="26"/>
      <c r="O1249" s="2"/>
      <c r="P1249" s="24"/>
    </row>
    <row r="1250" spans="1:16" ht="9.75" customHeight="1">
      <c r="A1250" s="18"/>
      <c r="B1250" s="18" t="s">
        <v>104</v>
      </c>
      <c r="C1250" s="18"/>
      <c r="D1250" s="26"/>
      <c r="E1250" s="2"/>
      <c r="F1250" s="2"/>
      <c r="G1250" s="2"/>
      <c r="H1250" s="2"/>
      <c r="I1250" s="2"/>
      <c r="J1250" s="2"/>
      <c r="K1250" s="2"/>
      <c r="L1250" s="2"/>
      <c r="M1250" s="27"/>
      <c r="N1250" s="26"/>
      <c r="O1250" s="2"/>
      <c r="P1250" s="24"/>
    </row>
    <row r="1251" spans="1:16" ht="9.75" customHeight="1">
      <c r="A1251" s="18"/>
      <c r="B1251" s="18" t="s">
        <v>34</v>
      </c>
      <c r="C1251" s="18"/>
      <c r="D1251" s="26"/>
      <c r="E1251" s="2"/>
      <c r="F1251" s="2"/>
      <c r="G1251" s="2"/>
      <c r="H1251" s="2"/>
      <c r="I1251" s="2"/>
      <c r="J1251" s="2"/>
      <c r="K1251" s="2"/>
      <c r="L1251" s="2"/>
      <c r="M1251" s="27"/>
      <c r="N1251" s="26"/>
      <c r="O1251" s="2"/>
      <c r="P1251" s="24"/>
    </row>
    <row r="1252" spans="1:16" ht="9.75" customHeight="1">
      <c r="A1252" s="18"/>
      <c r="B1252" s="18" t="s">
        <v>35</v>
      </c>
      <c r="C1252" s="18"/>
      <c r="D1252" s="26"/>
      <c r="E1252" s="2"/>
      <c r="F1252" s="2"/>
      <c r="G1252" s="2"/>
      <c r="H1252" s="2"/>
      <c r="I1252" s="2"/>
      <c r="J1252" s="2"/>
      <c r="K1252" s="2"/>
      <c r="L1252" s="2"/>
      <c r="M1252" s="27"/>
      <c r="N1252" s="26"/>
      <c r="O1252" s="2"/>
      <c r="P1252" s="24"/>
    </row>
    <row r="1253" spans="1:16" ht="9.75" customHeight="1">
      <c r="A1253" s="18"/>
      <c r="B1253" s="18" t="s">
        <v>36</v>
      </c>
      <c r="C1253" s="18"/>
      <c r="D1253" s="26"/>
      <c r="E1253" s="2"/>
      <c r="F1253" s="2"/>
      <c r="G1253" s="2"/>
      <c r="H1253" s="2"/>
      <c r="I1253" s="2"/>
      <c r="J1253" s="2"/>
      <c r="K1253" s="2"/>
      <c r="L1253" s="2"/>
      <c r="M1253" s="27"/>
      <c r="N1253" s="26"/>
      <c r="O1253" s="2"/>
      <c r="P1253" s="24"/>
    </row>
    <row r="1254" spans="1:16" ht="9.75" customHeight="1">
      <c r="A1254" s="18"/>
      <c r="B1254" s="18" t="s">
        <v>37</v>
      </c>
      <c r="C1254" s="18"/>
      <c r="D1254" s="26"/>
      <c r="E1254" s="2"/>
      <c r="F1254" s="2"/>
      <c r="G1254" s="2"/>
      <c r="H1254" s="2"/>
      <c r="I1254" s="2"/>
      <c r="J1254" s="2"/>
      <c r="K1254" s="2"/>
      <c r="L1254" s="2"/>
      <c r="M1254" s="27"/>
      <c r="N1254" s="26"/>
      <c r="O1254" s="2"/>
      <c r="P1254" s="24"/>
    </row>
    <row r="1255" spans="1:16" ht="9.75" customHeight="1">
      <c r="A1255" s="32"/>
      <c r="B1255" s="33" t="s">
        <v>38</v>
      </c>
      <c r="C1255" s="33">
        <f t="shared" ref="C1255:M1255" si="236">SUM(C1239:C1254)</f>
        <v>44</v>
      </c>
      <c r="D1255" s="70">
        <f t="shared" si="236"/>
        <v>44</v>
      </c>
      <c r="E1255" s="71">
        <f t="shared" si="236"/>
        <v>44</v>
      </c>
      <c r="F1255" s="71">
        <f t="shared" si="236"/>
        <v>44</v>
      </c>
      <c r="G1255" s="71">
        <f t="shared" si="236"/>
        <v>44</v>
      </c>
      <c r="H1255" s="71">
        <f t="shared" si="236"/>
        <v>44</v>
      </c>
      <c r="I1255" s="71">
        <f t="shared" si="236"/>
        <v>44</v>
      </c>
      <c r="J1255" s="71">
        <f t="shared" si="236"/>
        <v>44</v>
      </c>
      <c r="K1255" s="71">
        <f t="shared" si="236"/>
        <v>44</v>
      </c>
      <c r="L1255" s="71">
        <f t="shared" si="236"/>
        <v>44</v>
      </c>
      <c r="M1255" s="93">
        <f t="shared" si="236"/>
        <v>44</v>
      </c>
      <c r="N1255" s="70">
        <f>MIN(D1255:M1255)</f>
        <v>44</v>
      </c>
      <c r="O1255" s="71">
        <f>C1255-N1255</f>
        <v>0</v>
      </c>
      <c r="P1255" s="40">
        <f>O1255/C1255</f>
        <v>0</v>
      </c>
    </row>
    <row r="1256" spans="1:16" ht="9.75" customHeight="1">
      <c r="A1256" s="66" t="s">
        <v>234</v>
      </c>
      <c r="B1256" s="66" t="s">
        <v>23</v>
      </c>
      <c r="C1256" s="18"/>
      <c r="D1256" s="26"/>
      <c r="E1256" s="2"/>
      <c r="F1256" s="2"/>
      <c r="G1256" s="2"/>
      <c r="H1256" s="2"/>
      <c r="I1256" s="2"/>
      <c r="J1256" s="2"/>
      <c r="K1256" s="2"/>
      <c r="L1256" s="2"/>
      <c r="M1256" s="27"/>
      <c r="N1256" s="26"/>
      <c r="O1256" s="2"/>
      <c r="P1256" s="24"/>
    </row>
    <row r="1257" spans="1:16" ht="9.75" customHeight="1">
      <c r="A1257" s="18"/>
      <c r="B1257" s="18" t="s">
        <v>25</v>
      </c>
      <c r="C1257" s="18">
        <v>62</v>
      </c>
      <c r="D1257" s="115">
        <v>62</v>
      </c>
      <c r="E1257" s="116">
        <v>62</v>
      </c>
      <c r="F1257" s="116">
        <v>62</v>
      </c>
      <c r="G1257" s="116">
        <v>62</v>
      </c>
      <c r="H1257" s="116">
        <v>62</v>
      </c>
      <c r="I1257" s="2">
        <v>62</v>
      </c>
      <c r="J1257" s="2">
        <v>62</v>
      </c>
      <c r="K1257" s="2">
        <v>62</v>
      </c>
      <c r="L1257" s="2">
        <v>62</v>
      </c>
      <c r="M1257" s="27">
        <v>62</v>
      </c>
      <c r="N1257" s="26">
        <f>MIN(D1257:M1257)</f>
        <v>62</v>
      </c>
      <c r="O1257" s="2">
        <f>C1257-N1257</f>
        <v>0</v>
      </c>
      <c r="P1257" s="24">
        <f>O1257/C1257</f>
        <v>0</v>
      </c>
    </row>
    <row r="1258" spans="1:16" ht="9.75" customHeight="1">
      <c r="A1258" s="18"/>
      <c r="B1258" s="18" t="s">
        <v>27</v>
      </c>
      <c r="C1258" s="18"/>
      <c r="D1258" s="26"/>
      <c r="E1258" s="2"/>
      <c r="F1258" s="2"/>
      <c r="G1258" s="2"/>
      <c r="H1258" s="2"/>
      <c r="I1258" s="2"/>
      <c r="J1258" s="2"/>
      <c r="K1258" s="2"/>
      <c r="L1258" s="2"/>
      <c r="M1258" s="27"/>
      <c r="N1258" s="26"/>
      <c r="O1258" s="2"/>
      <c r="P1258" s="24"/>
    </row>
    <row r="1259" spans="1:16" ht="9.75" customHeight="1">
      <c r="A1259" s="18"/>
      <c r="B1259" s="18" t="s">
        <v>99</v>
      </c>
      <c r="C1259" s="18"/>
      <c r="D1259" s="26"/>
      <c r="E1259" s="2"/>
      <c r="F1259" s="2"/>
      <c r="G1259" s="2"/>
      <c r="H1259" s="2"/>
      <c r="I1259" s="2"/>
      <c r="J1259" s="2"/>
      <c r="K1259" s="2"/>
      <c r="L1259" s="2"/>
      <c r="M1259" s="27"/>
      <c r="N1259" s="26"/>
      <c r="O1259" s="2"/>
      <c r="P1259" s="24"/>
    </row>
    <row r="1260" spans="1:16" ht="9.75" customHeight="1">
      <c r="A1260" s="18"/>
      <c r="B1260" s="18" t="s">
        <v>99</v>
      </c>
      <c r="C1260" s="18"/>
      <c r="D1260" s="26"/>
      <c r="E1260" s="2"/>
      <c r="F1260" s="2"/>
      <c r="G1260" s="2"/>
      <c r="H1260" s="2"/>
      <c r="I1260" s="2"/>
      <c r="J1260" s="2"/>
      <c r="K1260" s="2"/>
      <c r="L1260" s="2"/>
      <c r="M1260" s="27"/>
      <c r="N1260" s="26"/>
      <c r="O1260" s="2"/>
      <c r="P1260" s="24"/>
    </row>
    <row r="1261" spans="1:16" ht="9.75" customHeight="1">
      <c r="A1261" s="18"/>
      <c r="B1261" s="18" t="s">
        <v>32</v>
      </c>
      <c r="C1261" s="18"/>
      <c r="D1261" s="26"/>
      <c r="E1261" s="2"/>
      <c r="F1261" s="2"/>
      <c r="G1261" s="2"/>
      <c r="H1261" s="2"/>
      <c r="I1261" s="2"/>
      <c r="J1261" s="2"/>
      <c r="K1261" s="2"/>
      <c r="L1261" s="2"/>
      <c r="M1261" s="27"/>
      <c r="N1261" s="26"/>
      <c r="O1261" s="2"/>
      <c r="P1261" s="24"/>
    </row>
    <row r="1262" spans="1:16" ht="9.75" customHeight="1">
      <c r="A1262" s="18"/>
      <c r="B1262" s="18" t="s">
        <v>104</v>
      </c>
      <c r="C1262" s="18"/>
      <c r="D1262" s="26"/>
      <c r="E1262" s="2"/>
      <c r="F1262" s="2"/>
      <c r="G1262" s="2"/>
      <c r="H1262" s="2"/>
      <c r="I1262" s="2"/>
      <c r="J1262" s="2"/>
      <c r="K1262" s="2"/>
      <c r="L1262" s="2"/>
      <c r="M1262" s="27"/>
      <c r="N1262" s="26"/>
      <c r="O1262" s="2"/>
      <c r="P1262" s="24"/>
    </row>
    <row r="1263" spans="1:16" ht="9.75" customHeight="1">
      <c r="A1263" s="18"/>
      <c r="B1263" s="18" t="s">
        <v>104</v>
      </c>
      <c r="C1263" s="18"/>
      <c r="D1263" s="26"/>
      <c r="E1263" s="2"/>
      <c r="F1263" s="2"/>
      <c r="G1263" s="2"/>
      <c r="H1263" s="2"/>
      <c r="I1263" s="2"/>
      <c r="J1263" s="2"/>
      <c r="K1263" s="2"/>
      <c r="L1263" s="2"/>
      <c r="M1263" s="27"/>
      <c r="N1263" s="26"/>
      <c r="O1263" s="2"/>
      <c r="P1263" s="24"/>
    </row>
    <row r="1264" spans="1:16" ht="9.75" customHeight="1">
      <c r="A1264" s="18"/>
      <c r="B1264" s="18" t="s">
        <v>104</v>
      </c>
      <c r="C1264" s="18"/>
      <c r="D1264" s="26"/>
      <c r="E1264" s="2"/>
      <c r="F1264" s="2"/>
      <c r="G1264" s="2"/>
      <c r="H1264" s="2"/>
      <c r="I1264" s="2"/>
      <c r="J1264" s="2"/>
      <c r="K1264" s="2"/>
      <c r="L1264" s="2"/>
      <c r="M1264" s="27"/>
      <c r="N1264" s="26"/>
      <c r="O1264" s="2"/>
      <c r="P1264" s="24"/>
    </row>
    <row r="1265" spans="1:16" ht="9.75" customHeight="1">
      <c r="A1265" s="18"/>
      <c r="B1265" s="18" t="s">
        <v>104</v>
      </c>
      <c r="C1265" s="18"/>
      <c r="D1265" s="26"/>
      <c r="E1265" s="2"/>
      <c r="F1265" s="2"/>
      <c r="G1265" s="2"/>
      <c r="H1265" s="2"/>
      <c r="I1265" s="2"/>
      <c r="J1265" s="2"/>
      <c r="K1265" s="2"/>
      <c r="L1265" s="2"/>
      <c r="M1265" s="27"/>
      <c r="N1265" s="26"/>
      <c r="O1265" s="2"/>
      <c r="P1265" s="24"/>
    </row>
    <row r="1266" spans="1:16" ht="9.75" customHeight="1">
      <c r="A1266" s="18"/>
      <c r="B1266" s="18" t="s">
        <v>104</v>
      </c>
      <c r="C1266" s="18"/>
      <c r="D1266" s="26"/>
      <c r="E1266" s="2"/>
      <c r="F1266" s="2"/>
      <c r="G1266" s="2"/>
      <c r="H1266" s="2"/>
      <c r="I1266" s="2"/>
      <c r="J1266" s="2"/>
      <c r="K1266" s="2"/>
      <c r="L1266" s="2"/>
      <c r="M1266" s="27"/>
      <c r="N1266" s="26"/>
      <c r="O1266" s="2"/>
      <c r="P1266" s="24"/>
    </row>
    <row r="1267" spans="1:16" ht="9.75" customHeight="1">
      <c r="A1267" s="18"/>
      <c r="B1267" s="18" t="s">
        <v>104</v>
      </c>
      <c r="C1267" s="18"/>
      <c r="D1267" s="26"/>
      <c r="E1267" s="2"/>
      <c r="F1267" s="2"/>
      <c r="G1267" s="2"/>
      <c r="H1267" s="2"/>
      <c r="I1267" s="2"/>
      <c r="J1267" s="2"/>
      <c r="K1267" s="2"/>
      <c r="L1267" s="2"/>
      <c r="M1267" s="27"/>
      <c r="N1267" s="26"/>
      <c r="O1267" s="2"/>
      <c r="P1267" s="24"/>
    </row>
    <row r="1268" spans="1:16" ht="9.75" customHeight="1">
      <c r="A1268" s="18"/>
      <c r="B1268" s="18" t="s">
        <v>34</v>
      </c>
      <c r="C1268" s="18"/>
      <c r="D1268" s="26"/>
      <c r="E1268" s="2"/>
      <c r="F1268" s="2"/>
      <c r="G1268" s="2"/>
      <c r="H1268" s="2"/>
      <c r="I1268" s="2"/>
      <c r="J1268" s="2"/>
      <c r="K1268" s="2"/>
      <c r="L1268" s="2"/>
      <c r="M1268" s="27"/>
      <c r="N1268" s="26"/>
      <c r="O1268" s="2"/>
      <c r="P1268" s="24"/>
    </row>
    <row r="1269" spans="1:16" ht="9.75" customHeight="1">
      <c r="A1269" s="18"/>
      <c r="B1269" s="18" t="s">
        <v>35</v>
      </c>
      <c r="C1269" s="18"/>
      <c r="D1269" s="26"/>
      <c r="E1269" s="2"/>
      <c r="F1269" s="2"/>
      <c r="G1269" s="2"/>
      <c r="H1269" s="2"/>
      <c r="I1269" s="2"/>
      <c r="J1269" s="2"/>
      <c r="K1269" s="2"/>
      <c r="L1269" s="2"/>
      <c r="M1269" s="27"/>
      <c r="N1269" s="26"/>
      <c r="O1269" s="2"/>
      <c r="P1269" s="24"/>
    </row>
    <row r="1270" spans="1:16" ht="9.75" customHeight="1">
      <c r="A1270" s="18"/>
      <c r="B1270" s="18" t="s">
        <v>36</v>
      </c>
      <c r="C1270" s="18"/>
      <c r="D1270" s="26"/>
      <c r="E1270" s="2"/>
      <c r="F1270" s="2"/>
      <c r="G1270" s="2"/>
      <c r="H1270" s="2"/>
      <c r="I1270" s="2"/>
      <c r="J1270" s="2"/>
      <c r="K1270" s="2"/>
      <c r="L1270" s="2"/>
      <c r="M1270" s="27"/>
      <c r="N1270" s="26"/>
      <c r="O1270" s="2"/>
      <c r="P1270" s="24"/>
    </row>
    <row r="1271" spans="1:16" ht="9.75" customHeight="1">
      <c r="A1271" s="18"/>
      <c r="B1271" s="18" t="s">
        <v>37</v>
      </c>
      <c r="C1271" s="18"/>
      <c r="D1271" s="26"/>
      <c r="E1271" s="2"/>
      <c r="F1271" s="2"/>
      <c r="G1271" s="2"/>
      <c r="H1271" s="2"/>
      <c r="I1271" s="2"/>
      <c r="J1271" s="2"/>
      <c r="K1271" s="2"/>
      <c r="L1271" s="2"/>
      <c r="M1271" s="27"/>
      <c r="N1271" s="26"/>
      <c r="O1271" s="2"/>
      <c r="P1271" s="24"/>
    </row>
    <row r="1272" spans="1:16" ht="9.75" customHeight="1">
      <c r="A1272" s="32"/>
      <c r="B1272" s="33" t="s">
        <v>38</v>
      </c>
      <c r="C1272" s="33">
        <f t="shared" ref="C1272:M1272" si="237">SUM(C1256:C1271)</f>
        <v>62</v>
      </c>
      <c r="D1272" s="70">
        <f t="shared" si="237"/>
        <v>62</v>
      </c>
      <c r="E1272" s="71">
        <f t="shared" si="237"/>
        <v>62</v>
      </c>
      <c r="F1272" s="71">
        <f t="shared" si="237"/>
        <v>62</v>
      </c>
      <c r="G1272" s="71">
        <f t="shared" si="237"/>
        <v>62</v>
      </c>
      <c r="H1272" s="71">
        <f t="shared" si="237"/>
        <v>62</v>
      </c>
      <c r="I1272" s="71">
        <f t="shared" si="237"/>
        <v>62</v>
      </c>
      <c r="J1272" s="71">
        <f t="shared" si="237"/>
        <v>62</v>
      </c>
      <c r="K1272" s="71">
        <f t="shared" si="237"/>
        <v>62</v>
      </c>
      <c r="L1272" s="71">
        <f t="shared" si="237"/>
        <v>62</v>
      </c>
      <c r="M1272" s="93">
        <f t="shared" si="237"/>
        <v>62</v>
      </c>
      <c r="N1272" s="70">
        <f>MIN(D1272:M1272)</f>
        <v>62</v>
      </c>
      <c r="O1272" s="71">
        <f>C1272-N1272</f>
        <v>0</v>
      </c>
      <c r="P1272" s="40">
        <f>O1272/C1272</f>
        <v>0</v>
      </c>
    </row>
    <row r="1273" spans="1:16" ht="9.75" customHeight="1">
      <c r="A1273" s="66" t="s">
        <v>235</v>
      </c>
      <c r="B1273" s="66" t="s">
        <v>23</v>
      </c>
      <c r="C1273" s="18"/>
      <c r="D1273" s="26"/>
      <c r="E1273" s="2"/>
      <c r="F1273" s="2"/>
      <c r="G1273" s="2"/>
      <c r="H1273" s="2"/>
      <c r="I1273" s="2"/>
      <c r="J1273" s="2"/>
      <c r="K1273" s="2"/>
      <c r="L1273" s="2"/>
      <c r="M1273" s="27"/>
      <c r="N1273" s="26"/>
      <c r="O1273" s="2"/>
      <c r="P1273" s="24"/>
    </row>
    <row r="1274" spans="1:16" ht="9.75" customHeight="1">
      <c r="A1274" s="18"/>
      <c r="B1274" s="18" t="s">
        <v>25</v>
      </c>
      <c r="C1274" s="18">
        <v>1</v>
      </c>
      <c r="D1274" s="115">
        <v>1</v>
      </c>
      <c r="E1274" s="116">
        <v>1</v>
      </c>
      <c r="F1274" s="116">
        <v>1</v>
      </c>
      <c r="G1274" s="116">
        <v>1</v>
      </c>
      <c r="H1274" s="116">
        <v>1</v>
      </c>
      <c r="I1274" s="2">
        <v>1</v>
      </c>
      <c r="J1274" s="2">
        <v>1</v>
      </c>
      <c r="K1274" s="2">
        <v>1</v>
      </c>
      <c r="L1274" s="2">
        <v>1</v>
      </c>
      <c r="M1274" s="27">
        <v>0</v>
      </c>
      <c r="N1274" s="26">
        <f>MIN(D1274:M1274)</f>
        <v>0</v>
      </c>
      <c r="O1274" s="2">
        <f>C1274-N1274</f>
        <v>1</v>
      </c>
      <c r="P1274" s="24">
        <f>O1274/C1274</f>
        <v>1</v>
      </c>
    </row>
    <row r="1275" spans="1:16" ht="9.75" customHeight="1">
      <c r="A1275" s="18"/>
      <c r="B1275" s="18" t="s">
        <v>27</v>
      </c>
      <c r="C1275" s="18"/>
      <c r="D1275" s="26"/>
      <c r="E1275" s="2"/>
      <c r="F1275" s="2"/>
      <c r="G1275" s="2"/>
      <c r="H1275" s="2"/>
      <c r="I1275" s="2"/>
      <c r="J1275" s="2"/>
      <c r="K1275" s="2"/>
      <c r="L1275" s="2"/>
      <c r="M1275" s="27"/>
      <c r="N1275" s="26"/>
      <c r="O1275" s="2"/>
      <c r="P1275" s="24"/>
    </row>
    <row r="1276" spans="1:16" ht="9.75" customHeight="1">
      <c r="A1276" s="18"/>
      <c r="B1276" s="18" t="s">
        <v>222</v>
      </c>
      <c r="C1276" s="18">
        <v>10</v>
      </c>
      <c r="D1276" s="115">
        <v>10</v>
      </c>
      <c r="E1276" s="116">
        <v>10</v>
      </c>
      <c r="F1276" s="116">
        <v>10</v>
      </c>
      <c r="G1276" s="116">
        <v>10</v>
      </c>
      <c r="H1276" s="116">
        <v>10</v>
      </c>
      <c r="I1276" s="2">
        <v>10</v>
      </c>
      <c r="J1276" s="2">
        <v>10</v>
      </c>
      <c r="K1276" s="2">
        <v>9</v>
      </c>
      <c r="L1276" s="2">
        <v>9</v>
      </c>
      <c r="M1276" s="27">
        <v>9</v>
      </c>
      <c r="N1276" s="26">
        <f>MIN(D1276:M1276)</f>
        <v>9</v>
      </c>
      <c r="O1276" s="2">
        <f>C1276-N1276</f>
        <v>1</v>
      </c>
      <c r="P1276" s="24">
        <f>O1276/C1276</f>
        <v>0.1</v>
      </c>
    </row>
    <row r="1277" spans="1:16" ht="9.75" customHeight="1">
      <c r="A1277" s="18"/>
      <c r="B1277" s="18" t="s">
        <v>99</v>
      </c>
      <c r="C1277" s="18"/>
      <c r="D1277" s="26"/>
      <c r="E1277" s="2"/>
      <c r="F1277" s="2"/>
      <c r="G1277" s="2"/>
      <c r="H1277" s="2"/>
      <c r="I1277" s="2"/>
      <c r="J1277" s="2"/>
      <c r="K1277" s="2"/>
      <c r="L1277" s="2"/>
      <c r="M1277" s="27"/>
      <c r="N1277" s="26"/>
      <c r="O1277" s="2"/>
      <c r="P1277" s="24"/>
    </row>
    <row r="1278" spans="1:16" ht="9.75" customHeight="1">
      <c r="A1278" s="18"/>
      <c r="B1278" s="18" t="s">
        <v>32</v>
      </c>
      <c r="C1278" s="18">
        <v>3</v>
      </c>
      <c r="D1278" s="115">
        <v>3</v>
      </c>
      <c r="E1278" s="116">
        <v>3</v>
      </c>
      <c r="F1278" s="116">
        <v>3</v>
      </c>
      <c r="G1278" s="116">
        <v>3</v>
      </c>
      <c r="H1278" s="116">
        <v>3</v>
      </c>
      <c r="I1278" s="2">
        <v>3</v>
      </c>
      <c r="J1278" s="2">
        <v>3</v>
      </c>
      <c r="K1278" s="2">
        <v>3</v>
      </c>
      <c r="L1278" s="2">
        <v>3</v>
      </c>
      <c r="M1278" s="27">
        <v>3</v>
      </c>
      <c r="N1278" s="26">
        <f t="shared" ref="N1278:N1279" si="238">MIN(D1278:M1278)</f>
        <v>3</v>
      </c>
      <c r="O1278" s="2">
        <f t="shared" ref="O1278:O1279" si="239">C1278-N1278</f>
        <v>0</v>
      </c>
      <c r="P1278" s="24">
        <f t="shared" ref="P1278:P1279" si="240">O1278/C1278</f>
        <v>0</v>
      </c>
    </row>
    <row r="1279" spans="1:16" ht="9.75" customHeight="1">
      <c r="A1279" s="18"/>
      <c r="B1279" s="18" t="s">
        <v>236</v>
      </c>
      <c r="C1279" s="18">
        <v>1</v>
      </c>
      <c r="D1279" s="115">
        <v>1</v>
      </c>
      <c r="E1279" s="116">
        <v>1</v>
      </c>
      <c r="F1279" s="116">
        <v>1</v>
      </c>
      <c r="G1279" s="116">
        <v>1</v>
      </c>
      <c r="H1279" s="116">
        <v>1</v>
      </c>
      <c r="I1279" s="2">
        <v>1</v>
      </c>
      <c r="J1279" s="2">
        <v>1</v>
      </c>
      <c r="K1279" s="2">
        <v>1</v>
      </c>
      <c r="L1279" s="2">
        <v>1</v>
      </c>
      <c r="M1279" s="27">
        <v>1</v>
      </c>
      <c r="N1279" s="26">
        <f t="shared" si="238"/>
        <v>1</v>
      </c>
      <c r="O1279" s="2">
        <f t="shared" si="239"/>
        <v>0</v>
      </c>
      <c r="P1279" s="24">
        <f t="shared" si="240"/>
        <v>0</v>
      </c>
    </row>
    <row r="1280" spans="1:16" ht="9.75" customHeight="1">
      <c r="A1280" s="18"/>
      <c r="B1280" s="18" t="s">
        <v>104</v>
      </c>
      <c r="C1280" s="18"/>
      <c r="D1280" s="26"/>
      <c r="E1280" s="2"/>
      <c r="F1280" s="2"/>
      <c r="G1280" s="2"/>
      <c r="H1280" s="2"/>
      <c r="I1280" s="2"/>
      <c r="J1280" s="2"/>
      <c r="K1280" s="2"/>
      <c r="L1280" s="2"/>
      <c r="M1280" s="27"/>
      <c r="N1280" s="26"/>
      <c r="O1280" s="2"/>
      <c r="P1280" s="24"/>
    </row>
    <row r="1281" spans="1:16" ht="9.75" customHeight="1">
      <c r="A1281" s="18"/>
      <c r="B1281" s="18" t="s">
        <v>104</v>
      </c>
      <c r="C1281" s="18"/>
      <c r="D1281" s="26"/>
      <c r="E1281" s="2"/>
      <c r="F1281" s="2"/>
      <c r="G1281" s="2"/>
      <c r="H1281" s="2"/>
      <c r="I1281" s="2"/>
      <c r="J1281" s="2"/>
      <c r="K1281" s="2"/>
      <c r="L1281" s="2"/>
      <c r="M1281" s="27"/>
      <c r="N1281" s="26"/>
      <c r="O1281" s="2"/>
      <c r="P1281" s="24"/>
    </row>
    <row r="1282" spans="1:16" ht="9.75" customHeight="1">
      <c r="A1282" s="18"/>
      <c r="B1282" s="18" t="s">
        <v>104</v>
      </c>
      <c r="C1282" s="18"/>
      <c r="D1282" s="26"/>
      <c r="E1282" s="2"/>
      <c r="F1282" s="2"/>
      <c r="G1282" s="2"/>
      <c r="H1282" s="2"/>
      <c r="I1282" s="2"/>
      <c r="J1282" s="2"/>
      <c r="K1282" s="2"/>
      <c r="L1282" s="2"/>
      <c r="M1282" s="27"/>
      <c r="N1282" s="26"/>
      <c r="O1282" s="2"/>
      <c r="P1282" s="24"/>
    </row>
    <row r="1283" spans="1:16" ht="9.75" customHeight="1">
      <c r="A1283" s="18"/>
      <c r="B1283" s="18" t="s">
        <v>104</v>
      </c>
      <c r="C1283" s="18"/>
      <c r="D1283" s="26"/>
      <c r="E1283" s="2"/>
      <c r="F1283" s="2"/>
      <c r="G1283" s="2"/>
      <c r="H1283" s="2"/>
      <c r="I1283" s="2"/>
      <c r="J1283" s="2"/>
      <c r="K1283" s="2"/>
      <c r="L1283" s="2"/>
      <c r="M1283" s="27"/>
      <c r="N1283" s="26"/>
      <c r="O1283" s="2"/>
      <c r="P1283" s="24"/>
    </row>
    <row r="1284" spans="1:16" ht="9.75" customHeight="1">
      <c r="A1284" s="18"/>
      <c r="B1284" s="18" t="s">
        <v>104</v>
      </c>
      <c r="C1284" s="18"/>
      <c r="D1284" s="26"/>
      <c r="E1284" s="2"/>
      <c r="F1284" s="2"/>
      <c r="G1284" s="2"/>
      <c r="H1284" s="2"/>
      <c r="I1284" s="2"/>
      <c r="J1284" s="2"/>
      <c r="K1284" s="2"/>
      <c r="L1284" s="2"/>
      <c r="M1284" s="27"/>
      <c r="N1284" s="26"/>
      <c r="O1284" s="2"/>
      <c r="P1284" s="24"/>
    </row>
    <row r="1285" spans="1:16" ht="9.75" customHeight="1">
      <c r="A1285" s="18"/>
      <c r="B1285" s="18" t="s">
        <v>34</v>
      </c>
      <c r="C1285" s="18"/>
      <c r="D1285" s="26"/>
      <c r="E1285" s="2"/>
      <c r="F1285" s="2"/>
      <c r="G1285" s="2"/>
      <c r="H1285" s="2"/>
      <c r="I1285" s="2"/>
      <c r="J1285" s="2"/>
      <c r="K1285" s="2"/>
      <c r="L1285" s="2"/>
      <c r="M1285" s="27"/>
      <c r="N1285" s="26"/>
      <c r="O1285" s="2"/>
      <c r="P1285" s="24"/>
    </row>
    <row r="1286" spans="1:16" ht="9.75" customHeight="1">
      <c r="A1286" s="18"/>
      <c r="B1286" s="18" t="s">
        <v>35</v>
      </c>
      <c r="C1286" s="18"/>
      <c r="D1286" s="26"/>
      <c r="E1286" s="2"/>
      <c r="F1286" s="2"/>
      <c r="G1286" s="2"/>
      <c r="H1286" s="2"/>
      <c r="I1286" s="2"/>
      <c r="J1286" s="2"/>
      <c r="K1286" s="2"/>
      <c r="L1286" s="2"/>
      <c r="M1286" s="27"/>
      <c r="N1286" s="26"/>
      <c r="O1286" s="2"/>
      <c r="P1286" s="24"/>
    </row>
    <row r="1287" spans="1:16" ht="9.75" customHeight="1">
      <c r="A1287" s="18"/>
      <c r="B1287" s="18" t="s">
        <v>36</v>
      </c>
      <c r="C1287" s="18"/>
      <c r="D1287" s="26"/>
      <c r="E1287" s="2"/>
      <c r="F1287" s="2"/>
      <c r="G1287" s="2"/>
      <c r="H1287" s="2"/>
      <c r="I1287" s="2"/>
      <c r="J1287" s="2"/>
      <c r="K1287" s="2"/>
      <c r="L1287" s="2"/>
      <c r="M1287" s="27"/>
      <c r="N1287" s="26"/>
      <c r="O1287" s="2"/>
      <c r="P1287" s="24"/>
    </row>
    <row r="1288" spans="1:16" ht="9.75" customHeight="1">
      <c r="A1288" s="18"/>
      <c r="B1288" s="18" t="s">
        <v>37</v>
      </c>
      <c r="C1288" s="18"/>
      <c r="D1288" s="26"/>
      <c r="E1288" s="2"/>
      <c r="F1288" s="2"/>
      <c r="G1288" s="2"/>
      <c r="H1288" s="2"/>
      <c r="I1288" s="2"/>
      <c r="J1288" s="2"/>
      <c r="K1288" s="2"/>
      <c r="L1288" s="2"/>
      <c r="M1288" s="27"/>
      <c r="N1288" s="26"/>
      <c r="O1288" s="2"/>
      <c r="P1288" s="24"/>
    </row>
    <row r="1289" spans="1:16" ht="9.75" customHeight="1">
      <c r="A1289" s="32"/>
      <c r="B1289" s="33" t="s">
        <v>38</v>
      </c>
      <c r="C1289" s="33">
        <f t="shared" ref="C1289:M1289" si="241">SUM(C1273:C1288)</f>
        <v>15</v>
      </c>
      <c r="D1289" s="70">
        <f t="shared" si="241"/>
        <v>15</v>
      </c>
      <c r="E1289" s="71">
        <f t="shared" si="241"/>
        <v>15</v>
      </c>
      <c r="F1289" s="71">
        <f t="shared" si="241"/>
        <v>15</v>
      </c>
      <c r="G1289" s="71">
        <f t="shared" si="241"/>
        <v>15</v>
      </c>
      <c r="H1289" s="71">
        <f t="shared" si="241"/>
        <v>15</v>
      </c>
      <c r="I1289" s="71">
        <f t="shared" si="241"/>
        <v>15</v>
      </c>
      <c r="J1289" s="71">
        <f t="shared" si="241"/>
        <v>15</v>
      </c>
      <c r="K1289" s="71">
        <f t="shared" si="241"/>
        <v>14</v>
      </c>
      <c r="L1289" s="71">
        <f t="shared" si="241"/>
        <v>14</v>
      </c>
      <c r="M1289" s="93">
        <f t="shared" si="241"/>
        <v>13</v>
      </c>
      <c r="N1289" s="70">
        <f>MIN(D1289:M1289)</f>
        <v>13</v>
      </c>
      <c r="O1289" s="71">
        <f>C1289-N1289</f>
        <v>2</v>
      </c>
      <c r="P1289" s="40">
        <f>O1289/C1289</f>
        <v>0.13333333333333333</v>
      </c>
    </row>
    <row r="1290" spans="1:16" ht="9.75" customHeight="1">
      <c r="A1290" s="66" t="s">
        <v>237</v>
      </c>
      <c r="B1290" s="66" t="s">
        <v>23</v>
      </c>
      <c r="C1290" s="66"/>
      <c r="D1290" s="41"/>
      <c r="E1290" s="72"/>
      <c r="F1290" s="72"/>
      <c r="G1290" s="72"/>
      <c r="H1290" s="72"/>
      <c r="I1290" s="72"/>
      <c r="J1290" s="72"/>
      <c r="K1290" s="72"/>
      <c r="L1290" s="72"/>
      <c r="M1290" s="73"/>
      <c r="N1290" s="41"/>
      <c r="O1290" s="72"/>
      <c r="P1290" s="99"/>
    </row>
    <row r="1291" spans="1:16" ht="9.75" customHeight="1">
      <c r="A1291" s="18"/>
      <c r="B1291" s="18" t="s">
        <v>25</v>
      </c>
      <c r="C1291" s="18"/>
      <c r="D1291" s="26"/>
      <c r="E1291" s="2"/>
      <c r="F1291" s="2"/>
      <c r="G1291" s="2"/>
      <c r="H1291" s="2"/>
      <c r="I1291" s="2"/>
      <c r="J1291" s="2"/>
      <c r="K1291" s="2"/>
      <c r="L1291" s="2"/>
      <c r="M1291" s="27"/>
      <c r="N1291" s="26"/>
      <c r="O1291" s="2"/>
      <c r="P1291" s="24"/>
    </row>
    <row r="1292" spans="1:16" ht="9.75" customHeight="1">
      <c r="A1292" s="18"/>
      <c r="B1292" s="18" t="s">
        <v>27</v>
      </c>
      <c r="C1292" s="18">
        <v>85</v>
      </c>
      <c r="D1292" s="26">
        <v>83</v>
      </c>
      <c r="E1292" s="2">
        <v>83</v>
      </c>
      <c r="F1292" s="2">
        <v>83</v>
      </c>
      <c r="G1292" s="2">
        <v>85</v>
      </c>
      <c r="H1292" s="2">
        <v>85</v>
      </c>
      <c r="I1292" s="116">
        <v>80</v>
      </c>
      <c r="J1292" s="116">
        <v>80</v>
      </c>
      <c r="K1292" s="116">
        <v>81</v>
      </c>
      <c r="L1292" s="116">
        <v>81</v>
      </c>
      <c r="M1292" s="147">
        <v>81</v>
      </c>
      <c r="N1292" s="26">
        <f t="shared" ref="N1292:N1293" si="242">MIN(D1292:M1292)</f>
        <v>80</v>
      </c>
      <c r="O1292" s="2">
        <f t="shared" ref="O1292:O1293" si="243">C1292-N1292</f>
        <v>5</v>
      </c>
      <c r="P1292" s="24">
        <f t="shared" ref="P1292:P1293" si="244">O1292/C1292</f>
        <v>5.8823529411764705E-2</v>
      </c>
    </row>
    <row r="1293" spans="1:16" ht="9.75" customHeight="1">
      <c r="A1293" s="18"/>
      <c r="B1293" s="18" t="s">
        <v>222</v>
      </c>
      <c r="C1293" s="18">
        <v>2</v>
      </c>
      <c r="D1293" s="26">
        <v>2</v>
      </c>
      <c r="E1293" s="2">
        <v>2</v>
      </c>
      <c r="F1293" s="2">
        <v>2</v>
      </c>
      <c r="G1293" s="2">
        <v>2</v>
      </c>
      <c r="H1293" s="2">
        <v>2</v>
      </c>
      <c r="I1293" s="116">
        <v>0</v>
      </c>
      <c r="J1293" s="116">
        <v>0</v>
      </c>
      <c r="K1293" s="116">
        <v>0</v>
      </c>
      <c r="L1293" s="116">
        <v>0</v>
      </c>
      <c r="M1293" s="147">
        <v>0</v>
      </c>
      <c r="N1293" s="26">
        <f t="shared" si="242"/>
        <v>0</v>
      </c>
      <c r="O1293" s="2">
        <f t="shared" si="243"/>
        <v>2</v>
      </c>
      <c r="P1293" s="24">
        <f t="shared" si="244"/>
        <v>1</v>
      </c>
    </row>
    <row r="1294" spans="1:16" ht="9.75" customHeight="1">
      <c r="A1294" s="18"/>
      <c r="B1294" s="18" t="s">
        <v>99</v>
      </c>
      <c r="C1294" s="18"/>
      <c r="D1294" s="26"/>
      <c r="E1294" s="2"/>
      <c r="F1294" s="2"/>
      <c r="G1294" s="2"/>
      <c r="H1294" s="2"/>
      <c r="I1294" s="2"/>
      <c r="J1294" s="2"/>
      <c r="K1294" s="2"/>
      <c r="L1294" s="2"/>
      <c r="M1294" s="27"/>
      <c r="N1294" s="26"/>
      <c r="O1294" s="2"/>
      <c r="P1294" s="24"/>
    </row>
    <row r="1295" spans="1:16" ht="9.75" customHeight="1">
      <c r="A1295" s="18"/>
      <c r="B1295" s="18" t="s">
        <v>32</v>
      </c>
      <c r="C1295" s="18"/>
      <c r="D1295" s="26"/>
      <c r="E1295" s="2"/>
      <c r="F1295" s="2"/>
      <c r="G1295" s="2"/>
      <c r="H1295" s="2"/>
      <c r="I1295" s="2"/>
      <c r="J1295" s="2"/>
      <c r="K1295" s="2"/>
      <c r="L1295" s="2"/>
      <c r="M1295" s="27"/>
      <c r="N1295" s="26"/>
      <c r="O1295" s="2"/>
      <c r="P1295" s="24"/>
    </row>
    <row r="1296" spans="1:16" ht="9.75" customHeight="1">
      <c r="A1296" s="18"/>
      <c r="B1296" s="18" t="s">
        <v>141</v>
      </c>
      <c r="C1296" s="18">
        <v>9</v>
      </c>
      <c r="D1296" s="26">
        <v>9</v>
      </c>
      <c r="E1296" s="2">
        <v>9</v>
      </c>
      <c r="F1296" s="2">
        <v>9</v>
      </c>
      <c r="G1296" s="2">
        <v>9</v>
      </c>
      <c r="H1296" s="2">
        <v>9</v>
      </c>
      <c r="I1296" s="116">
        <v>9</v>
      </c>
      <c r="J1296" s="116">
        <v>9</v>
      </c>
      <c r="K1296" s="116">
        <v>9</v>
      </c>
      <c r="L1296" s="116">
        <v>9</v>
      </c>
      <c r="M1296" s="147">
        <v>9</v>
      </c>
      <c r="N1296" s="26">
        <f>MIN(D1296:M1296)</f>
        <v>9</v>
      </c>
      <c r="O1296" s="2">
        <f>C1296-N1296</f>
        <v>0</v>
      </c>
      <c r="P1296" s="24">
        <f>O1296/C1296</f>
        <v>0</v>
      </c>
    </row>
    <row r="1297" spans="1:16" ht="9.75" customHeight="1">
      <c r="A1297" s="18"/>
      <c r="B1297" s="18" t="s">
        <v>104</v>
      </c>
      <c r="C1297" s="18"/>
      <c r="D1297" s="26"/>
      <c r="E1297" s="2"/>
      <c r="F1297" s="2"/>
      <c r="G1297" s="2"/>
      <c r="H1297" s="2"/>
      <c r="I1297" s="2"/>
      <c r="J1297" s="2"/>
      <c r="K1297" s="2"/>
      <c r="L1297" s="2"/>
      <c r="M1297" s="27"/>
      <c r="N1297" s="26"/>
      <c r="O1297" s="2"/>
      <c r="P1297" s="24"/>
    </row>
    <row r="1298" spans="1:16" ht="9.75" customHeight="1">
      <c r="A1298" s="18"/>
      <c r="B1298" s="18" t="s">
        <v>104</v>
      </c>
      <c r="C1298" s="18"/>
      <c r="D1298" s="26"/>
      <c r="E1298" s="2"/>
      <c r="F1298" s="2"/>
      <c r="G1298" s="2"/>
      <c r="H1298" s="2"/>
      <c r="I1298" s="2"/>
      <c r="J1298" s="2"/>
      <c r="K1298" s="2"/>
      <c r="L1298" s="2"/>
      <c r="M1298" s="27"/>
      <c r="N1298" s="26"/>
      <c r="O1298" s="2"/>
      <c r="P1298" s="24"/>
    </row>
    <row r="1299" spans="1:16" ht="9.75" customHeight="1">
      <c r="A1299" s="18"/>
      <c r="B1299" s="18" t="s">
        <v>104</v>
      </c>
      <c r="C1299" s="18"/>
      <c r="D1299" s="26"/>
      <c r="E1299" s="2"/>
      <c r="F1299" s="2"/>
      <c r="G1299" s="2"/>
      <c r="H1299" s="2"/>
      <c r="I1299" s="2"/>
      <c r="J1299" s="2"/>
      <c r="K1299" s="2"/>
      <c r="L1299" s="2"/>
      <c r="M1299" s="27"/>
      <c r="N1299" s="26"/>
      <c r="O1299" s="2"/>
      <c r="P1299" s="24"/>
    </row>
    <row r="1300" spans="1:16" ht="9.75" customHeight="1">
      <c r="A1300" s="18"/>
      <c r="B1300" s="18" t="s">
        <v>104</v>
      </c>
      <c r="C1300" s="18"/>
      <c r="D1300" s="26"/>
      <c r="E1300" s="2"/>
      <c r="F1300" s="2"/>
      <c r="G1300" s="2"/>
      <c r="H1300" s="2"/>
      <c r="I1300" s="2"/>
      <c r="J1300" s="2"/>
      <c r="K1300" s="2"/>
      <c r="L1300" s="2"/>
      <c r="M1300" s="27"/>
      <c r="N1300" s="26"/>
      <c r="O1300" s="2"/>
      <c r="P1300" s="24"/>
    </row>
    <row r="1301" spans="1:16" ht="9.75" customHeight="1">
      <c r="A1301" s="18"/>
      <c r="B1301" s="18" t="s">
        <v>104</v>
      </c>
      <c r="C1301" s="18"/>
      <c r="D1301" s="26"/>
      <c r="E1301" s="2"/>
      <c r="F1301" s="2"/>
      <c r="G1301" s="2"/>
      <c r="H1301" s="2"/>
      <c r="I1301" s="2"/>
      <c r="J1301" s="2"/>
      <c r="K1301" s="2"/>
      <c r="L1301" s="2"/>
      <c r="M1301" s="27"/>
      <c r="N1301" s="26"/>
      <c r="O1301" s="2"/>
      <c r="P1301" s="24"/>
    </row>
    <row r="1302" spans="1:16" ht="9.75" customHeight="1">
      <c r="A1302" s="18"/>
      <c r="B1302" s="18" t="s">
        <v>34</v>
      </c>
      <c r="C1302" s="18">
        <v>1</v>
      </c>
      <c r="D1302" s="26">
        <v>1</v>
      </c>
      <c r="E1302" s="2">
        <v>1</v>
      </c>
      <c r="F1302" s="2">
        <v>1</v>
      </c>
      <c r="G1302" s="2">
        <v>1</v>
      </c>
      <c r="H1302" s="2">
        <v>1</v>
      </c>
      <c r="I1302" s="116">
        <v>1</v>
      </c>
      <c r="J1302" s="116">
        <v>1</v>
      </c>
      <c r="K1302" s="116">
        <v>1</v>
      </c>
      <c r="L1302" s="116">
        <v>1</v>
      </c>
      <c r="M1302" s="147">
        <v>1</v>
      </c>
      <c r="N1302" s="26">
        <f>MIN(D1302:M1302)</f>
        <v>1</v>
      </c>
      <c r="O1302" s="2">
        <f>C1302-N1302</f>
        <v>0</v>
      </c>
      <c r="P1302" s="24">
        <f>O1302/C1302</f>
        <v>0</v>
      </c>
    </row>
    <row r="1303" spans="1:16" ht="9.75" customHeight="1">
      <c r="A1303" s="18"/>
      <c r="B1303" s="18" t="s">
        <v>35</v>
      </c>
      <c r="C1303" s="18"/>
      <c r="D1303" s="26"/>
      <c r="E1303" s="2"/>
      <c r="F1303" s="2"/>
      <c r="G1303" s="2"/>
      <c r="H1303" s="2"/>
      <c r="I1303" s="2"/>
      <c r="J1303" s="2"/>
      <c r="K1303" s="2"/>
      <c r="L1303" s="2"/>
      <c r="M1303" s="27"/>
      <c r="N1303" s="26"/>
      <c r="O1303" s="2"/>
      <c r="P1303" s="24"/>
    </row>
    <row r="1304" spans="1:16" ht="9.75" customHeight="1">
      <c r="A1304" s="18"/>
      <c r="B1304" s="18" t="s">
        <v>36</v>
      </c>
      <c r="C1304" s="18"/>
      <c r="D1304" s="26"/>
      <c r="E1304" s="2"/>
      <c r="F1304" s="2"/>
      <c r="G1304" s="2"/>
      <c r="H1304" s="2"/>
      <c r="I1304" s="2"/>
      <c r="J1304" s="2"/>
      <c r="K1304" s="2"/>
      <c r="L1304" s="2"/>
      <c r="M1304" s="27"/>
      <c r="N1304" s="26"/>
      <c r="O1304" s="2"/>
      <c r="P1304" s="24"/>
    </row>
    <row r="1305" spans="1:16" ht="9.75" customHeight="1">
      <c r="A1305" s="18"/>
      <c r="B1305" s="18" t="s">
        <v>37</v>
      </c>
      <c r="C1305" s="18"/>
      <c r="D1305" s="26"/>
      <c r="E1305" s="2"/>
      <c r="F1305" s="2"/>
      <c r="G1305" s="2"/>
      <c r="H1305" s="2"/>
      <c r="I1305" s="2"/>
      <c r="J1305" s="2"/>
      <c r="K1305" s="2"/>
      <c r="L1305" s="2"/>
      <c r="M1305" s="27"/>
      <c r="N1305" s="26"/>
      <c r="O1305" s="2"/>
      <c r="P1305" s="24"/>
    </row>
    <row r="1306" spans="1:16" ht="9.75" customHeight="1">
      <c r="A1306" s="32"/>
      <c r="B1306" s="33" t="s">
        <v>38</v>
      </c>
      <c r="C1306" s="33">
        <f t="shared" ref="C1306:M1306" si="245">SUM(C1290:C1305)</f>
        <v>97</v>
      </c>
      <c r="D1306" s="70">
        <f t="shared" si="245"/>
        <v>95</v>
      </c>
      <c r="E1306" s="71">
        <f t="shared" si="245"/>
        <v>95</v>
      </c>
      <c r="F1306" s="71">
        <f t="shared" si="245"/>
        <v>95</v>
      </c>
      <c r="G1306" s="71">
        <f t="shared" si="245"/>
        <v>97</v>
      </c>
      <c r="H1306" s="71">
        <f t="shared" si="245"/>
        <v>97</v>
      </c>
      <c r="I1306" s="71">
        <f t="shared" si="245"/>
        <v>90</v>
      </c>
      <c r="J1306" s="71">
        <f t="shared" si="245"/>
        <v>90</v>
      </c>
      <c r="K1306" s="71">
        <f t="shared" si="245"/>
        <v>91</v>
      </c>
      <c r="L1306" s="71">
        <f t="shared" si="245"/>
        <v>91</v>
      </c>
      <c r="M1306" s="93">
        <f t="shared" si="245"/>
        <v>91</v>
      </c>
      <c r="N1306" s="70">
        <f t="shared" ref="N1306:N1307" si="246">MIN(D1306:M1306)</f>
        <v>90</v>
      </c>
      <c r="O1306" s="71">
        <f t="shared" ref="O1306:O1307" si="247">C1306-N1306</f>
        <v>7</v>
      </c>
      <c r="P1306" s="40">
        <f t="shared" ref="P1306:P1307" si="248">O1306/C1306</f>
        <v>7.2164948453608241E-2</v>
      </c>
    </row>
    <row r="1307" spans="1:16" ht="9.75" customHeight="1">
      <c r="A1307" s="66" t="s">
        <v>238</v>
      </c>
      <c r="B1307" s="66" t="s">
        <v>239</v>
      </c>
      <c r="C1307" s="66">
        <v>4</v>
      </c>
      <c r="D1307" s="41">
        <v>3</v>
      </c>
      <c r="E1307" s="72">
        <v>2</v>
      </c>
      <c r="F1307" s="72">
        <v>2</v>
      </c>
      <c r="G1307" s="72">
        <v>2</v>
      </c>
      <c r="H1307" s="72">
        <v>4</v>
      </c>
      <c r="I1307" s="159">
        <v>4</v>
      </c>
      <c r="J1307" s="159">
        <v>4</v>
      </c>
      <c r="K1307" s="159">
        <v>4</v>
      </c>
      <c r="L1307" s="159">
        <v>4</v>
      </c>
      <c r="M1307" s="175">
        <v>4</v>
      </c>
      <c r="N1307" s="41">
        <f t="shared" si="246"/>
        <v>2</v>
      </c>
      <c r="O1307" s="72">
        <f t="shared" si="247"/>
        <v>2</v>
      </c>
      <c r="P1307" s="99">
        <f t="shared" si="248"/>
        <v>0.5</v>
      </c>
    </row>
    <row r="1308" spans="1:16" ht="9.75" customHeight="1">
      <c r="A1308" s="18"/>
      <c r="B1308" s="18" t="s">
        <v>25</v>
      </c>
      <c r="C1308" s="18"/>
      <c r="D1308" s="26"/>
      <c r="E1308" s="2"/>
      <c r="F1308" s="2"/>
      <c r="G1308" s="2"/>
      <c r="H1308" s="2"/>
      <c r="I1308" s="2"/>
      <c r="J1308" s="2"/>
      <c r="K1308" s="2"/>
      <c r="L1308" s="2"/>
      <c r="M1308" s="27"/>
      <c r="N1308" s="26"/>
      <c r="O1308" s="2"/>
      <c r="P1308" s="24"/>
    </row>
    <row r="1309" spans="1:16" ht="9.75" customHeight="1">
      <c r="A1309" s="18"/>
      <c r="B1309" s="18" t="s">
        <v>27</v>
      </c>
      <c r="C1309" s="18"/>
      <c r="D1309" s="26"/>
      <c r="E1309" s="2"/>
      <c r="F1309" s="2"/>
      <c r="G1309" s="2"/>
      <c r="H1309" s="2"/>
      <c r="I1309" s="2"/>
      <c r="J1309" s="2"/>
      <c r="K1309" s="2"/>
      <c r="L1309" s="2"/>
      <c r="M1309" s="27"/>
      <c r="N1309" s="26"/>
      <c r="O1309" s="2"/>
      <c r="P1309" s="24"/>
    </row>
    <row r="1310" spans="1:16" ht="9.75" customHeight="1">
      <c r="A1310" s="18"/>
      <c r="B1310" s="18" t="s">
        <v>99</v>
      </c>
      <c r="C1310" s="18">
        <v>3</v>
      </c>
      <c r="D1310" s="26">
        <v>2</v>
      </c>
      <c r="E1310" s="2">
        <v>0</v>
      </c>
      <c r="F1310" s="2">
        <v>0</v>
      </c>
      <c r="G1310" s="2">
        <v>0</v>
      </c>
      <c r="H1310" s="2">
        <v>0</v>
      </c>
      <c r="I1310" s="116">
        <v>0</v>
      </c>
      <c r="J1310" s="116">
        <v>0</v>
      </c>
      <c r="K1310" s="116">
        <v>0</v>
      </c>
      <c r="L1310" s="116">
        <v>0</v>
      </c>
      <c r="M1310" s="147">
        <v>0</v>
      </c>
      <c r="N1310" s="26">
        <f>MIN(D1310:M1310)</f>
        <v>0</v>
      </c>
      <c r="O1310" s="2">
        <f>C1310-N1310</f>
        <v>3</v>
      </c>
      <c r="P1310" s="24">
        <f>O1310/C1310</f>
        <v>1</v>
      </c>
    </row>
    <row r="1311" spans="1:16" ht="9.75" customHeight="1">
      <c r="A1311" s="18"/>
      <c r="B1311" s="18" t="s">
        <v>99</v>
      </c>
      <c r="C1311" s="18"/>
      <c r="D1311" s="26"/>
      <c r="E1311" s="2"/>
      <c r="F1311" s="2"/>
      <c r="G1311" s="2"/>
      <c r="H1311" s="2"/>
      <c r="I1311" s="2"/>
      <c r="J1311" s="2"/>
      <c r="K1311" s="2"/>
      <c r="L1311" s="2"/>
      <c r="M1311" s="27"/>
      <c r="N1311" s="26"/>
      <c r="O1311" s="2"/>
      <c r="P1311" s="24"/>
    </row>
    <row r="1312" spans="1:16" ht="9.75" customHeight="1">
      <c r="A1312" s="18"/>
      <c r="B1312" s="18" t="s">
        <v>32</v>
      </c>
      <c r="C1312" s="18">
        <v>4</v>
      </c>
      <c r="D1312" s="26">
        <v>2</v>
      </c>
      <c r="E1312" s="2">
        <v>2</v>
      </c>
      <c r="F1312" s="2">
        <v>2</v>
      </c>
      <c r="G1312" s="2">
        <v>2</v>
      </c>
      <c r="H1312" s="2">
        <v>2</v>
      </c>
      <c r="I1312" s="116">
        <v>2</v>
      </c>
      <c r="J1312" s="116">
        <v>2</v>
      </c>
      <c r="K1312" s="116">
        <v>2</v>
      </c>
      <c r="L1312" s="116">
        <v>2</v>
      </c>
      <c r="M1312" s="147">
        <v>2</v>
      </c>
      <c r="N1312" s="26">
        <f>MIN(D1312:M1312)</f>
        <v>2</v>
      </c>
      <c r="O1312" s="2">
        <f>C1312-N1312</f>
        <v>2</v>
      </c>
      <c r="P1312" s="24">
        <f>O1312/C1312</f>
        <v>0.5</v>
      </c>
    </row>
    <row r="1313" spans="1:16" ht="9.75" customHeight="1">
      <c r="A1313" s="18"/>
      <c r="B1313" s="18" t="s">
        <v>104</v>
      </c>
      <c r="C1313" s="18"/>
      <c r="D1313" s="26"/>
      <c r="E1313" s="2"/>
      <c r="F1313" s="2"/>
      <c r="G1313" s="2"/>
      <c r="H1313" s="2"/>
      <c r="I1313" s="2"/>
      <c r="J1313" s="2"/>
      <c r="K1313" s="2"/>
      <c r="L1313" s="2"/>
      <c r="M1313" s="27"/>
      <c r="N1313" s="26"/>
      <c r="O1313" s="2"/>
      <c r="P1313" s="24"/>
    </row>
    <row r="1314" spans="1:16" ht="9.75" customHeight="1">
      <c r="A1314" s="18"/>
      <c r="B1314" s="18" t="s">
        <v>104</v>
      </c>
      <c r="C1314" s="18"/>
      <c r="D1314" s="26"/>
      <c r="E1314" s="2"/>
      <c r="F1314" s="2"/>
      <c r="G1314" s="2"/>
      <c r="H1314" s="2"/>
      <c r="I1314" s="2"/>
      <c r="J1314" s="2"/>
      <c r="K1314" s="2"/>
      <c r="L1314" s="2"/>
      <c r="M1314" s="27"/>
      <c r="N1314" s="26"/>
      <c r="O1314" s="2"/>
      <c r="P1314" s="24"/>
    </row>
    <row r="1315" spans="1:16" ht="9.75" customHeight="1">
      <c r="A1315" s="18"/>
      <c r="B1315" s="18" t="s">
        <v>104</v>
      </c>
      <c r="C1315" s="18"/>
      <c r="D1315" s="26"/>
      <c r="E1315" s="2"/>
      <c r="F1315" s="2"/>
      <c r="G1315" s="2"/>
      <c r="H1315" s="2"/>
      <c r="I1315" s="2"/>
      <c r="J1315" s="2"/>
      <c r="K1315" s="2"/>
      <c r="L1315" s="2"/>
      <c r="M1315" s="27"/>
      <c r="N1315" s="26"/>
      <c r="O1315" s="2"/>
      <c r="P1315" s="24"/>
    </row>
    <row r="1316" spans="1:16" ht="9.75" customHeight="1">
      <c r="A1316" s="18"/>
      <c r="B1316" s="18" t="s">
        <v>104</v>
      </c>
      <c r="C1316" s="18"/>
      <c r="D1316" s="26"/>
      <c r="E1316" s="2"/>
      <c r="F1316" s="2"/>
      <c r="G1316" s="2"/>
      <c r="H1316" s="2"/>
      <c r="I1316" s="2"/>
      <c r="J1316" s="2"/>
      <c r="K1316" s="2"/>
      <c r="L1316" s="2"/>
      <c r="M1316" s="27"/>
      <c r="N1316" s="26"/>
      <c r="O1316" s="2"/>
      <c r="P1316" s="24"/>
    </row>
    <row r="1317" spans="1:16" ht="9.75" customHeight="1">
      <c r="A1317" s="18"/>
      <c r="B1317" s="18" t="s">
        <v>104</v>
      </c>
      <c r="C1317" s="18"/>
      <c r="D1317" s="26"/>
      <c r="E1317" s="2"/>
      <c r="F1317" s="2"/>
      <c r="G1317" s="2"/>
      <c r="H1317" s="2"/>
      <c r="I1317" s="2"/>
      <c r="J1317" s="2"/>
      <c r="K1317" s="2"/>
      <c r="L1317" s="2"/>
      <c r="M1317" s="27"/>
      <c r="N1317" s="26"/>
      <c r="O1317" s="2"/>
      <c r="P1317" s="24"/>
    </row>
    <row r="1318" spans="1:16" ht="9.75" customHeight="1">
      <c r="A1318" s="18"/>
      <c r="B1318" s="18" t="s">
        <v>104</v>
      </c>
      <c r="C1318" s="18"/>
      <c r="D1318" s="26"/>
      <c r="E1318" s="2"/>
      <c r="F1318" s="2"/>
      <c r="G1318" s="2"/>
      <c r="H1318" s="2"/>
      <c r="I1318" s="2"/>
      <c r="J1318" s="2"/>
      <c r="K1318" s="2"/>
      <c r="L1318" s="2"/>
      <c r="M1318" s="27"/>
      <c r="N1318" s="26"/>
      <c r="O1318" s="2"/>
      <c r="P1318" s="24"/>
    </row>
    <row r="1319" spans="1:16" ht="9.75" customHeight="1">
      <c r="A1319" s="18"/>
      <c r="B1319" s="18" t="s">
        <v>34</v>
      </c>
      <c r="C1319" s="18">
        <v>3</v>
      </c>
      <c r="D1319" s="26">
        <v>3</v>
      </c>
      <c r="E1319" s="2">
        <v>3</v>
      </c>
      <c r="F1319" s="2">
        <v>3</v>
      </c>
      <c r="G1319" s="2">
        <v>3</v>
      </c>
      <c r="H1319" s="2">
        <v>3</v>
      </c>
      <c r="I1319" s="116">
        <v>3</v>
      </c>
      <c r="J1319" s="116">
        <v>3</v>
      </c>
      <c r="K1319" s="116">
        <v>3</v>
      </c>
      <c r="L1319" s="116">
        <v>2</v>
      </c>
      <c r="M1319" s="147">
        <v>3</v>
      </c>
      <c r="N1319" s="26">
        <f>MIN(D1319:M1319)</f>
        <v>2</v>
      </c>
      <c r="O1319" s="2">
        <f>C1319-N1319</f>
        <v>1</v>
      </c>
      <c r="P1319" s="24">
        <f>O1319/C1319</f>
        <v>0.33333333333333331</v>
      </c>
    </row>
    <row r="1320" spans="1:16" ht="9.75" customHeight="1">
      <c r="A1320" s="18"/>
      <c r="B1320" s="18" t="s">
        <v>35</v>
      </c>
      <c r="C1320" s="18">
        <v>2</v>
      </c>
      <c r="D1320" s="26">
        <v>1</v>
      </c>
      <c r="E1320" s="2">
        <v>2</v>
      </c>
      <c r="F1320" s="2">
        <v>1</v>
      </c>
      <c r="G1320" s="2">
        <v>1</v>
      </c>
      <c r="H1320" s="2">
        <v>1</v>
      </c>
      <c r="I1320" s="116">
        <v>1</v>
      </c>
      <c r="J1320" s="116">
        <v>1</v>
      </c>
      <c r="K1320" s="116">
        <v>1</v>
      </c>
      <c r="L1320" s="116">
        <v>1</v>
      </c>
      <c r="M1320" s="147">
        <v>1</v>
      </c>
      <c r="N1320" s="26"/>
      <c r="O1320" s="2"/>
      <c r="P1320" s="24"/>
    </row>
    <row r="1321" spans="1:16" ht="9.75" customHeight="1">
      <c r="A1321" s="18"/>
      <c r="B1321" s="18" t="s">
        <v>36</v>
      </c>
      <c r="C1321" s="18">
        <v>2</v>
      </c>
      <c r="D1321" s="26">
        <v>2</v>
      </c>
      <c r="E1321" s="2">
        <v>2</v>
      </c>
      <c r="F1321" s="2">
        <v>0</v>
      </c>
      <c r="G1321" s="2">
        <v>2</v>
      </c>
      <c r="H1321" s="2">
        <v>2</v>
      </c>
      <c r="I1321" s="116">
        <v>2</v>
      </c>
      <c r="J1321" s="116">
        <v>2</v>
      </c>
      <c r="K1321" s="116">
        <v>1</v>
      </c>
      <c r="L1321" s="116">
        <v>0</v>
      </c>
      <c r="M1321" s="147">
        <v>0</v>
      </c>
      <c r="N1321" s="26">
        <f t="shared" ref="N1321:N1323" si="249">MIN(D1321:M1321)</f>
        <v>0</v>
      </c>
      <c r="O1321" s="2">
        <f t="shared" ref="O1321:O1323" si="250">C1321-N1321</f>
        <v>2</v>
      </c>
      <c r="P1321" s="24">
        <f t="shared" ref="P1321:P1323" si="251">O1321/C1321</f>
        <v>1</v>
      </c>
    </row>
    <row r="1322" spans="1:16" ht="9.75" customHeight="1">
      <c r="A1322" s="18"/>
      <c r="B1322" s="18" t="s">
        <v>37</v>
      </c>
      <c r="C1322" s="18">
        <v>8</v>
      </c>
      <c r="D1322" s="26">
        <v>4</v>
      </c>
      <c r="E1322" s="2">
        <v>4</v>
      </c>
      <c r="F1322" s="2">
        <v>6</v>
      </c>
      <c r="G1322" s="2">
        <v>7</v>
      </c>
      <c r="H1322" s="2">
        <v>6</v>
      </c>
      <c r="I1322" s="116">
        <v>5</v>
      </c>
      <c r="J1322" s="116">
        <v>4</v>
      </c>
      <c r="K1322" s="116">
        <v>5</v>
      </c>
      <c r="L1322" s="116">
        <v>5</v>
      </c>
      <c r="M1322" s="147">
        <v>6</v>
      </c>
      <c r="N1322" s="26">
        <f t="shared" si="249"/>
        <v>4</v>
      </c>
      <c r="O1322" s="2">
        <f t="shared" si="250"/>
        <v>4</v>
      </c>
      <c r="P1322" s="24">
        <f t="shared" si="251"/>
        <v>0.5</v>
      </c>
    </row>
    <row r="1323" spans="1:16" ht="9.75" customHeight="1">
      <c r="A1323" s="32"/>
      <c r="B1323" s="33" t="s">
        <v>38</v>
      </c>
      <c r="C1323" s="33">
        <f t="shared" ref="C1323:M1323" si="252">SUM(C1307:C1322)</f>
        <v>26</v>
      </c>
      <c r="D1323" s="70">
        <f t="shared" si="252"/>
        <v>17</v>
      </c>
      <c r="E1323" s="71">
        <f t="shared" si="252"/>
        <v>15</v>
      </c>
      <c r="F1323" s="71">
        <f t="shared" si="252"/>
        <v>14</v>
      </c>
      <c r="G1323" s="71">
        <f t="shared" si="252"/>
        <v>17</v>
      </c>
      <c r="H1323" s="71">
        <f t="shared" si="252"/>
        <v>18</v>
      </c>
      <c r="I1323" s="71">
        <f t="shared" si="252"/>
        <v>17</v>
      </c>
      <c r="J1323" s="71">
        <f t="shared" si="252"/>
        <v>16</v>
      </c>
      <c r="K1323" s="71">
        <f t="shared" si="252"/>
        <v>16</v>
      </c>
      <c r="L1323" s="71">
        <f t="shared" si="252"/>
        <v>14</v>
      </c>
      <c r="M1323" s="93">
        <f t="shared" si="252"/>
        <v>16</v>
      </c>
      <c r="N1323" s="70">
        <f t="shared" si="249"/>
        <v>14</v>
      </c>
      <c r="O1323" s="71">
        <f t="shared" si="250"/>
        <v>12</v>
      </c>
      <c r="P1323" s="40">
        <f t="shared" si="251"/>
        <v>0.46153846153846156</v>
      </c>
    </row>
    <row r="1324" spans="1:16" ht="9.75" customHeight="1">
      <c r="A1324" s="117" t="s">
        <v>240</v>
      </c>
      <c r="B1324" s="100" t="s">
        <v>23</v>
      </c>
      <c r="C1324" s="100"/>
      <c r="D1324" s="101"/>
      <c r="E1324" s="102"/>
      <c r="F1324" s="102"/>
      <c r="G1324" s="102"/>
      <c r="H1324" s="102"/>
      <c r="I1324" s="102"/>
      <c r="J1324" s="102"/>
      <c r="K1324" s="102"/>
      <c r="L1324" s="102"/>
      <c r="M1324" s="103"/>
      <c r="N1324" s="101"/>
      <c r="O1324" s="102"/>
      <c r="P1324" s="104"/>
    </row>
    <row r="1325" spans="1:16" ht="9.75" customHeight="1">
      <c r="A1325" s="118" t="s">
        <v>241</v>
      </c>
      <c r="B1325" s="105" t="s">
        <v>25</v>
      </c>
      <c r="C1325" s="105"/>
      <c r="D1325" s="106"/>
      <c r="E1325" s="107"/>
      <c r="F1325" s="107"/>
      <c r="G1325" s="107"/>
      <c r="H1325" s="107"/>
      <c r="I1325" s="107"/>
      <c r="J1325" s="107"/>
      <c r="K1325" s="107"/>
      <c r="L1325" s="107"/>
      <c r="M1325" s="108"/>
      <c r="N1325" s="106"/>
      <c r="O1325" s="107"/>
      <c r="P1325" s="109"/>
    </row>
    <row r="1326" spans="1:16" ht="9.75" customHeight="1">
      <c r="A1326" s="118" t="s">
        <v>242</v>
      </c>
      <c r="B1326" s="105" t="s">
        <v>27</v>
      </c>
      <c r="C1326" s="105"/>
      <c r="D1326" s="106"/>
      <c r="E1326" s="107"/>
      <c r="F1326" s="107"/>
      <c r="G1326" s="107"/>
      <c r="H1326" s="107"/>
      <c r="I1326" s="107"/>
      <c r="J1326" s="107"/>
      <c r="K1326" s="107"/>
      <c r="L1326" s="107"/>
      <c r="M1326" s="108"/>
      <c r="N1326" s="106"/>
      <c r="O1326" s="107"/>
      <c r="P1326" s="109"/>
    </row>
    <row r="1327" spans="1:16" ht="9.75" customHeight="1">
      <c r="A1327" s="118" t="s">
        <v>243</v>
      </c>
      <c r="B1327" s="105" t="s">
        <v>99</v>
      </c>
      <c r="C1327" s="105"/>
      <c r="D1327" s="106"/>
      <c r="E1327" s="107"/>
      <c r="F1327" s="107"/>
      <c r="G1327" s="107"/>
      <c r="H1327" s="107"/>
      <c r="I1327" s="107"/>
      <c r="J1327" s="107"/>
      <c r="K1327" s="107"/>
      <c r="L1327" s="107"/>
      <c r="M1327" s="108"/>
      <c r="N1327" s="106"/>
      <c r="O1327" s="107"/>
      <c r="P1327" s="109"/>
    </row>
    <row r="1328" spans="1:16" ht="9.75" customHeight="1">
      <c r="A1328" s="118"/>
      <c r="B1328" s="105" t="s">
        <v>99</v>
      </c>
      <c r="C1328" s="105"/>
      <c r="D1328" s="106"/>
      <c r="E1328" s="107"/>
      <c r="F1328" s="107"/>
      <c r="G1328" s="107"/>
      <c r="H1328" s="107"/>
      <c r="I1328" s="107"/>
      <c r="J1328" s="107"/>
      <c r="K1328" s="107"/>
      <c r="L1328" s="107"/>
      <c r="M1328" s="108"/>
      <c r="N1328" s="106"/>
      <c r="O1328" s="107"/>
      <c r="P1328" s="109"/>
    </row>
    <row r="1329" spans="1:16" ht="9.75" customHeight="1">
      <c r="A1329" s="118"/>
      <c r="B1329" s="105" t="s">
        <v>32</v>
      </c>
      <c r="C1329" s="105"/>
      <c r="D1329" s="106"/>
      <c r="E1329" s="107"/>
      <c r="F1329" s="107"/>
      <c r="G1329" s="107"/>
      <c r="H1329" s="107"/>
      <c r="I1329" s="107"/>
      <c r="J1329" s="107"/>
      <c r="K1329" s="107"/>
      <c r="L1329" s="107"/>
      <c r="M1329" s="108"/>
      <c r="N1329" s="106"/>
      <c r="O1329" s="107"/>
      <c r="P1329" s="109"/>
    </row>
    <row r="1330" spans="1:16" ht="9.75" customHeight="1">
      <c r="A1330" s="118"/>
      <c r="B1330" s="105" t="s">
        <v>102</v>
      </c>
      <c r="C1330" s="105"/>
      <c r="D1330" s="106"/>
      <c r="E1330" s="107"/>
      <c r="F1330" s="107"/>
      <c r="G1330" s="107"/>
      <c r="H1330" s="107"/>
      <c r="I1330" s="107"/>
      <c r="J1330" s="107"/>
      <c r="K1330" s="107"/>
      <c r="L1330" s="107"/>
      <c r="M1330" s="108"/>
      <c r="N1330" s="106"/>
      <c r="O1330" s="107"/>
      <c r="P1330" s="109"/>
    </row>
    <row r="1331" spans="1:16" ht="9.75" customHeight="1">
      <c r="A1331" s="118"/>
      <c r="B1331" s="105" t="s">
        <v>104</v>
      </c>
      <c r="C1331" s="105"/>
      <c r="D1331" s="106"/>
      <c r="E1331" s="107"/>
      <c r="F1331" s="107"/>
      <c r="G1331" s="107"/>
      <c r="H1331" s="107"/>
      <c r="I1331" s="107"/>
      <c r="J1331" s="107"/>
      <c r="K1331" s="107"/>
      <c r="L1331" s="107"/>
      <c r="M1331" s="108"/>
      <c r="N1331" s="106"/>
      <c r="O1331" s="107"/>
      <c r="P1331" s="109"/>
    </row>
    <row r="1332" spans="1:16" ht="9.75" customHeight="1">
      <c r="A1332" s="118"/>
      <c r="B1332" s="105" t="s">
        <v>104</v>
      </c>
      <c r="C1332" s="105"/>
      <c r="D1332" s="106"/>
      <c r="E1332" s="107"/>
      <c r="F1332" s="107"/>
      <c r="G1332" s="107"/>
      <c r="H1332" s="107"/>
      <c r="I1332" s="107"/>
      <c r="J1332" s="107"/>
      <c r="K1332" s="107"/>
      <c r="L1332" s="107"/>
      <c r="M1332" s="108"/>
      <c r="N1332" s="106"/>
      <c r="O1332" s="107"/>
      <c r="P1332" s="109"/>
    </row>
    <row r="1333" spans="1:16" ht="9.75" customHeight="1">
      <c r="A1333" s="118"/>
      <c r="B1333" s="105" t="s">
        <v>104</v>
      </c>
      <c r="C1333" s="105"/>
      <c r="D1333" s="106"/>
      <c r="E1333" s="107"/>
      <c r="F1333" s="107"/>
      <c r="G1333" s="107"/>
      <c r="H1333" s="107"/>
      <c r="I1333" s="107"/>
      <c r="J1333" s="107"/>
      <c r="K1333" s="107"/>
      <c r="L1333" s="107"/>
      <c r="M1333" s="108"/>
      <c r="N1333" s="106"/>
      <c r="O1333" s="107"/>
      <c r="P1333" s="109"/>
    </row>
    <row r="1334" spans="1:16" ht="9.75" customHeight="1">
      <c r="A1334" s="118"/>
      <c r="B1334" s="105" t="s">
        <v>104</v>
      </c>
      <c r="C1334" s="105"/>
      <c r="D1334" s="106"/>
      <c r="E1334" s="107"/>
      <c r="F1334" s="107"/>
      <c r="G1334" s="107"/>
      <c r="H1334" s="107"/>
      <c r="I1334" s="107"/>
      <c r="J1334" s="107"/>
      <c r="K1334" s="107"/>
      <c r="L1334" s="107"/>
      <c r="M1334" s="108"/>
      <c r="N1334" s="106"/>
      <c r="O1334" s="107"/>
      <c r="P1334" s="109"/>
    </row>
    <row r="1335" spans="1:16" ht="9.75" customHeight="1">
      <c r="A1335" s="118"/>
      <c r="B1335" s="105" t="s">
        <v>104</v>
      </c>
      <c r="C1335" s="105"/>
      <c r="D1335" s="106"/>
      <c r="E1335" s="107"/>
      <c r="F1335" s="107"/>
      <c r="G1335" s="107"/>
      <c r="H1335" s="107"/>
      <c r="I1335" s="107"/>
      <c r="J1335" s="107"/>
      <c r="K1335" s="107"/>
      <c r="L1335" s="107"/>
      <c r="M1335" s="108"/>
      <c r="N1335" s="106"/>
      <c r="O1335" s="107"/>
      <c r="P1335" s="109"/>
    </row>
    <row r="1336" spans="1:16" ht="9.75" customHeight="1">
      <c r="A1336" s="118"/>
      <c r="B1336" s="105" t="s">
        <v>34</v>
      </c>
      <c r="C1336" s="105"/>
      <c r="D1336" s="106"/>
      <c r="E1336" s="107"/>
      <c r="F1336" s="107"/>
      <c r="G1336" s="107"/>
      <c r="H1336" s="107"/>
      <c r="I1336" s="107"/>
      <c r="J1336" s="107"/>
      <c r="K1336" s="107"/>
      <c r="L1336" s="107"/>
      <c r="M1336" s="108"/>
      <c r="N1336" s="106"/>
      <c r="O1336" s="107"/>
      <c r="P1336" s="109"/>
    </row>
    <row r="1337" spans="1:16" ht="9.75" customHeight="1">
      <c r="A1337" s="118"/>
      <c r="B1337" s="105" t="s">
        <v>35</v>
      </c>
      <c r="C1337" s="105"/>
      <c r="D1337" s="106"/>
      <c r="E1337" s="107"/>
      <c r="F1337" s="107"/>
      <c r="G1337" s="107"/>
      <c r="H1337" s="107"/>
      <c r="I1337" s="107"/>
      <c r="J1337" s="107"/>
      <c r="K1337" s="107"/>
      <c r="L1337" s="107"/>
      <c r="M1337" s="108"/>
      <c r="N1337" s="106"/>
      <c r="O1337" s="107"/>
      <c r="P1337" s="109"/>
    </row>
    <row r="1338" spans="1:16" ht="9.75" customHeight="1">
      <c r="A1338" s="118"/>
      <c r="B1338" s="105" t="s">
        <v>36</v>
      </c>
      <c r="C1338" s="105"/>
      <c r="D1338" s="106"/>
      <c r="E1338" s="107"/>
      <c r="F1338" s="107"/>
      <c r="G1338" s="107"/>
      <c r="H1338" s="107"/>
      <c r="I1338" s="107"/>
      <c r="J1338" s="107"/>
      <c r="K1338" s="107"/>
      <c r="L1338" s="107"/>
      <c r="M1338" s="108"/>
      <c r="N1338" s="106"/>
      <c r="O1338" s="107"/>
      <c r="P1338" s="109"/>
    </row>
    <row r="1339" spans="1:16" ht="9.75" customHeight="1">
      <c r="A1339" s="118"/>
      <c r="B1339" s="105" t="s">
        <v>37</v>
      </c>
      <c r="C1339" s="105"/>
      <c r="D1339" s="106"/>
      <c r="E1339" s="107"/>
      <c r="F1339" s="107"/>
      <c r="G1339" s="107"/>
      <c r="H1339" s="107"/>
      <c r="I1339" s="107"/>
      <c r="J1339" s="107"/>
      <c r="K1339" s="107"/>
      <c r="L1339" s="107"/>
      <c r="M1339" s="108"/>
      <c r="N1339" s="106"/>
      <c r="O1339" s="107"/>
      <c r="P1339" s="109"/>
    </row>
    <row r="1340" spans="1:16" ht="9.75" customHeight="1">
      <c r="A1340" s="32"/>
      <c r="B1340" s="33" t="s">
        <v>38</v>
      </c>
      <c r="C1340" s="33"/>
      <c r="D1340" s="70"/>
      <c r="E1340" s="71"/>
      <c r="F1340" s="71"/>
      <c r="G1340" s="71"/>
      <c r="H1340" s="71"/>
      <c r="I1340" s="71"/>
      <c r="J1340" s="71"/>
      <c r="K1340" s="71"/>
      <c r="L1340" s="71"/>
      <c r="M1340" s="93"/>
      <c r="N1340" s="70"/>
      <c r="O1340" s="71"/>
      <c r="P1340" s="40"/>
    </row>
    <row r="1341" spans="1:16" ht="9.75" customHeight="1">
      <c r="A1341" s="117" t="s">
        <v>244</v>
      </c>
      <c r="B1341" s="100" t="s">
        <v>23</v>
      </c>
      <c r="C1341" s="100"/>
      <c r="D1341" s="101"/>
      <c r="E1341" s="102"/>
      <c r="F1341" s="102"/>
      <c r="G1341" s="102"/>
      <c r="H1341" s="102"/>
      <c r="I1341" s="102"/>
      <c r="J1341" s="102"/>
      <c r="K1341" s="102"/>
      <c r="L1341" s="102"/>
      <c r="M1341" s="103"/>
      <c r="N1341" s="101"/>
      <c r="O1341" s="102"/>
      <c r="P1341" s="104"/>
    </row>
    <row r="1342" spans="1:16" ht="9.75" customHeight="1">
      <c r="A1342" s="118" t="s">
        <v>241</v>
      </c>
      <c r="B1342" s="105" t="s">
        <v>25</v>
      </c>
      <c r="C1342" s="105"/>
      <c r="D1342" s="106"/>
      <c r="E1342" s="107"/>
      <c r="F1342" s="107"/>
      <c r="G1342" s="107"/>
      <c r="H1342" s="107"/>
      <c r="I1342" s="107"/>
      <c r="J1342" s="107"/>
      <c r="K1342" s="107"/>
      <c r="L1342" s="107"/>
      <c r="M1342" s="108"/>
      <c r="N1342" s="106"/>
      <c r="O1342" s="107"/>
      <c r="P1342" s="109"/>
    </row>
    <row r="1343" spans="1:16" ht="9.75" customHeight="1">
      <c r="A1343" s="118" t="s">
        <v>242</v>
      </c>
      <c r="B1343" s="105" t="s">
        <v>27</v>
      </c>
      <c r="C1343" s="105"/>
      <c r="D1343" s="106"/>
      <c r="E1343" s="107"/>
      <c r="F1343" s="107"/>
      <c r="G1343" s="107"/>
      <c r="H1343" s="107"/>
      <c r="I1343" s="107"/>
      <c r="J1343" s="107"/>
      <c r="K1343" s="107"/>
      <c r="L1343" s="107"/>
      <c r="M1343" s="108"/>
      <c r="N1343" s="106"/>
      <c r="O1343" s="107"/>
      <c r="P1343" s="109"/>
    </row>
    <row r="1344" spans="1:16" ht="9.75" customHeight="1">
      <c r="A1344" s="118" t="s">
        <v>243</v>
      </c>
      <c r="B1344" s="105" t="s">
        <v>99</v>
      </c>
      <c r="C1344" s="105"/>
      <c r="D1344" s="106"/>
      <c r="E1344" s="107"/>
      <c r="F1344" s="107"/>
      <c r="G1344" s="107"/>
      <c r="H1344" s="107"/>
      <c r="I1344" s="107"/>
      <c r="J1344" s="107"/>
      <c r="K1344" s="107"/>
      <c r="L1344" s="107"/>
      <c r="M1344" s="108"/>
      <c r="N1344" s="106"/>
      <c r="O1344" s="107"/>
      <c r="P1344" s="109"/>
    </row>
    <row r="1345" spans="1:16" ht="9.75" customHeight="1">
      <c r="A1345" s="118"/>
      <c r="B1345" s="105" t="s">
        <v>99</v>
      </c>
      <c r="C1345" s="105"/>
      <c r="D1345" s="106"/>
      <c r="E1345" s="107"/>
      <c r="F1345" s="107"/>
      <c r="G1345" s="107"/>
      <c r="H1345" s="107"/>
      <c r="I1345" s="107"/>
      <c r="J1345" s="107"/>
      <c r="K1345" s="107"/>
      <c r="L1345" s="107"/>
      <c r="M1345" s="108"/>
      <c r="N1345" s="106"/>
      <c r="O1345" s="107"/>
      <c r="P1345" s="109"/>
    </row>
    <row r="1346" spans="1:16" ht="9.75" customHeight="1">
      <c r="A1346" s="118"/>
      <c r="B1346" s="105" t="s">
        <v>32</v>
      </c>
      <c r="C1346" s="105"/>
      <c r="D1346" s="106"/>
      <c r="E1346" s="107"/>
      <c r="F1346" s="107"/>
      <c r="G1346" s="107"/>
      <c r="H1346" s="107"/>
      <c r="I1346" s="107"/>
      <c r="J1346" s="107"/>
      <c r="K1346" s="107"/>
      <c r="L1346" s="107"/>
      <c r="M1346" s="108"/>
      <c r="N1346" s="106"/>
      <c r="O1346" s="107"/>
      <c r="P1346" s="109"/>
    </row>
    <row r="1347" spans="1:16" ht="9.75" customHeight="1">
      <c r="A1347" s="118"/>
      <c r="B1347" s="105" t="s">
        <v>104</v>
      </c>
      <c r="C1347" s="105"/>
      <c r="D1347" s="106"/>
      <c r="E1347" s="107"/>
      <c r="F1347" s="107"/>
      <c r="G1347" s="107"/>
      <c r="H1347" s="107"/>
      <c r="I1347" s="107"/>
      <c r="J1347" s="107"/>
      <c r="K1347" s="107"/>
      <c r="L1347" s="107"/>
      <c r="M1347" s="108"/>
      <c r="N1347" s="106"/>
      <c r="O1347" s="107"/>
      <c r="P1347" s="109"/>
    </row>
    <row r="1348" spans="1:16" ht="9.75" customHeight="1">
      <c r="A1348" s="118"/>
      <c r="B1348" s="105" t="s">
        <v>104</v>
      </c>
      <c r="C1348" s="105"/>
      <c r="D1348" s="106"/>
      <c r="E1348" s="107"/>
      <c r="F1348" s="107"/>
      <c r="G1348" s="107"/>
      <c r="H1348" s="107"/>
      <c r="I1348" s="107"/>
      <c r="J1348" s="107"/>
      <c r="K1348" s="107"/>
      <c r="L1348" s="107"/>
      <c r="M1348" s="108"/>
      <c r="N1348" s="106"/>
      <c r="O1348" s="107"/>
      <c r="P1348" s="109"/>
    </row>
    <row r="1349" spans="1:16" ht="9.75" customHeight="1">
      <c r="A1349" s="118"/>
      <c r="B1349" s="105" t="s">
        <v>104</v>
      </c>
      <c r="C1349" s="105"/>
      <c r="D1349" s="106"/>
      <c r="E1349" s="107"/>
      <c r="F1349" s="107"/>
      <c r="G1349" s="107"/>
      <c r="H1349" s="107"/>
      <c r="I1349" s="107"/>
      <c r="J1349" s="107"/>
      <c r="K1349" s="107"/>
      <c r="L1349" s="107"/>
      <c r="M1349" s="108"/>
      <c r="N1349" s="106"/>
      <c r="O1349" s="107"/>
      <c r="P1349" s="109"/>
    </row>
    <row r="1350" spans="1:16" ht="9.75" customHeight="1">
      <c r="A1350" s="118"/>
      <c r="B1350" s="105" t="s">
        <v>104</v>
      </c>
      <c r="C1350" s="105"/>
      <c r="D1350" s="106"/>
      <c r="E1350" s="107"/>
      <c r="F1350" s="107"/>
      <c r="G1350" s="107"/>
      <c r="H1350" s="107"/>
      <c r="I1350" s="107"/>
      <c r="J1350" s="107"/>
      <c r="K1350" s="107"/>
      <c r="L1350" s="107"/>
      <c r="M1350" s="108"/>
      <c r="N1350" s="106"/>
      <c r="O1350" s="107"/>
      <c r="P1350" s="109"/>
    </row>
    <row r="1351" spans="1:16" ht="9.75" customHeight="1">
      <c r="A1351" s="118"/>
      <c r="B1351" s="105" t="s">
        <v>104</v>
      </c>
      <c r="C1351" s="105"/>
      <c r="D1351" s="106"/>
      <c r="E1351" s="107"/>
      <c r="F1351" s="107"/>
      <c r="G1351" s="107"/>
      <c r="H1351" s="107"/>
      <c r="I1351" s="107"/>
      <c r="J1351" s="107"/>
      <c r="K1351" s="107"/>
      <c r="L1351" s="107"/>
      <c r="M1351" s="108"/>
      <c r="N1351" s="106"/>
      <c r="O1351" s="107"/>
      <c r="P1351" s="109"/>
    </row>
    <row r="1352" spans="1:16" ht="9.75" customHeight="1">
      <c r="A1352" s="118"/>
      <c r="B1352" s="105" t="s">
        <v>104</v>
      </c>
      <c r="C1352" s="105"/>
      <c r="D1352" s="106"/>
      <c r="E1352" s="107"/>
      <c r="F1352" s="107"/>
      <c r="G1352" s="107"/>
      <c r="H1352" s="107"/>
      <c r="I1352" s="107"/>
      <c r="J1352" s="107"/>
      <c r="K1352" s="107"/>
      <c r="L1352" s="107"/>
      <c r="M1352" s="108"/>
      <c r="N1352" s="106"/>
      <c r="O1352" s="107"/>
      <c r="P1352" s="109"/>
    </row>
    <row r="1353" spans="1:16" ht="9.75" customHeight="1">
      <c r="A1353" s="118"/>
      <c r="B1353" s="105" t="s">
        <v>34</v>
      </c>
      <c r="C1353" s="105"/>
      <c r="D1353" s="106"/>
      <c r="E1353" s="107"/>
      <c r="F1353" s="107"/>
      <c r="G1353" s="107"/>
      <c r="H1353" s="107"/>
      <c r="I1353" s="107"/>
      <c r="J1353" s="107"/>
      <c r="K1353" s="107"/>
      <c r="L1353" s="107"/>
      <c r="M1353" s="108"/>
      <c r="N1353" s="106"/>
      <c r="O1353" s="107"/>
      <c r="P1353" s="109"/>
    </row>
    <row r="1354" spans="1:16" ht="9.75" customHeight="1">
      <c r="A1354" s="118"/>
      <c r="B1354" s="105" t="s">
        <v>35</v>
      </c>
      <c r="C1354" s="105"/>
      <c r="D1354" s="106"/>
      <c r="E1354" s="107"/>
      <c r="F1354" s="107"/>
      <c r="G1354" s="107"/>
      <c r="H1354" s="107"/>
      <c r="I1354" s="107"/>
      <c r="J1354" s="107"/>
      <c r="K1354" s="107"/>
      <c r="L1354" s="107"/>
      <c r="M1354" s="108"/>
      <c r="N1354" s="106"/>
      <c r="O1354" s="107"/>
      <c r="P1354" s="109"/>
    </row>
    <row r="1355" spans="1:16" ht="9.75" customHeight="1">
      <c r="A1355" s="118"/>
      <c r="B1355" s="105" t="s">
        <v>36</v>
      </c>
      <c r="C1355" s="105"/>
      <c r="D1355" s="106"/>
      <c r="E1355" s="107"/>
      <c r="F1355" s="107"/>
      <c r="G1355" s="107"/>
      <c r="H1355" s="107"/>
      <c r="I1355" s="107"/>
      <c r="J1355" s="107"/>
      <c r="K1355" s="107"/>
      <c r="L1355" s="107"/>
      <c r="M1355" s="108"/>
      <c r="N1355" s="106"/>
      <c r="O1355" s="107"/>
      <c r="P1355" s="109"/>
    </row>
    <row r="1356" spans="1:16" ht="9.75" customHeight="1">
      <c r="A1356" s="118"/>
      <c r="B1356" s="105" t="s">
        <v>37</v>
      </c>
      <c r="C1356" s="105"/>
      <c r="D1356" s="106"/>
      <c r="E1356" s="107"/>
      <c r="F1356" s="107"/>
      <c r="G1356" s="107"/>
      <c r="H1356" s="107"/>
      <c r="I1356" s="107"/>
      <c r="J1356" s="107"/>
      <c r="K1356" s="107"/>
      <c r="L1356" s="107"/>
      <c r="M1356" s="108"/>
      <c r="N1356" s="106"/>
      <c r="O1356" s="107"/>
      <c r="P1356" s="109"/>
    </row>
    <row r="1357" spans="1:16" ht="9.75" customHeight="1">
      <c r="A1357" s="32"/>
      <c r="B1357" s="33" t="s">
        <v>38</v>
      </c>
      <c r="C1357" s="33"/>
      <c r="D1357" s="70"/>
      <c r="E1357" s="71"/>
      <c r="F1357" s="71"/>
      <c r="G1357" s="71"/>
      <c r="H1357" s="71"/>
      <c r="I1357" s="71"/>
      <c r="J1357" s="71"/>
      <c r="K1357" s="71"/>
      <c r="L1357" s="71"/>
      <c r="M1357" s="93"/>
      <c r="N1357" s="70"/>
      <c r="O1357" s="71"/>
      <c r="P1357" s="40"/>
    </row>
    <row r="1358" spans="1:16" ht="9.75" customHeight="1">
      <c r="A1358" s="66" t="s">
        <v>245</v>
      </c>
      <c r="B1358" s="66" t="s">
        <v>23</v>
      </c>
      <c r="C1358" s="66">
        <v>23</v>
      </c>
      <c r="D1358" s="158">
        <v>0</v>
      </c>
      <c r="E1358" s="159">
        <v>1</v>
      </c>
      <c r="F1358" s="159">
        <v>0</v>
      </c>
      <c r="G1358" s="159">
        <v>0</v>
      </c>
      <c r="H1358" s="159">
        <v>0</v>
      </c>
      <c r="I1358" s="72">
        <v>3</v>
      </c>
      <c r="J1358" s="72">
        <v>0</v>
      </c>
      <c r="K1358" s="72">
        <v>2</v>
      </c>
      <c r="L1358" s="72">
        <v>8</v>
      </c>
      <c r="M1358" s="73">
        <v>5</v>
      </c>
      <c r="N1358" s="41">
        <f>MIN(D1358:M1358)</f>
        <v>0</v>
      </c>
      <c r="O1358" s="72">
        <f>C1358-N1358</f>
        <v>23</v>
      </c>
      <c r="P1358" s="99">
        <f>O1358/C1358</f>
        <v>1</v>
      </c>
    </row>
    <row r="1359" spans="1:16" ht="9.75" customHeight="1">
      <c r="A1359" s="18"/>
      <c r="B1359" s="18" t="s">
        <v>25</v>
      </c>
      <c r="C1359" s="18"/>
      <c r="D1359" s="26"/>
      <c r="E1359" s="2"/>
      <c r="F1359" s="2"/>
      <c r="G1359" s="2"/>
      <c r="H1359" s="2"/>
      <c r="I1359" s="2"/>
      <c r="J1359" s="2"/>
      <c r="K1359" s="2"/>
      <c r="L1359" s="2"/>
      <c r="M1359" s="27"/>
      <c r="N1359" s="26"/>
      <c r="O1359" s="2"/>
      <c r="P1359" s="24"/>
    </row>
    <row r="1360" spans="1:16" ht="9.75" customHeight="1">
      <c r="A1360" s="18"/>
      <c r="B1360" s="18" t="s">
        <v>27</v>
      </c>
      <c r="C1360" s="18"/>
      <c r="D1360" s="26"/>
      <c r="E1360" s="2"/>
      <c r="F1360" s="2"/>
      <c r="G1360" s="2"/>
      <c r="H1360" s="2"/>
      <c r="I1360" s="2"/>
      <c r="J1360" s="2"/>
      <c r="K1360" s="2"/>
      <c r="L1360" s="2"/>
      <c r="M1360" s="27"/>
      <c r="N1360" s="26"/>
      <c r="O1360" s="2"/>
      <c r="P1360" s="24"/>
    </row>
    <row r="1361" spans="1:16" ht="9.75" customHeight="1">
      <c r="A1361" s="18"/>
      <c r="B1361" s="18" t="s">
        <v>99</v>
      </c>
      <c r="C1361" s="18"/>
      <c r="D1361" s="26"/>
      <c r="E1361" s="2"/>
      <c r="F1361" s="2"/>
      <c r="G1361" s="2"/>
      <c r="H1361" s="2"/>
      <c r="I1361" s="2"/>
      <c r="J1361" s="2"/>
      <c r="K1361" s="2"/>
      <c r="L1361" s="2"/>
      <c r="M1361" s="27"/>
      <c r="N1361" s="26"/>
      <c r="O1361" s="2"/>
      <c r="P1361" s="24"/>
    </row>
    <row r="1362" spans="1:16" ht="9.75" customHeight="1">
      <c r="A1362" s="18"/>
      <c r="B1362" s="18" t="s">
        <v>99</v>
      </c>
      <c r="C1362" s="18"/>
      <c r="D1362" s="26"/>
      <c r="E1362" s="2"/>
      <c r="F1362" s="2"/>
      <c r="G1362" s="2"/>
      <c r="H1362" s="2"/>
      <c r="I1362" s="2"/>
      <c r="J1362" s="2"/>
      <c r="K1362" s="2"/>
      <c r="L1362" s="2"/>
      <c r="M1362" s="27"/>
      <c r="N1362" s="26"/>
      <c r="O1362" s="2"/>
      <c r="P1362" s="24"/>
    </row>
    <row r="1363" spans="1:16" ht="9.75" customHeight="1">
      <c r="A1363" s="18"/>
      <c r="B1363" s="18" t="s">
        <v>32</v>
      </c>
      <c r="C1363" s="18">
        <v>20</v>
      </c>
      <c r="D1363" s="115">
        <v>20</v>
      </c>
      <c r="E1363" s="116">
        <v>20</v>
      </c>
      <c r="F1363" s="116">
        <v>20</v>
      </c>
      <c r="G1363" s="116">
        <v>20</v>
      </c>
      <c r="H1363" s="116">
        <v>20</v>
      </c>
      <c r="I1363" s="2">
        <v>17</v>
      </c>
      <c r="J1363" s="2">
        <v>17</v>
      </c>
      <c r="K1363" s="2">
        <v>17</v>
      </c>
      <c r="L1363" s="2">
        <v>17</v>
      </c>
      <c r="M1363" s="27">
        <v>17</v>
      </c>
      <c r="N1363" s="26">
        <f>MIN(D1363:M1363)</f>
        <v>17</v>
      </c>
      <c r="O1363" s="2">
        <f>C1363-N1363</f>
        <v>3</v>
      </c>
      <c r="P1363" s="24">
        <f>O1363/C1363</f>
        <v>0.15</v>
      </c>
    </row>
    <row r="1364" spans="1:16" ht="9.75" customHeight="1">
      <c r="A1364" s="18"/>
      <c r="B1364" s="18" t="s">
        <v>104</v>
      </c>
      <c r="C1364" s="18"/>
      <c r="D1364" s="26"/>
      <c r="E1364" s="2"/>
      <c r="F1364" s="2"/>
      <c r="G1364" s="2"/>
      <c r="H1364" s="2"/>
      <c r="I1364" s="2"/>
      <c r="J1364" s="2"/>
      <c r="K1364" s="2"/>
      <c r="L1364" s="2"/>
      <c r="M1364" s="27"/>
      <c r="N1364" s="26"/>
      <c r="O1364" s="2"/>
      <c r="P1364" s="24"/>
    </row>
    <row r="1365" spans="1:16" ht="9.75" customHeight="1">
      <c r="A1365" s="18"/>
      <c r="B1365" s="18" t="s">
        <v>104</v>
      </c>
      <c r="C1365" s="18"/>
      <c r="D1365" s="26"/>
      <c r="E1365" s="2"/>
      <c r="F1365" s="2"/>
      <c r="G1365" s="2"/>
      <c r="H1365" s="2"/>
      <c r="I1365" s="2"/>
      <c r="J1365" s="2"/>
      <c r="K1365" s="2"/>
      <c r="L1365" s="2"/>
      <c r="M1365" s="27"/>
      <c r="N1365" s="26"/>
      <c r="O1365" s="2"/>
      <c r="P1365" s="24"/>
    </row>
    <row r="1366" spans="1:16" ht="9.75" customHeight="1">
      <c r="A1366" s="18"/>
      <c r="B1366" s="18" t="s">
        <v>104</v>
      </c>
      <c r="C1366" s="18"/>
      <c r="D1366" s="26"/>
      <c r="E1366" s="2"/>
      <c r="F1366" s="2"/>
      <c r="G1366" s="2"/>
      <c r="H1366" s="2"/>
      <c r="I1366" s="2"/>
      <c r="J1366" s="2"/>
      <c r="K1366" s="2"/>
      <c r="L1366" s="2"/>
      <c r="M1366" s="27"/>
      <c r="N1366" s="26"/>
      <c r="O1366" s="2"/>
      <c r="P1366" s="24"/>
    </row>
    <row r="1367" spans="1:16" ht="9.75" customHeight="1">
      <c r="A1367" s="18"/>
      <c r="B1367" s="18" t="s">
        <v>104</v>
      </c>
      <c r="C1367" s="18"/>
      <c r="D1367" s="26"/>
      <c r="E1367" s="2"/>
      <c r="F1367" s="2"/>
      <c r="G1367" s="2"/>
      <c r="H1367" s="2"/>
      <c r="I1367" s="2"/>
      <c r="J1367" s="2"/>
      <c r="K1367" s="2"/>
      <c r="L1367" s="2"/>
      <c r="M1367" s="27"/>
      <c r="N1367" s="26"/>
      <c r="O1367" s="2"/>
      <c r="P1367" s="24"/>
    </row>
    <row r="1368" spans="1:16" ht="9.75" customHeight="1">
      <c r="A1368" s="18"/>
      <c r="B1368" s="18" t="s">
        <v>104</v>
      </c>
      <c r="C1368" s="18"/>
      <c r="D1368" s="26"/>
      <c r="E1368" s="2"/>
      <c r="F1368" s="2"/>
      <c r="G1368" s="2"/>
      <c r="H1368" s="2"/>
      <c r="I1368" s="2"/>
      <c r="J1368" s="2"/>
      <c r="K1368" s="2"/>
      <c r="L1368" s="2"/>
      <c r="M1368" s="27"/>
      <c r="N1368" s="26"/>
      <c r="O1368" s="2"/>
      <c r="P1368" s="24"/>
    </row>
    <row r="1369" spans="1:16" ht="9.75" customHeight="1">
      <c r="A1369" s="18"/>
      <c r="B1369" s="18" t="s">
        <v>104</v>
      </c>
      <c r="C1369" s="18"/>
      <c r="D1369" s="26"/>
      <c r="E1369" s="2"/>
      <c r="F1369" s="2"/>
      <c r="G1369" s="2"/>
      <c r="H1369" s="2"/>
      <c r="I1369" s="2"/>
      <c r="J1369" s="2"/>
      <c r="K1369" s="2"/>
      <c r="L1369" s="2"/>
      <c r="M1369" s="27"/>
      <c r="N1369" s="26"/>
      <c r="O1369" s="2"/>
      <c r="P1369" s="24"/>
    </row>
    <row r="1370" spans="1:16" ht="9.75" customHeight="1">
      <c r="A1370" s="18"/>
      <c r="B1370" s="18" t="s">
        <v>34</v>
      </c>
      <c r="C1370" s="18">
        <v>7</v>
      </c>
      <c r="D1370" s="115">
        <v>6</v>
      </c>
      <c r="E1370" s="116">
        <v>6</v>
      </c>
      <c r="F1370" s="116">
        <v>4</v>
      </c>
      <c r="G1370" s="116">
        <v>4</v>
      </c>
      <c r="H1370" s="116">
        <v>4</v>
      </c>
      <c r="I1370" s="2">
        <v>4</v>
      </c>
      <c r="J1370" s="2">
        <v>4</v>
      </c>
      <c r="K1370" s="2">
        <v>4</v>
      </c>
      <c r="L1370" s="2">
        <v>5</v>
      </c>
      <c r="M1370" s="27">
        <v>5</v>
      </c>
      <c r="N1370" s="26">
        <f>MIN(D1370:M1370)</f>
        <v>4</v>
      </c>
      <c r="O1370" s="2">
        <f>C1370-N1370</f>
        <v>3</v>
      </c>
      <c r="P1370" s="24">
        <f>O1370/C1370</f>
        <v>0.42857142857142855</v>
      </c>
    </row>
    <row r="1371" spans="1:16" ht="9.75" customHeight="1">
      <c r="A1371" s="18"/>
      <c r="B1371" s="18" t="s">
        <v>35</v>
      </c>
      <c r="C1371" s="18"/>
      <c r="D1371" s="26"/>
      <c r="E1371" s="2"/>
      <c r="F1371" s="2"/>
      <c r="G1371" s="2"/>
      <c r="H1371" s="2"/>
      <c r="I1371" s="2"/>
      <c r="J1371" s="2"/>
      <c r="K1371" s="2"/>
      <c r="L1371" s="2"/>
      <c r="M1371" s="27"/>
      <c r="N1371" s="26"/>
      <c r="O1371" s="2"/>
      <c r="P1371" s="24"/>
    </row>
    <row r="1372" spans="1:16" ht="9.75" customHeight="1">
      <c r="A1372" s="18"/>
      <c r="B1372" s="18" t="s">
        <v>36</v>
      </c>
      <c r="C1372" s="18"/>
      <c r="D1372" s="26"/>
      <c r="E1372" s="2"/>
      <c r="F1372" s="2"/>
      <c r="G1372" s="2"/>
      <c r="H1372" s="2"/>
      <c r="I1372" s="2"/>
      <c r="J1372" s="2"/>
      <c r="K1372" s="2"/>
      <c r="L1372" s="2"/>
      <c r="M1372" s="27"/>
      <c r="N1372" s="26"/>
      <c r="O1372" s="2"/>
      <c r="P1372" s="24"/>
    </row>
    <row r="1373" spans="1:16" ht="9.75" customHeight="1">
      <c r="A1373" s="18"/>
      <c r="B1373" s="18" t="s">
        <v>37</v>
      </c>
      <c r="C1373" s="18"/>
      <c r="D1373" s="26"/>
      <c r="E1373" s="2"/>
      <c r="F1373" s="2"/>
      <c r="G1373" s="2"/>
      <c r="H1373" s="2"/>
      <c r="I1373" s="2"/>
      <c r="J1373" s="2"/>
      <c r="K1373" s="2"/>
      <c r="L1373" s="2"/>
      <c r="M1373" s="27"/>
      <c r="N1373" s="26"/>
      <c r="O1373" s="2"/>
      <c r="P1373" s="24"/>
    </row>
    <row r="1374" spans="1:16" ht="9.75" customHeight="1">
      <c r="A1374" s="32"/>
      <c r="B1374" s="33" t="s">
        <v>38</v>
      </c>
      <c r="C1374" s="33">
        <f t="shared" ref="C1374:M1374" si="253">SUM(C1358:C1373)</f>
        <v>50</v>
      </c>
      <c r="D1374" s="70">
        <f t="shared" si="253"/>
        <v>26</v>
      </c>
      <c r="E1374" s="71">
        <f t="shared" si="253"/>
        <v>27</v>
      </c>
      <c r="F1374" s="71">
        <f t="shared" si="253"/>
        <v>24</v>
      </c>
      <c r="G1374" s="71">
        <f t="shared" si="253"/>
        <v>24</v>
      </c>
      <c r="H1374" s="71">
        <f t="shared" si="253"/>
        <v>24</v>
      </c>
      <c r="I1374" s="71">
        <f t="shared" si="253"/>
        <v>24</v>
      </c>
      <c r="J1374" s="71">
        <f t="shared" si="253"/>
        <v>21</v>
      </c>
      <c r="K1374" s="71">
        <f t="shared" si="253"/>
        <v>23</v>
      </c>
      <c r="L1374" s="71">
        <f t="shared" si="253"/>
        <v>30</v>
      </c>
      <c r="M1374" s="93">
        <f t="shared" si="253"/>
        <v>27</v>
      </c>
      <c r="N1374" s="70">
        <f>MIN(D1374:M1374)</f>
        <v>21</v>
      </c>
      <c r="O1374" s="71">
        <f>C1374-N1374</f>
        <v>29</v>
      </c>
      <c r="P1374" s="40">
        <f>O1374/C1374</f>
        <v>0.57999999999999996</v>
      </c>
    </row>
    <row r="1375" spans="1:16" ht="9.75" customHeight="1">
      <c r="A1375" s="66" t="s">
        <v>246</v>
      </c>
      <c r="B1375" s="66" t="s">
        <v>23</v>
      </c>
      <c r="C1375" s="66"/>
      <c r="D1375" s="41"/>
      <c r="E1375" s="72"/>
      <c r="F1375" s="72"/>
      <c r="G1375" s="72"/>
      <c r="H1375" s="72"/>
      <c r="I1375" s="72"/>
      <c r="J1375" s="72"/>
      <c r="K1375" s="72"/>
      <c r="L1375" s="72"/>
      <c r="M1375" s="73"/>
      <c r="N1375" s="41"/>
      <c r="O1375" s="72"/>
      <c r="P1375" s="99"/>
    </row>
    <row r="1376" spans="1:16" ht="9.75" customHeight="1">
      <c r="A1376" s="18"/>
      <c r="B1376" s="18" t="s">
        <v>25</v>
      </c>
      <c r="C1376" s="18">
        <v>93</v>
      </c>
      <c r="D1376" s="26">
        <f>C1376-49</f>
        <v>44</v>
      </c>
      <c r="E1376" s="2">
        <v>40</v>
      </c>
      <c r="F1376" s="2">
        <v>34</v>
      </c>
      <c r="G1376" s="2">
        <v>34</v>
      </c>
      <c r="H1376" s="2">
        <v>34</v>
      </c>
      <c r="I1376" s="116">
        <v>31</v>
      </c>
      <c r="J1376" s="116">
        <v>30</v>
      </c>
      <c r="K1376" s="116">
        <v>35</v>
      </c>
      <c r="L1376" s="116">
        <v>35</v>
      </c>
      <c r="M1376" s="147">
        <v>37</v>
      </c>
      <c r="N1376" s="26">
        <f>MIN(D1376:M1376)</f>
        <v>30</v>
      </c>
      <c r="O1376" s="2">
        <f>C1376-N1376</f>
        <v>63</v>
      </c>
      <c r="P1376" s="24">
        <f>O1376/C1376</f>
        <v>0.67741935483870963</v>
      </c>
    </row>
    <row r="1377" spans="1:16" ht="9.75" customHeight="1">
      <c r="A1377" s="18"/>
      <c r="B1377" s="18" t="s">
        <v>27</v>
      </c>
      <c r="C1377" s="18"/>
      <c r="D1377" s="26"/>
      <c r="E1377" s="2"/>
      <c r="F1377" s="2"/>
      <c r="G1377" s="2"/>
      <c r="H1377" s="2"/>
      <c r="I1377" s="2"/>
      <c r="J1377" s="2"/>
      <c r="K1377" s="2"/>
      <c r="L1377" s="2"/>
      <c r="M1377" s="27"/>
      <c r="N1377" s="26"/>
      <c r="O1377" s="2"/>
      <c r="P1377" s="24"/>
    </row>
    <row r="1378" spans="1:16" ht="9.75" customHeight="1">
      <c r="A1378" s="18"/>
      <c r="B1378" s="18" t="s">
        <v>99</v>
      </c>
      <c r="C1378" s="18"/>
      <c r="D1378" s="26"/>
      <c r="E1378" s="2"/>
      <c r="F1378" s="2"/>
      <c r="G1378" s="2"/>
      <c r="H1378" s="2"/>
      <c r="I1378" s="2"/>
      <c r="J1378" s="2"/>
      <c r="K1378" s="2"/>
      <c r="L1378" s="2"/>
      <c r="M1378" s="27"/>
      <c r="N1378" s="26"/>
      <c r="O1378" s="2"/>
      <c r="P1378" s="24"/>
    </row>
    <row r="1379" spans="1:16" ht="9.75" customHeight="1">
      <c r="A1379" s="18"/>
      <c r="B1379" s="18" t="s">
        <v>99</v>
      </c>
      <c r="C1379" s="176"/>
      <c r="D1379" s="26"/>
      <c r="E1379" s="2"/>
      <c r="F1379" s="2"/>
      <c r="G1379" s="2"/>
      <c r="H1379" s="2"/>
      <c r="I1379" s="2"/>
      <c r="J1379" s="2"/>
      <c r="K1379" s="2"/>
      <c r="L1379" s="2"/>
      <c r="M1379" s="27"/>
      <c r="N1379" s="26"/>
      <c r="O1379" s="2"/>
      <c r="P1379" s="24"/>
    </row>
    <row r="1380" spans="1:16" ht="9.75" customHeight="1">
      <c r="A1380" s="18"/>
      <c r="B1380" s="18" t="s">
        <v>32</v>
      </c>
      <c r="C1380" s="18">
        <v>2</v>
      </c>
      <c r="D1380" s="26">
        <v>1</v>
      </c>
      <c r="E1380" s="2">
        <v>1</v>
      </c>
      <c r="F1380" s="2">
        <v>1</v>
      </c>
      <c r="G1380" s="2">
        <v>1</v>
      </c>
      <c r="H1380" s="2">
        <v>1</v>
      </c>
      <c r="I1380" s="116">
        <v>1</v>
      </c>
      <c r="J1380" s="116">
        <v>1</v>
      </c>
      <c r="K1380" s="116">
        <v>1</v>
      </c>
      <c r="L1380" s="116">
        <v>1</v>
      </c>
      <c r="M1380" s="147">
        <v>1</v>
      </c>
      <c r="N1380" s="26">
        <f>MIN(D1380:M1380)</f>
        <v>1</v>
      </c>
      <c r="O1380" s="2">
        <f>C1380-N1380</f>
        <v>1</v>
      </c>
      <c r="P1380" s="24">
        <f>O1380/C1380</f>
        <v>0.5</v>
      </c>
    </row>
    <row r="1381" spans="1:16" ht="9.75" customHeight="1">
      <c r="A1381" s="18"/>
      <c r="B1381" s="18" t="s">
        <v>174</v>
      </c>
      <c r="C1381" s="18"/>
      <c r="D1381" s="26"/>
      <c r="E1381" s="2"/>
      <c r="F1381" s="2"/>
      <c r="G1381" s="2"/>
      <c r="H1381" s="2"/>
      <c r="I1381" s="2"/>
      <c r="J1381" s="2"/>
      <c r="K1381" s="2"/>
      <c r="L1381" s="2"/>
      <c r="M1381" s="27"/>
      <c r="N1381" s="26"/>
      <c r="O1381" s="2"/>
      <c r="P1381" s="24"/>
    </row>
    <row r="1382" spans="1:16" ht="9.75" customHeight="1">
      <c r="A1382" s="18"/>
      <c r="B1382" s="18" t="s">
        <v>104</v>
      </c>
      <c r="C1382" s="18"/>
      <c r="D1382" s="26"/>
      <c r="E1382" s="2"/>
      <c r="F1382" s="2"/>
      <c r="G1382" s="2"/>
      <c r="H1382" s="2"/>
      <c r="I1382" s="2"/>
      <c r="J1382" s="2"/>
      <c r="K1382" s="2"/>
      <c r="L1382" s="2"/>
      <c r="M1382" s="27"/>
      <c r="N1382" s="26"/>
      <c r="O1382" s="2"/>
      <c r="P1382" s="24"/>
    </row>
    <row r="1383" spans="1:16" ht="9.75" customHeight="1">
      <c r="A1383" s="18"/>
      <c r="B1383" s="18" t="s">
        <v>104</v>
      </c>
      <c r="C1383" s="18"/>
      <c r="D1383" s="26"/>
      <c r="E1383" s="2"/>
      <c r="F1383" s="2"/>
      <c r="G1383" s="2"/>
      <c r="H1383" s="2"/>
      <c r="I1383" s="2"/>
      <c r="J1383" s="2"/>
      <c r="K1383" s="2"/>
      <c r="L1383" s="2"/>
      <c r="M1383" s="27"/>
      <c r="N1383" s="26"/>
      <c r="O1383" s="2"/>
      <c r="P1383" s="24"/>
    </row>
    <row r="1384" spans="1:16" ht="9.75" customHeight="1">
      <c r="A1384" s="18"/>
      <c r="B1384" s="18" t="s">
        <v>104</v>
      </c>
      <c r="C1384" s="18"/>
      <c r="D1384" s="26"/>
      <c r="E1384" s="2"/>
      <c r="F1384" s="2"/>
      <c r="G1384" s="2"/>
      <c r="H1384" s="2"/>
      <c r="I1384" s="2"/>
      <c r="J1384" s="2"/>
      <c r="K1384" s="2"/>
      <c r="L1384" s="2"/>
      <c r="M1384" s="27"/>
      <c r="N1384" s="26"/>
      <c r="O1384" s="2"/>
      <c r="P1384" s="24"/>
    </row>
    <row r="1385" spans="1:16" ht="9.75" customHeight="1">
      <c r="A1385" s="18"/>
      <c r="B1385" s="18" t="s">
        <v>104</v>
      </c>
      <c r="C1385" s="18"/>
      <c r="D1385" s="26"/>
      <c r="E1385" s="2"/>
      <c r="F1385" s="2"/>
      <c r="G1385" s="2"/>
      <c r="H1385" s="2"/>
      <c r="I1385" s="2"/>
      <c r="J1385" s="2"/>
      <c r="K1385" s="2"/>
      <c r="L1385" s="2"/>
      <c r="M1385" s="27"/>
      <c r="N1385" s="26"/>
      <c r="O1385" s="2"/>
      <c r="P1385" s="24"/>
    </row>
    <row r="1386" spans="1:16" ht="9.75" customHeight="1">
      <c r="A1386" s="18"/>
      <c r="B1386" s="18" t="s">
        <v>104</v>
      </c>
      <c r="C1386" s="18"/>
      <c r="D1386" s="26"/>
      <c r="E1386" s="2"/>
      <c r="F1386" s="2"/>
      <c r="G1386" s="2"/>
      <c r="H1386" s="2"/>
      <c r="I1386" s="2"/>
      <c r="J1386" s="2"/>
      <c r="K1386" s="2"/>
      <c r="L1386" s="2"/>
      <c r="M1386" s="27"/>
      <c r="N1386" s="26"/>
      <c r="O1386" s="2"/>
      <c r="P1386" s="24"/>
    </row>
    <row r="1387" spans="1:16" ht="9.75" customHeight="1">
      <c r="A1387" s="18"/>
      <c r="B1387" s="18" t="s">
        <v>34</v>
      </c>
      <c r="C1387" s="18">
        <v>2</v>
      </c>
      <c r="D1387" s="26">
        <v>1</v>
      </c>
      <c r="E1387" s="2">
        <v>1</v>
      </c>
      <c r="F1387" s="2">
        <v>1</v>
      </c>
      <c r="G1387" s="2">
        <v>1</v>
      </c>
      <c r="H1387" s="2">
        <v>1</v>
      </c>
      <c r="I1387" s="116">
        <v>1</v>
      </c>
      <c r="J1387" s="116">
        <v>1</v>
      </c>
      <c r="K1387" s="116">
        <v>1</v>
      </c>
      <c r="L1387" s="116">
        <v>2</v>
      </c>
      <c r="M1387" s="147">
        <v>2</v>
      </c>
      <c r="N1387" s="26">
        <f>MIN(D1387:M1387)</f>
        <v>1</v>
      </c>
      <c r="O1387" s="2">
        <f>C1387-N1387</f>
        <v>1</v>
      </c>
      <c r="P1387" s="24">
        <f>O1387/C1387</f>
        <v>0.5</v>
      </c>
    </row>
    <row r="1388" spans="1:16" ht="9.75" customHeight="1">
      <c r="A1388" s="18"/>
      <c r="B1388" s="18" t="s">
        <v>35</v>
      </c>
      <c r="C1388" s="18"/>
      <c r="D1388" s="26"/>
      <c r="E1388" s="2"/>
      <c r="F1388" s="2"/>
      <c r="G1388" s="2"/>
      <c r="H1388" s="2"/>
      <c r="I1388" s="2"/>
      <c r="J1388" s="2"/>
      <c r="K1388" s="2"/>
      <c r="L1388" s="2"/>
      <c r="M1388" s="27"/>
      <c r="N1388" s="26"/>
      <c r="O1388" s="2"/>
      <c r="P1388" s="24"/>
    </row>
    <row r="1389" spans="1:16" ht="9.75" customHeight="1">
      <c r="A1389" s="18"/>
      <c r="B1389" s="18" t="s">
        <v>36</v>
      </c>
      <c r="C1389" s="18"/>
      <c r="D1389" s="26"/>
      <c r="E1389" s="2"/>
      <c r="F1389" s="2"/>
      <c r="G1389" s="2"/>
      <c r="H1389" s="2"/>
      <c r="I1389" s="2"/>
      <c r="J1389" s="2"/>
      <c r="K1389" s="2"/>
      <c r="L1389" s="2"/>
      <c r="M1389" s="27"/>
      <c r="N1389" s="26"/>
      <c r="O1389" s="2"/>
      <c r="P1389" s="24"/>
    </row>
    <row r="1390" spans="1:16" ht="9.75" customHeight="1">
      <c r="A1390" s="18"/>
      <c r="B1390" s="18" t="s">
        <v>37</v>
      </c>
      <c r="C1390" s="18">
        <v>2</v>
      </c>
      <c r="D1390" s="26">
        <v>2</v>
      </c>
      <c r="E1390" s="2">
        <v>2</v>
      </c>
      <c r="F1390" s="2">
        <v>1</v>
      </c>
      <c r="G1390" s="2">
        <v>1</v>
      </c>
      <c r="H1390" s="2">
        <v>1</v>
      </c>
      <c r="I1390" s="116">
        <v>1</v>
      </c>
      <c r="J1390" s="116">
        <v>1</v>
      </c>
      <c r="K1390" s="116">
        <v>1</v>
      </c>
      <c r="L1390" s="116">
        <v>1</v>
      </c>
      <c r="M1390" s="147">
        <v>2</v>
      </c>
      <c r="N1390" s="26">
        <f t="shared" ref="N1390:N1391" si="254">MIN(D1390:M1390)</f>
        <v>1</v>
      </c>
      <c r="O1390" s="2">
        <f t="shared" ref="O1390:O1391" si="255">C1390-N1390</f>
        <v>1</v>
      </c>
      <c r="P1390" s="24">
        <f t="shared" ref="P1390:P1391" si="256">O1390/C1390</f>
        <v>0.5</v>
      </c>
    </row>
    <row r="1391" spans="1:16" ht="9.75" customHeight="1">
      <c r="A1391" s="32"/>
      <c r="B1391" s="33" t="s">
        <v>38</v>
      </c>
      <c r="C1391" s="33">
        <f t="shared" ref="C1391:M1391" si="257">SUM(C1375:C1390)</f>
        <v>99</v>
      </c>
      <c r="D1391" s="70">
        <f t="shared" si="257"/>
        <v>48</v>
      </c>
      <c r="E1391" s="71">
        <f t="shared" si="257"/>
        <v>44</v>
      </c>
      <c r="F1391" s="71">
        <f t="shared" si="257"/>
        <v>37</v>
      </c>
      <c r="G1391" s="71">
        <f t="shared" si="257"/>
        <v>37</v>
      </c>
      <c r="H1391" s="71">
        <f t="shared" si="257"/>
        <v>37</v>
      </c>
      <c r="I1391" s="71">
        <f t="shared" si="257"/>
        <v>34</v>
      </c>
      <c r="J1391" s="71">
        <f t="shared" si="257"/>
        <v>33</v>
      </c>
      <c r="K1391" s="71">
        <f t="shared" si="257"/>
        <v>38</v>
      </c>
      <c r="L1391" s="71">
        <f t="shared" si="257"/>
        <v>39</v>
      </c>
      <c r="M1391" s="93">
        <f t="shared" si="257"/>
        <v>42</v>
      </c>
      <c r="N1391" s="70">
        <f t="shared" si="254"/>
        <v>33</v>
      </c>
      <c r="O1391" s="71">
        <f t="shared" si="255"/>
        <v>66</v>
      </c>
      <c r="P1391" s="40">
        <f t="shared" si="256"/>
        <v>0.66666666666666663</v>
      </c>
    </row>
    <row r="1392" spans="1:16" ht="9.75" customHeight="1">
      <c r="A1392" s="18" t="s">
        <v>247</v>
      </c>
      <c r="B1392" s="18" t="s">
        <v>23</v>
      </c>
      <c r="C1392" s="18"/>
      <c r="D1392" s="26"/>
      <c r="E1392" s="2"/>
      <c r="F1392" s="2"/>
      <c r="G1392" s="2"/>
      <c r="H1392" s="2"/>
      <c r="I1392" s="2"/>
      <c r="J1392" s="2"/>
      <c r="K1392" s="2"/>
      <c r="L1392" s="2"/>
      <c r="M1392" s="27"/>
      <c r="N1392" s="26"/>
      <c r="O1392" s="2"/>
      <c r="P1392" s="24"/>
    </row>
    <row r="1393" spans="1:16" ht="9.75" customHeight="1">
      <c r="A1393" s="18"/>
      <c r="B1393" s="18" t="s">
        <v>25</v>
      </c>
      <c r="C1393" s="18">
        <v>18</v>
      </c>
      <c r="D1393" s="26">
        <v>11</v>
      </c>
      <c r="E1393" s="2">
        <v>9</v>
      </c>
      <c r="F1393" s="2">
        <v>9</v>
      </c>
      <c r="G1393" s="2">
        <v>9</v>
      </c>
      <c r="H1393" s="2">
        <v>9</v>
      </c>
      <c r="I1393" s="116">
        <v>7</v>
      </c>
      <c r="J1393" s="116">
        <v>8</v>
      </c>
      <c r="K1393" s="116">
        <v>9</v>
      </c>
      <c r="L1393" s="116">
        <v>10</v>
      </c>
      <c r="M1393" s="147">
        <v>10</v>
      </c>
      <c r="N1393" s="26">
        <f>MIN(D1393:M1393)</f>
        <v>7</v>
      </c>
      <c r="O1393" s="2">
        <f>C1393-N1393</f>
        <v>11</v>
      </c>
      <c r="P1393" s="24">
        <f>O1393/C1393</f>
        <v>0.61111111111111116</v>
      </c>
    </row>
    <row r="1394" spans="1:16" ht="9.75" customHeight="1">
      <c r="A1394" s="18"/>
      <c r="B1394" s="18" t="s">
        <v>27</v>
      </c>
      <c r="C1394" s="18"/>
      <c r="D1394" s="26"/>
      <c r="E1394" s="2"/>
      <c r="F1394" s="2"/>
      <c r="G1394" s="2"/>
      <c r="H1394" s="2"/>
      <c r="I1394" s="2"/>
      <c r="J1394" s="2"/>
      <c r="K1394" s="2"/>
      <c r="L1394" s="2"/>
      <c r="M1394" s="27"/>
      <c r="N1394" s="26"/>
      <c r="O1394" s="2"/>
      <c r="P1394" s="24"/>
    </row>
    <row r="1395" spans="1:16" ht="9.75" customHeight="1">
      <c r="A1395" s="18"/>
      <c r="B1395" s="18" t="s">
        <v>99</v>
      </c>
      <c r="C1395" s="18"/>
      <c r="D1395" s="26"/>
      <c r="E1395" s="2"/>
      <c r="F1395" s="2"/>
      <c r="G1395" s="2"/>
      <c r="H1395" s="2"/>
      <c r="I1395" s="2"/>
      <c r="J1395" s="2"/>
      <c r="K1395" s="2"/>
      <c r="L1395" s="2"/>
      <c r="M1395" s="27"/>
      <c r="N1395" s="26"/>
      <c r="O1395" s="2"/>
      <c r="P1395" s="24"/>
    </row>
    <row r="1396" spans="1:16" ht="9.75" customHeight="1">
      <c r="A1396" s="18"/>
      <c r="B1396" s="18" t="s">
        <v>99</v>
      </c>
      <c r="C1396" s="18"/>
      <c r="D1396" s="26"/>
      <c r="E1396" s="2"/>
      <c r="F1396" s="2"/>
      <c r="G1396" s="2"/>
      <c r="H1396" s="2"/>
      <c r="I1396" s="2"/>
      <c r="J1396" s="2"/>
      <c r="K1396" s="2"/>
      <c r="L1396" s="2"/>
      <c r="M1396" s="27"/>
      <c r="N1396" s="26"/>
      <c r="O1396" s="2"/>
      <c r="P1396" s="24"/>
    </row>
    <row r="1397" spans="1:16" ht="9.75" customHeight="1">
      <c r="A1397" s="18"/>
      <c r="B1397" s="18" t="s">
        <v>32</v>
      </c>
      <c r="C1397" s="18"/>
      <c r="D1397" s="26"/>
      <c r="E1397" s="2"/>
      <c r="F1397" s="2"/>
      <c r="G1397" s="2"/>
      <c r="H1397" s="2"/>
      <c r="I1397" s="2"/>
      <c r="J1397" s="2"/>
      <c r="K1397" s="2"/>
      <c r="L1397" s="2"/>
      <c r="M1397" s="27"/>
      <c r="N1397" s="26"/>
      <c r="O1397" s="2"/>
      <c r="P1397" s="24"/>
    </row>
    <row r="1398" spans="1:16" ht="9.75" customHeight="1">
      <c r="A1398" s="18"/>
      <c r="B1398" s="18" t="s">
        <v>174</v>
      </c>
      <c r="C1398" s="18"/>
      <c r="D1398" s="26"/>
      <c r="E1398" s="2"/>
      <c r="F1398" s="2"/>
      <c r="G1398" s="2"/>
      <c r="H1398" s="2"/>
      <c r="I1398" s="2"/>
      <c r="J1398" s="2"/>
      <c r="K1398" s="2"/>
      <c r="L1398" s="2"/>
      <c r="M1398" s="27"/>
      <c r="N1398" s="26"/>
      <c r="O1398" s="2"/>
      <c r="P1398" s="24"/>
    </row>
    <row r="1399" spans="1:16" ht="9.75" customHeight="1">
      <c r="A1399" s="18"/>
      <c r="B1399" s="18" t="s">
        <v>104</v>
      </c>
      <c r="C1399" s="18"/>
      <c r="D1399" s="26"/>
      <c r="E1399" s="2"/>
      <c r="F1399" s="2"/>
      <c r="G1399" s="2"/>
      <c r="H1399" s="2"/>
      <c r="I1399" s="2"/>
      <c r="J1399" s="2"/>
      <c r="K1399" s="2"/>
      <c r="L1399" s="2"/>
      <c r="M1399" s="27"/>
      <c r="N1399" s="26"/>
      <c r="O1399" s="2"/>
      <c r="P1399" s="24"/>
    </row>
    <row r="1400" spans="1:16" ht="9.75" customHeight="1">
      <c r="A1400" s="18"/>
      <c r="B1400" s="18" t="s">
        <v>104</v>
      </c>
      <c r="C1400" s="18"/>
      <c r="D1400" s="26"/>
      <c r="E1400" s="2"/>
      <c r="F1400" s="2"/>
      <c r="G1400" s="2"/>
      <c r="H1400" s="2"/>
      <c r="I1400" s="2"/>
      <c r="J1400" s="2"/>
      <c r="K1400" s="2"/>
      <c r="L1400" s="2"/>
      <c r="M1400" s="27"/>
      <c r="N1400" s="26"/>
      <c r="O1400" s="2"/>
      <c r="P1400" s="24"/>
    </row>
    <row r="1401" spans="1:16" ht="9.75" customHeight="1">
      <c r="A1401" s="18"/>
      <c r="B1401" s="18" t="s">
        <v>104</v>
      </c>
      <c r="C1401" s="18"/>
      <c r="D1401" s="26"/>
      <c r="E1401" s="2"/>
      <c r="F1401" s="2"/>
      <c r="G1401" s="2"/>
      <c r="H1401" s="2"/>
      <c r="I1401" s="2"/>
      <c r="J1401" s="2"/>
      <c r="K1401" s="2"/>
      <c r="L1401" s="2"/>
      <c r="M1401" s="27"/>
      <c r="N1401" s="26"/>
      <c r="O1401" s="2"/>
      <c r="P1401" s="24"/>
    </row>
    <row r="1402" spans="1:16" ht="9.75" customHeight="1">
      <c r="A1402" s="18"/>
      <c r="B1402" s="18" t="s">
        <v>104</v>
      </c>
      <c r="C1402" s="18"/>
      <c r="D1402" s="26"/>
      <c r="E1402" s="2"/>
      <c r="F1402" s="2"/>
      <c r="G1402" s="2"/>
      <c r="H1402" s="2"/>
      <c r="I1402" s="2"/>
      <c r="J1402" s="2"/>
      <c r="K1402" s="2"/>
      <c r="L1402" s="2"/>
      <c r="M1402" s="27"/>
      <c r="N1402" s="26"/>
      <c r="O1402" s="2"/>
      <c r="P1402" s="24"/>
    </row>
    <row r="1403" spans="1:16" ht="9.75" customHeight="1">
      <c r="A1403" s="18"/>
      <c r="B1403" s="18" t="s">
        <v>104</v>
      </c>
      <c r="C1403" s="18"/>
      <c r="D1403" s="26"/>
      <c r="E1403" s="2"/>
      <c r="F1403" s="2"/>
      <c r="G1403" s="2"/>
      <c r="H1403" s="2"/>
      <c r="I1403" s="2"/>
      <c r="J1403" s="2"/>
      <c r="K1403" s="2"/>
      <c r="L1403" s="2"/>
      <c r="M1403" s="27"/>
      <c r="N1403" s="26"/>
      <c r="O1403" s="2"/>
      <c r="P1403" s="24"/>
    </row>
    <row r="1404" spans="1:16" ht="9.75" customHeight="1">
      <c r="A1404" s="18"/>
      <c r="B1404" s="18" t="s">
        <v>34</v>
      </c>
      <c r="C1404" s="18">
        <v>2</v>
      </c>
      <c r="D1404" s="26">
        <v>2</v>
      </c>
      <c r="E1404" s="2">
        <v>2</v>
      </c>
      <c r="F1404" s="2">
        <v>2</v>
      </c>
      <c r="G1404" s="2">
        <v>2</v>
      </c>
      <c r="H1404" s="2">
        <v>2</v>
      </c>
      <c r="I1404" s="116">
        <v>2</v>
      </c>
      <c r="J1404" s="116">
        <v>1</v>
      </c>
      <c r="K1404" s="116">
        <v>1</v>
      </c>
      <c r="L1404" s="116">
        <v>1</v>
      </c>
      <c r="M1404" s="147">
        <v>1</v>
      </c>
      <c r="N1404" s="26">
        <f>MIN(D1404:M1404)</f>
        <v>1</v>
      </c>
      <c r="O1404" s="2">
        <f>C1404-N1404</f>
        <v>1</v>
      </c>
      <c r="P1404" s="24">
        <f>O1404/C1404</f>
        <v>0.5</v>
      </c>
    </row>
    <row r="1405" spans="1:16" ht="9.75" customHeight="1">
      <c r="A1405" s="18"/>
      <c r="B1405" s="18" t="s">
        <v>35</v>
      </c>
      <c r="C1405" s="18"/>
      <c r="D1405" s="26"/>
      <c r="E1405" s="2"/>
      <c r="F1405" s="2"/>
      <c r="G1405" s="2"/>
      <c r="H1405" s="2"/>
      <c r="I1405" s="2"/>
      <c r="J1405" s="2"/>
      <c r="K1405" s="2"/>
      <c r="L1405" s="2"/>
      <c r="M1405" s="27"/>
      <c r="N1405" s="26"/>
      <c r="O1405" s="2"/>
      <c r="P1405" s="24"/>
    </row>
    <row r="1406" spans="1:16" ht="9.75" customHeight="1">
      <c r="A1406" s="18"/>
      <c r="B1406" s="18" t="s">
        <v>36</v>
      </c>
      <c r="C1406" s="18"/>
      <c r="D1406" s="26"/>
      <c r="E1406" s="2"/>
      <c r="F1406" s="2"/>
      <c r="G1406" s="2"/>
      <c r="H1406" s="2"/>
      <c r="I1406" s="2"/>
      <c r="J1406" s="2"/>
      <c r="K1406" s="2"/>
      <c r="L1406" s="2"/>
      <c r="M1406" s="27"/>
      <c r="N1406" s="26"/>
      <c r="O1406" s="2"/>
      <c r="P1406" s="24"/>
    </row>
    <row r="1407" spans="1:16" ht="9.75" customHeight="1">
      <c r="A1407" s="18"/>
      <c r="B1407" s="18" t="s">
        <v>37</v>
      </c>
      <c r="C1407" s="18">
        <v>2</v>
      </c>
      <c r="D1407" s="26">
        <v>2</v>
      </c>
      <c r="E1407" s="2">
        <v>2</v>
      </c>
      <c r="F1407" s="2">
        <v>2</v>
      </c>
      <c r="G1407" s="2">
        <v>2</v>
      </c>
      <c r="H1407" s="2">
        <v>2</v>
      </c>
      <c r="I1407" s="116">
        <v>2</v>
      </c>
      <c r="J1407" s="116">
        <v>2</v>
      </c>
      <c r="K1407" s="116">
        <v>1</v>
      </c>
      <c r="L1407" s="116">
        <v>1</v>
      </c>
      <c r="M1407" s="147">
        <v>1</v>
      </c>
      <c r="N1407" s="26">
        <f t="shared" ref="N1407:N1408" si="258">MIN(D1407:M1407)</f>
        <v>1</v>
      </c>
      <c r="O1407" s="2">
        <f t="shared" ref="O1407:O1408" si="259">C1407-N1407</f>
        <v>1</v>
      </c>
      <c r="P1407" s="24">
        <f t="shared" ref="P1407:P1408" si="260">O1407/C1407</f>
        <v>0.5</v>
      </c>
    </row>
    <row r="1408" spans="1:16" ht="9.75" customHeight="1">
      <c r="A1408" s="18"/>
      <c r="B1408" s="33" t="s">
        <v>38</v>
      </c>
      <c r="C1408" s="33">
        <f t="shared" ref="C1408:M1408" si="261">SUM(C1392:C1407)</f>
        <v>22</v>
      </c>
      <c r="D1408" s="70">
        <f t="shared" si="261"/>
        <v>15</v>
      </c>
      <c r="E1408" s="71">
        <f t="shared" si="261"/>
        <v>13</v>
      </c>
      <c r="F1408" s="71">
        <f t="shared" si="261"/>
        <v>13</v>
      </c>
      <c r="G1408" s="71">
        <f t="shared" si="261"/>
        <v>13</v>
      </c>
      <c r="H1408" s="71">
        <f t="shared" si="261"/>
        <v>13</v>
      </c>
      <c r="I1408" s="71">
        <f t="shared" si="261"/>
        <v>11</v>
      </c>
      <c r="J1408" s="71">
        <f t="shared" si="261"/>
        <v>11</v>
      </c>
      <c r="K1408" s="71">
        <f t="shared" si="261"/>
        <v>11</v>
      </c>
      <c r="L1408" s="71">
        <f t="shared" si="261"/>
        <v>12</v>
      </c>
      <c r="M1408" s="93">
        <f t="shared" si="261"/>
        <v>12</v>
      </c>
      <c r="N1408" s="70">
        <f t="shared" si="258"/>
        <v>11</v>
      </c>
      <c r="O1408" s="71">
        <f t="shared" si="259"/>
        <v>11</v>
      </c>
      <c r="P1408" s="40">
        <f t="shared" si="260"/>
        <v>0.5</v>
      </c>
    </row>
    <row r="1409" spans="1:16" ht="9.75" customHeight="1">
      <c r="A1409" s="66" t="s">
        <v>248</v>
      </c>
      <c r="B1409" s="66" t="s">
        <v>23</v>
      </c>
      <c r="C1409" s="66"/>
      <c r="D1409" s="41"/>
      <c r="E1409" s="72"/>
      <c r="F1409" s="72"/>
      <c r="G1409" s="72"/>
      <c r="H1409" s="72"/>
      <c r="I1409" s="72"/>
      <c r="J1409" s="72"/>
      <c r="K1409" s="72"/>
      <c r="L1409" s="72"/>
      <c r="M1409" s="73"/>
      <c r="N1409" s="41"/>
      <c r="O1409" s="72"/>
      <c r="P1409" s="99"/>
    </row>
    <row r="1410" spans="1:16" ht="9.75" customHeight="1">
      <c r="A1410" s="18"/>
      <c r="B1410" s="18" t="s">
        <v>25</v>
      </c>
      <c r="C1410" s="18"/>
      <c r="D1410" s="26"/>
      <c r="E1410" s="2"/>
      <c r="F1410" s="2"/>
      <c r="G1410" s="2"/>
      <c r="H1410" s="2"/>
      <c r="I1410" s="2"/>
      <c r="J1410" s="2"/>
      <c r="K1410" s="2"/>
      <c r="L1410" s="2"/>
      <c r="M1410" s="27"/>
      <c r="N1410" s="26"/>
      <c r="O1410" s="2"/>
      <c r="P1410" s="24"/>
    </row>
    <row r="1411" spans="1:16" ht="9.75" customHeight="1">
      <c r="A1411" s="18"/>
      <c r="B1411" s="18" t="s">
        <v>27</v>
      </c>
      <c r="C1411" s="18"/>
      <c r="D1411" s="26"/>
      <c r="E1411" s="2"/>
      <c r="F1411" s="2"/>
      <c r="G1411" s="2"/>
      <c r="H1411" s="2"/>
      <c r="I1411" s="2"/>
      <c r="J1411" s="2"/>
      <c r="K1411" s="2"/>
      <c r="L1411" s="2"/>
      <c r="M1411" s="27"/>
      <c r="N1411" s="26"/>
      <c r="O1411" s="2"/>
      <c r="P1411" s="24"/>
    </row>
    <row r="1412" spans="1:16" ht="9.75" customHeight="1">
      <c r="A1412" s="18"/>
      <c r="B1412" s="18" t="s">
        <v>99</v>
      </c>
      <c r="C1412" s="18"/>
      <c r="D1412" s="26"/>
      <c r="E1412" s="2"/>
      <c r="F1412" s="2"/>
      <c r="G1412" s="2"/>
      <c r="H1412" s="2"/>
      <c r="I1412" s="2"/>
      <c r="J1412" s="2"/>
      <c r="K1412" s="2"/>
      <c r="L1412" s="2"/>
      <c r="M1412" s="27"/>
      <c r="N1412" s="26"/>
      <c r="O1412" s="2"/>
      <c r="P1412" s="24"/>
    </row>
    <row r="1413" spans="1:16" ht="9.75" customHeight="1">
      <c r="A1413" s="18"/>
      <c r="B1413" s="18" t="s">
        <v>99</v>
      </c>
      <c r="C1413" s="18"/>
      <c r="D1413" s="26"/>
      <c r="E1413" s="2"/>
      <c r="F1413" s="2"/>
      <c r="G1413" s="2"/>
      <c r="H1413" s="2"/>
      <c r="I1413" s="2"/>
      <c r="J1413" s="2"/>
      <c r="K1413" s="2"/>
      <c r="L1413" s="2"/>
      <c r="M1413" s="27"/>
      <c r="N1413" s="26"/>
      <c r="O1413" s="2"/>
      <c r="P1413" s="24"/>
    </row>
    <row r="1414" spans="1:16" ht="9.75" customHeight="1">
      <c r="A1414" s="18"/>
      <c r="B1414" s="18" t="s">
        <v>32</v>
      </c>
      <c r="C1414" s="18"/>
      <c r="D1414" s="26"/>
      <c r="E1414" s="2"/>
      <c r="F1414" s="2"/>
      <c r="G1414" s="2"/>
      <c r="H1414" s="2"/>
      <c r="I1414" s="2"/>
      <c r="J1414" s="2"/>
      <c r="K1414" s="2"/>
      <c r="L1414" s="2"/>
      <c r="M1414" s="27"/>
      <c r="N1414" s="26"/>
      <c r="O1414" s="2"/>
      <c r="P1414" s="24"/>
    </row>
    <row r="1415" spans="1:16" ht="9.75" customHeight="1">
      <c r="A1415" s="18"/>
      <c r="B1415" s="18" t="s">
        <v>104</v>
      </c>
      <c r="C1415" s="18"/>
      <c r="D1415" s="26"/>
      <c r="E1415" s="2"/>
      <c r="F1415" s="2"/>
      <c r="G1415" s="2"/>
      <c r="H1415" s="2"/>
      <c r="I1415" s="2"/>
      <c r="J1415" s="2"/>
      <c r="K1415" s="2"/>
      <c r="L1415" s="2"/>
      <c r="M1415" s="27"/>
      <c r="N1415" s="26"/>
      <c r="O1415" s="2"/>
      <c r="P1415" s="24"/>
    </row>
    <row r="1416" spans="1:16" ht="9.75" customHeight="1">
      <c r="A1416" s="18"/>
      <c r="B1416" s="18" t="s">
        <v>104</v>
      </c>
      <c r="C1416" s="18"/>
      <c r="D1416" s="26"/>
      <c r="E1416" s="2"/>
      <c r="F1416" s="2"/>
      <c r="G1416" s="2"/>
      <c r="H1416" s="2"/>
      <c r="I1416" s="2"/>
      <c r="J1416" s="2"/>
      <c r="K1416" s="2"/>
      <c r="L1416" s="2"/>
      <c r="M1416" s="27"/>
      <c r="N1416" s="26"/>
      <c r="O1416" s="2"/>
      <c r="P1416" s="24"/>
    </row>
    <row r="1417" spans="1:16" ht="9.75" customHeight="1">
      <c r="A1417" s="18"/>
      <c r="B1417" s="18" t="s">
        <v>104</v>
      </c>
      <c r="C1417" s="18"/>
      <c r="D1417" s="26"/>
      <c r="E1417" s="2"/>
      <c r="F1417" s="2"/>
      <c r="G1417" s="2"/>
      <c r="H1417" s="2"/>
      <c r="I1417" s="2"/>
      <c r="J1417" s="2"/>
      <c r="K1417" s="2"/>
      <c r="L1417" s="2"/>
      <c r="M1417" s="27"/>
      <c r="N1417" s="26"/>
      <c r="O1417" s="2"/>
      <c r="P1417" s="24"/>
    </row>
    <row r="1418" spans="1:16" ht="9.75" customHeight="1">
      <c r="A1418" s="18"/>
      <c r="B1418" s="18" t="s">
        <v>104</v>
      </c>
      <c r="C1418" s="18"/>
      <c r="D1418" s="26"/>
      <c r="E1418" s="2"/>
      <c r="F1418" s="2"/>
      <c r="G1418" s="2"/>
      <c r="H1418" s="2"/>
      <c r="I1418" s="2"/>
      <c r="J1418" s="2"/>
      <c r="K1418" s="2"/>
      <c r="L1418" s="2"/>
      <c r="M1418" s="27"/>
      <c r="N1418" s="26"/>
      <c r="O1418" s="2"/>
      <c r="P1418" s="24"/>
    </row>
    <row r="1419" spans="1:16" ht="9.75" customHeight="1">
      <c r="A1419" s="18"/>
      <c r="B1419" s="18" t="s">
        <v>104</v>
      </c>
      <c r="C1419" s="18"/>
      <c r="D1419" s="26"/>
      <c r="E1419" s="2"/>
      <c r="F1419" s="2"/>
      <c r="G1419" s="2"/>
      <c r="H1419" s="2"/>
      <c r="I1419" s="2"/>
      <c r="J1419" s="2"/>
      <c r="K1419" s="2"/>
      <c r="L1419" s="2"/>
      <c r="M1419" s="27"/>
      <c r="N1419" s="26"/>
      <c r="O1419" s="2"/>
      <c r="P1419" s="24"/>
    </row>
    <row r="1420" spans="1:16" ht="9.75" customHeight="1">
      <c r="A1420" s="18"/>
      <c r="B1420" s="18" t="s">
        <v>104</v>
      </c>
      <c r="C1420" s="18"/>
      <c r="D1420" s="26"/>
      <c r="E1420" s="2"/>
      <c r="F1420" s="2"/>
      <c r="G1420" s="2"/>
      <c r="H1420" s="2"/>
      <c r="I1420" s="2"/>
      <c r="J1420" s="2"/>
      <c r="K1420" s="2"/>
      <c r="L1420" s="2"/>
      <c r="M1420" s="27"/>
      <c r="N1420" s="26"/>
      <c r="O1420" s="2"/>
      <c r="P1420" s="24"/>
    </row>
    <row r="1421" spans="1:16" ht="9.75" customHeight="1">
      <c r="A1421" s="18"/>
      <c r="B1421" s="18" t="s">
        <v>34</v>
      </c>
      <c r="C1421" s="18"/>
      <c r="D1421" s="26"/>
      <c r="E1421" s="2"/>
      <c r="F1421" s="2"/>
      <c r="G1421" s="2"/>
      <c r="H1421" s="2"/>
      <c r="I1421" s="2"/>
      <c r="J1421" s="2"/>
      <c r="K1421" s="2"/>
      <c r="L1421" s="2"/>
      <c r="M1421" s="27"/>
      <c r="N1421" s="26"/>
      <c r="O1421" s="2"/>
      <c r="P1421" s="24"/>
    </row>
    <row r="1422" spans="1:16" ht="9.75" customHeight="1">
      <c r="A1422" s="18"/>
      <c r="B1422" s="18" t="s">
        <v>35</v>
      </c>
      <c r="C1422" s="18"/>
      <c r="D1422" s="26"/>
      <c r="E1422" s="2"/>
      <c r="F1422" s="2"/>
      <c r="G1422" s="2"/>
      <c r="H1422" s="2"/>
      <c r="I1422" s="2"/>
      <c r="J1422" s="2"/>
      <c r="K1422" s="2"/>
      <c r="L1422" s="2"/>
      <c r="M1422" s="27"/>
      <c r="N1422" s="26"/>
      <c r="O1422" s="2"/>
      <c r="P1422" s="24"/>
    </row>
    <row r="1423" spans="1:16" ht="9.75" customHeight="1">
      <c r="A1423" s="18"/>
      <c r="B1423" s="18" t="s">
        <v>36</v>
      </c>
      <c r="C1423" s="18">
        <v>3</v>
      </c>
      <c r="D1423" s="115">
        <v>3</v>
      </c>
      <c r="E1423" s="116">
        <v>3</v>
      </c>
      <c r="F1423" s="116">
        <v>3</v>
      </c>
      <c r="G1423" s="116">
        <v>3</v>
      </c>
      <c r="H1423" s="137">
        <v>2</v>
      </c>
      <c r="I1423" s="52">
        <v>3</v>
      </c>
      <c r="J1423" s="52">
        <v>3</v>
      </c>
      <c r="K1423" s="52">
        <v>3</v>
      </c>
      <c r="L1423" s="52">
        <v>3</v>
      </c>
      <c r="M1423" s="87">
        <v>3</v>
      </c>
      <c r="N1423" s="26">
        <f>MIN(D1423:M1423)</f>
        <v>2</v>
      </c>
      <c r="O1423" s="2">
        <f>C1423-N1423</f>
        <v>1</v>
      </c>
      <c r="P1423" s="24">
        <f>O1423/C1423</f>
        <v>0.33333333333333331</v>
      </c>
    </row>
    <row r="1424" spans="1:16" ht="9.75" customHeight="1">
      <c r="A1424" s="18"/>
      <c r="B1424" s="18" t="s">
        <v>37</v>
      </c>
      <c r="C1424" s="18"/>
      <c r="D1424" s="26"/>
      <c r="E1424" s="2"/>
      <c r="F1424" s="2"/>
      <c r="G1424" s="2"/>
      <c r="H1424" s="2"/>
      <c r="I1424" s="2"/>
      <c r="J1424" s="2"/>
      <c r="K1424" s="2"/>
      <c r="L1424" s="2"/>
      <c r="M1424" s="27"/>
      <c r="N1424" s="26"/>
      <c r="O1424" s="2"/>
      <c r="P1424" s="24"/>
    </row>
    <row r="1425" spans="1:16" ht="9.75" customHeight="1">
      <c r="A1425" s="32"/>
      <c r="B1425" s="33" t="s">
        <v>38</v>
      </c>
      <c r="C1425" s="33">
        <f t="shared" ref="C1425:M1425" si="262">SUM(C1409:C1424)</f>
        <v>3</v>
      </c>
      <c r="D1425" s="70">
        <f t="shared" si="262"/>
        <v>3</v>
      </c>
      <c r="E1425" s="71">
        <f t="shared" si="262"/>
        <v>3</v>
      </c>
      <c r="F1425" s="71">
        <f t="shared" si="262"/>
        <v>3</v>
      </c>
      <c r="G1425" s="71">
        <f t="shared" si="262"/>
        <v>3</v>
      </c>
      <c r="H1425" s="71">
        <f t="shared" si="262"/>
        <v>2</v>
      </c>
      <c r="I1425" s="71">
        <f t="shared" si="262"/>
        <v>3</v>
      </c>
      <c r="J1425" s="71">
        <f t="shared" si="262"/>
        <v>3</v>
      </c>
      <c r="K1425" s="71">
        <f t="shared" si="262"/>
        <v>3</v>
      </c>
      <c r="L1425" s="71">
        <f t="shared" si="262"/>
        <v>3</v>
      </c>
      <c r="M1425" s="93">
        <f t="shared" si="262"/>
        <v>3</v>
      </c>
      <c r="N1425" s="70">
        <f>MIN(D1425:M1425)</f>
        <v>2</v>
      </c>
      <c r="O1425" s="71">
        <f>C1425-N1425</f>
        <v>1</v>
      </c>
      <c r="P1425" s="40">
        <f>O1425/C1425</f>
        <v>0.33333333333333331</v>
      </c>
    </row>
    <row r="1426" spans="1:16" ht="9.75" customHeight="1">
      <c r="A1426" s="66" t="s">
        <v>249</v>
      </c>
      <c r="B1426" s="66" t="s">
        <v>23</v>
      </c>
      <c r="C1426" s="66"/>
      <c r="D1426" s="41"/>
      <c r="E1426" s="72"/>
      <c r="F1426" s="72"/>
      <c r="G1426" s="72"/>
      <c r="H1426" s="72"/>
      <c r="I1426" s="72"/>
      <c r="J1426" s="72"/>
      <c r="K1426" s="72"/>
      <c r="L1426" s="72"/>
      <c r="M1426" s="73"/>
      <c r="N1426" s="41"/>
      <c r="O1426" s="72"/>
      <c r="P1426" s="99"/>
    </row>
    <row r="1427" spans="1:16" ht="9.75" customHeight="1">
      <c r="A1427" s="18"/>
      <c r="B1427" s="18" t="s">
        <v>25</v>
      </c>
      <c r="C1427" s="18"/>
      <c r="D1427" s="26"/>
      <c r="E1427" s="2"/>
      <c r="F1427" s="2"/>
      <c r="G1427" s="2"/>
      <c r="H1427" s="2"/>
      <c r="I1427" s="2"/>
      <c r="J1427" s="2"/>
      <c r="K1427" s="2"/>
      <c r="L1427" s="2"/>
      <c r="M1427" s="27"/>
      <c r="N1427" s="26"/>
      <c r="O1427" s="2"/>
      <c r="P1427" s="24"/>
    </row>
    <row r="1428" spans="1:16" ht="9.75" customHeight="1">
      <c r="A1428" s="18"/>
      <c r="B1428" s="18" t="s">
        <v>27</v>
      </c>
      <c r="C1428" s="18"/>
      <c r="D1428" s="26"/>
      <c r="E1428" s="2"/>
      <c r="F1428" s="2"/>
      <c r="G1428" s="2"/>
      <c r="H1428" s="2"/>
      <c r="I1428" s="2"/>
      <c r="J1428" s="2"/>
      <c r="K1428" s="2"/>
      <c r="L1428" s="2"/>
      <c r="M1428" s="27"/>
      <c r="N1428" s="26"/>
      <c r="O1428" s="2"/>
      <c r="P1428" s="24"/>
    </row>
    <row r="1429" spans="1:16" ht="9.75" customHeight="1">
      <c r="A1429" s="18"/>
      <c r="B1429" s="18" t="s">
        <v>99</v>
      </c>
      <c r="C1429" s="18"/>
      <c r="D1429" s="26"/>
      <c r="E1429" s="2"/>
      <c r="F1429" s="2"/>
      <c r="G1429" s="2"/>
      <c r="H1429" s="2"/>
      <c r="I1429" s="2"/>
      <c r="J1429" s="2"/>
      <c r="K1429" s="2"/>
      <c r="L1429" s="2"/>
      <c r="M1429" s="27"/>
      <c r="N1429" s="26"/>
      <c r="O1429" s="2"/>
      <c r="P1429" s="24"/>
    </row>
    <row r="1430" spans="1:16" ht="9.75" customHeight="1">
      <c r="A1430" s="18"/>
      <c r="B1430" s="18" t="s">
        <v>99</v>
      </c>
      <c r="C1430" s="18"/>
      <c r="D1430" s="26"/>
      <c r="E1430" s="2"/>
      <c r="F1430" s="2"/>
      <c r="G1430" s="2"/>
      <c r="H1430" s="2"/>
      <c r="I1430" s="2"/>
      <c r="J1430" s="2"/>
      <c r="K1430" s="2"/>
      <c r="L1430" s="2"/>
      <c r="M1430" s="27"/>
      <c r="N1430" s="26"/>
      <c r="O1430" s="2"/>
      <c r="P1430" s="24"/>
    </row>
    <row r="1431" spans="1:16" ht="9.75" customHeight="1">
      <c r="A1431" s="18"/>
      <c r="B1431" s="18" t="s">
        <v>32</v>
      </c>
      <c r="C1431" s="18">
        <v>2</v>
      </c>
      <c r="D1431" s="115">
        <v>2</v>
      </c>
      <c r="E1431" s="116">
        <v>2</v>
      </c>
      <c r="F1431" s="116">
        <v>2</v>
      </c>
      <c r="G1431" s="116">
        <v>2</v>
      </c>
      <c r="H1431" s="116">
        <v>2</v>
      </c>
      <c r="I1431" s="2">
        <v>2</v>
      </c>
      <c r="J1431" s="2">
        <v>2</v>
      </c>
      <c r="K1431" s="2">
        <v>2</v>
      </c>
      <c r="L1431" s="2">
        <v>2</v>
      </c>
      <c r="M1431" s="2">
        <v>2</v>
      </c>
      <c r="N1431" s="26">
        <f>MIN(D1431:M1431)</f>
        <v>2</v>
      </c>
      <c r="O1431" s="2">
        <f>C1431-N1431</f>
        <v>0</v>
      </c>
      <c r="P1431" s="24">
        <f>O1431/C1431</f>
        <v>0</v>
      </c>
    </row>
    <row r="1432" spans="1:16" ht="9.75" customHeight="1">
      <c r="A1432" s="18"/>
      <c r="B1432" s="18" t="s">
        <v>232</v>
      </c>
      <c r="C1432" s="18">
        <v>1</v>
      </c>
      <c r="D1432" s="115">
        <v>1</v>
      </c>
      <c r="E1432" s="116">
        <v>1</v>
      </c>
      <c r="F1432" s="116">
        <v>1</v>
      </c>
      <c r="G1432" s="116">
        <v>1</v>
      </c>
      <c r="H1432" s="116">
        <v>1</v>
      </c>
      <c r="I1432" s="2">
        <v>1</v>
      </c>
      <c r="J1432" s="2">
        <v>1</v>
      </c>
      <c r="K1432" s="2">
        <v>1</v>
      </c>
      <c r="L1432" s="2">
        <v>1</v>
      </c>
      <c r="M1432" s="2">
        <v>1</v>
      </c>
      <c r="N1432" s="26"/>
      <c r="O1432" s="2"/>
      <c r="P1432" s="24"/>
    </row>
    <row r="1433" spans="1:16" ht="9.75" customHeight="1">
      <c r="A1433" s="18"/>
      <c r="B1433" s="18" t="s">
        <v>216</v>
      </c>
      <c r="C1433" s="18">
        <v>21</v>
      </c>
      <c r="D1433" s="115">
        <v>21</v>
      </c>
      <c r="E1433" s="116">
        <v>20</v>
      </c>
      <c r="F1433" s="116">
        <v>20</v>
      </c>
      <c r="G1433" s="116">
        <v>21</v>
      </c>
      <c r="H1433" s="116">
        <v>21</v>
      </c>
      <c r="I1433" s="2">
        <v>21</v>
      </c>
      <c r="J1433" s="2">
        <v>21</v>
      </c>
      <c r="K1433" s="2">
        <v>20</v>
      </c>
      <c r="L1433" s="2">
        <v>21</v>
      </c>
      <c r="M1433" s="2">
        <v>21</v>
      </c>
      <c r="N1433" s="26">
        <f t="shared" ref="N1433:N1434" si="263">MIN(D1433:M1433)</f>
        <v>20</v>
      </c>
      <c r="O1433" s="2">
        <f t="shared" ref="O1433:O1434" si="264">C1433-N1433</f>
        <v>1</v>
      </c>
      <c r="P1433" s="24">
        <f t="shared" ref="P1433:P1434" si="265">O1433/C1433</f>
        <v>4.7619047619047616E-2</v>
      </c>
    </row>
    <row r="1434" spans="1:16" ht="9.75" customHeight="1">
      <c r="A1434" s="18"/>
      <c r="B1434" s="18" t="s">
        <v>250</v>
      </c>
      <c r="C1434" s="18">
        <v>2</v>
      </c>
      <c r="D1434" s="115">
        <v>2</v>
      </c>
      <c r="E1434" s="116">
        <v>2</v>
      </c>
      <c r="F1434" s="116">
        <v>2</v>
      </c>
      <c r="G1434" s="116">
        <v>2</v>
      </c>
      <c r="H1434" s="116">
        <v>2</v>
      </c>
      <c r="I1434" s="2">
        <v>2</v>
      </c>
      <c r="J1434" s="2">
        <v>2</v>
      </c>
      <c r="K1434" s="2">
        <v>2</v>
      </c>
      <c r="L1434" s="2">
        <v>2</v>
      </c>
      <c r="M1434" s="2">
        <v>2</v>
      </c>
      <c r="N1434" s="26">
        <f t="shared" si="263"/>
        <v>2</v>
      </c>
      <c r="O1434" s="2">
        <f t="shared" si="264"/>
        <v>0</v>
      </c>
      <c r="P1434" s="24">
        <f t="shared" si="265"/>
        <v>0</v>
      </c>
    </row>
    <row r="1435" spans="1:16" ht="9.75" customHeight="1">
      <c r="A1435" s="18"/>
      <c r="B1435" s="18" t="s">
        <v>104</v>
      </c>
      <c r="C1435" s="18"/>
      <c r="D1435" s="26"/>
      <c r="E1435" s="2"/>
      <c r="F1435" s="2"/>
      <c r="G1435" s="2"/>
      <c r="H1435" s="2"/>
      <c r="I1435" s="2"/>
      <c r="J1435" s="2"/>
      <c r="K1435" s="2"/>
      <c r="L1435" s="2"/>
      <c r="M1435" s="2"/>
      <c r="N1435" s="26"/>
      <c r="O1435" s="2"/>
      <c r="P1435" s="24"/>
    </row>
    <row r="1436" spans="1:16" ht="9.75" customHeight="1">
      <c r="A1436" s="18"/>
      <c r="B1436" s="18" t="s">
        <v>104</v>
      </c>
      <c r="C1436" s="18"/>
      <c r="D1436" s="26"/>
      <c r="E1436" s="2"/>
      <c r="F1436" s="2"/>
      <c r="G1436" s="2"/>
      <c r="H1436" s="2"/>
      <c r="I1436" s="2"/>
      <c r="J1436" s="2"/>
      <c r="K1436" s="2"/>
      <c r="L1436" s="2"/>
      <c r="M1436" s="2"/>
      <c r="N1436" s="26"/>
      <c r="O1436" s="2"/>
      <c r="P1436" s="24"/>
    </row>
    <row r="1437" spans="1:16" ht="9.75" customHeight="1">
      <c r="A1437" s="18"/>
      <c r="B1437" s="18" t="s">
        <v>104</v>
      </c>
      <c r="C1437" s="18"/>
      <c r="D1437" s="26"/>
      <c r="E1437" s="2"/>
      <c r="F1437" s="2"/>
      <c r="G1437" s="2"/>
      <c r="H1437" s="2"/>
      <c r="I1437" s="2"/>
      <c r="J1437" s="2"/>
      <c r="K1437" s="2"/>
      <c r="L1437" s="2"/>
      <c r="M1437" s="2"/>
      <c r="N1437" s="26"/>
      <c r="O1437" s="2"/>
      <c r="P1437" s="24"/>
    </row>
    <row r="1438" spans="1:16" ht="9.75" customHeight="1">
      <c r="A1438" s="18"/>
      <c r="B1438" s="18" t="s">
        <v>34</v>
      </c>
      <c r="C1438" s="18"/>
      <c r="D1438" s="26"/>
      <c r="E1438" s="2"/>
      <c r="F1438" s="2"/>
      <c r="G1438" s="2"/>
      <c r="H1438" s="2"/>
      <c r="I1438" s="2"/>
      <c r="J1438" s="2"/>
      <c r="K1438" s="2"/>
      <c r="L1438" s="2"/>
      <c r="M1438" s="2"/>
      <c r="N1438" s="26"/>
      <c r="O1438" s="2"/>
      <c r="P1438" s="24"/>
    </row>
    <row r="1439" spans="1:16" ht="9.75" customHeight="1">
      <c r="A1439" s="18"/>
      <c r="B1439" s="18" t="s">
        <v>35</v>
      </c>
      <c r="C1439" s="18"/>
      <c r="D1439" s="26"/>
      <c r="E1439" s="2"/>
      <c r="F1439" s="2"/>
      <c r="G1439" s="2"/>
      <c r="H1439" s="2"/>
      <c r="I1439" s="177"/>
      <c r="J1439" s="2"/>
      <c r="K1439" s="2"/>
      <c r="L1439" s="2"/>
      <c r="M1439" s="2"/>
      <c r="N1439" s="26"/>
      <c r="O1439" s="2"/>
      <c r="P1439" s="24"/>
    </row>
    <row r="1440" spans="1:16" ht="9.75" customHeight="1">
      <c r="A1440" s="18"/>
      <c r="B1440" s="18" t="s">
        <v>36</v>
      </c>
      <c r="C1440" s="18">
        <v>1</v>
      </c>
      <c r="D1440" s="115">
        <v>1</v>
      </c>
      <c r="E1440" s="116">
        <v>1</v>
      </c>
      <c r="F1440" s="116">
        <v>1</v>
      </c>
      <c r="G1440" s="116">
        <v>1</v>
      </c>
      <c r="H1440" s="116">
        <v>1</v>
      </c>
      <c r="I1440" s="177">
        <v>1</v>
      </c>
      <c r="J1440" s="2">
        <v>0</v>
      </c>
      <c r="K1440" s="2">
        <v>1</v>
      </c>
      <c r="L1440" s="2">
        <v>1</v>
      </c>
      <c r="M1440" s="2">
        <v>1</v>
      </c>
      <c r="N1440" s="26">
        <f t="shared" ref="N1440:N1442" si="266">MIN(D1440:M1440)</f>
        <v>0</v>
      </c>
      <c r="O1440" s="2">
        <f t="shared" ref="O1440:O1442" si="267">C1440-N1440</f>
        <v>1</v>
      </c>
      <c r="P1440" s="24">
        <f t="shared" ref="P1440:P1442" si="268">O1440/C1440</f>
        <v>1</v>
      </c>
    </row>
    <row r="1441" spans="1:16" ht="9.75" customHeight="1">
      <c r="A1441" s="18"/>
      <c r="B1441" s="18" t="s">
        <v>37</v>
      </c>
      <c r="C1441" s="18">
        <v>1</v>
      </c>
      <c r="D1441" s="115">
        <v>1</v>
      </c>
      <c r="E1441" s="116">
        <v>1</v>
      </c>
      <c r="F1441" s="116">
        <v>0</v>
      </c>
      <c r="G1441" s="116">
        <v>1</v>
      </c>
      <c r="H1441" s="116">
        <v>1</v>
      </c>
      <c r="I1441" s="177">
        <v>1</v>
      </c>
      <c r="J1441" s="2">
        <v>1</v>
      </c>
      <c r="K1441" s="2">
        <v>1</v>
      </c>
      <c r="L1441" s="2">
        <v>1</v>
      </c>
      <c r="M1441" s="2">
        <v>1</v>
      </c>
      <c r="N1441" s="26">
        <f t="shared" si="266"/>
        <v>0</v>
      </c>
      <c r="O1441" s="2">
        <f t="shared" si="267"/>
        <v>1</v>
      </c>
      <c r="P1441" s="24">
        <f t="shared" si="268"/>
        <v>1</v>
      </c>
    </row>
    <row r="1442" spans="1:16" ht="9.75" customHeight="1">
      <c r="A1442" s="32"/>
      <c r="B1442" s="33" t="s">
        <v>38</v>
      </c>
      <c r="C1442" s="33">
        <f t="shared" ref="C1442:M1442" si="269">SUM(C1426:C1441)</f>
        <v>28</v>
      </c>
      <c r="D1442" s="70">
        <f t="shared" si="269"/>
        <v>28</v>
      </c>
      <c r="E1442" s="71">
        <f t="shared" si="269"/>
        <v>27</v>
      </c>
      <c r="F1442" s="71">
        <f t="shared" si="269"/>
        <v>26</v>
      </c>
      <c r="G1442" s="71">
        <f t="shared" si="269"/>
        <v>28</v>
      </c>
      <c r="H1442" s="71">
        <f t="shared" si="269"/>
        <v>28</v>
      </c>
      <c r="I1442" s="71">
        <f t="shared" si="269"/>
        <v>28</v>
      </c>
      <c r="J1442" s="71">
        <f t="shared" si="269"/>
        <v>27</v>
      </c>
      <c r="K1442" s="71">
        <f t="shared" si="269"/>
        <v>27</v>
      </c>
      <c r="L1442" s="71">
        <f t="shared" si="269"/>
        <v>28</v>
      </c>
      <c r="M1442" s="93">
        <f t="shared" si="269"/>
        <v>28</v>
      </c>
      <c r="N1442" s="70">
        <f t="shared" si="266"/>
        <v>26</v>
      </c>
      <c r="O1442" s="71">
        <f t="shared" si="267"/>
        <v>2</v>
      </c>
      <c r="P1442" s="40">
        <f t="shared" si="268"/>
        <v>7.1428571428571425E-2</v>
      </c>
    </row>
    <row r="1443" spans="1:16" ht="9.75" customHeight="1">
      <c r="A1443" s="66" t="s">
        <v>251</v>
      </c>
      <c r="B1443" s="66" t="s">
        <v>23</v>
      </c>
      <c r="C1443" s="18"/>
      <c r="D1443" s="26"/>
      <c r="E1443" s="2"/>
      <c r="F1443" s="2"/>
      <c r="G1443" s="2"/>
      <c r="H1443" s="2"/>
      <c r="I1443" s="2"/>
      <c r="J1443" s="2"/>
      <c r="K1443" s="2"/>
      <c r="L1443" s="2"/>
      <c r="M1443" s="27"/>
      <c r="N1443" s="26"/>
      <c r="O1443" s="2"/>
      <c r="P1443" s="24"/>
    </row>
    <row r="1444" spans="1:16" ht="9.75" customHeight="1">
      <c r="A1444" s="18"/>
      <c r="B1444" s="18" t="s">
        <v>25</v>
      </c>
      <c r="C1444" s="18"/>
      <c r="D1444" s="26"/>
      <c r="E1444" s="2"/>
      <c r="F1444" s="2"/>
      <c r="G1444" s="2"/>
      <c r="H1444" s="2"/>
      <c r="I1444" s="2"/>
      <c r="J1444" s="2"/>
      <c r="K1444" s="2"/>
      <c r="L1444" s="2"/>
      <c r="M1444" s="27"/>
      <c r="N1444" s="26"/>
      <c r="O1444" s="2"/>
      <c r="P1444" s="24"/>
    </row>
    <row r="1445" spans="1:16" ht="9.75" customHeight="1">
      <c r="A1445" s="18"/>
      <c r="B1445" s="18" t="s">
        <v>27</v>
      </c>
      <c r="C1445" s="18"/>
      <c r="D1445" s="26"/>
      <c r="E1445" s="2"/>
      <c r="F1445" s="2"/>
      <c r="G1445" s="2"/>
      <c r="H1445" s="2"/>
      <c r="I1445" s="2"/>
      <c r="J1445" s="2"/>
      <c r="K1445" s="2"/>
      <c r="L1445" s="2"/>
      <c r="M1445" s="27"/>
      <c r="N1445" s="26"/>
      <c r="O1445" s="2"/>
      <c r="P1445" s="24"/>
    </row>
    <row r="1446" spans="1:16" ht="9.75" customHeight="1">
      <c r="A1446" s="18"/>
      <c r="B1446" s="18" t="s">
        <v>99</v>
      </c>
      <c r="C1446" s="18"/>
      <c r="D1446" s="26"/>
      <c r="E1446" s="2"/>
      <c r="F1446" s="2"/>
      <c r="G1446" s="2"/>
      <c r="H1446" s="2"/>
      <c r="I1446" s="2"/>
      <c r="J1446" s="2"/>
      <c r="K1446" s="2"/>
      <c r="L1446" s="2"/>
      <c r="M1446" s="27"/>
      <c r="N1446" s="26"/>
      <c r="O1446" s="2"/>
      <c r="P1446" s="24"/>
    </row>
    <row r="1447" spans="1:16" ht="9.75" customHeight="1">
      <c r="A1447" s="18"/>
      <c r="B1447" s="18" t="s">
        <v>99</v>
      </c>
      <c r="C1447" s="18"/>
      <c r="D1447" s="26"/>
      <c r="E1447" s="2"/>
      <c r="F1447" s="2"/>
      <c r="G1447" s="2"/>
      <c r="H1447" s="2"/>
      <c r="I1447" s="2"/>
      <c r="J1447" s="2"/>
      <c r="K1447" s="2"/>
      <c r="L1447" s="2"/>
      <c r="M1447" s="27"/>
      <c r="N1447" s="26"/>
      <c r="O1447" s="2"/>
      <c r="P1447" s="24"/>
    </row>
    <row r="1448" spans="1:16" ht="9.75" customHeight="1">
      <c r="A1448" s="18"/>
      <c r="B1448" s="18" t="s">
        <v>32</v>
      </c>
      <c r="C1448" s="18">
        <v>3</v>
      </c>
      <c r="D1448" s="115">
        <v>3</v>
      </c>
      <c r="E1448" s="116">
        <v>3</v>
      </c>
      <c r="F1448" s="116">
        <v>3</v>
      </c>
      <c r="G1448" s="116">
        <v>3</v>
      </c>
      <c r="H1448" s="116">
        <v>3</v>
      </c>
      <c r="I1448" s="52">
        <v>3</v>
      </c>
      <c r="J1448" s="52">
        <v>3</v>
      </c>
      <c r="K1448" s="52">
        <v>3</v>
      </c>
      <c r="L1448" s="52">
        <v>3</v>
      </c>
      <c r="M1448" s="87">
        <v>3</v>
      </c>
      <c r="N1448" s="26">
        <f t="shared" ref="N1448:N1449" si="270">MIN(D1448:M1448)</f>
        <v>3</v>
      </c>
      <c r="O1448" s="2">
        <f t="shared" ref="O1448:O1449" si="271">C1448-N1448</f>
        <v>0</v>
      </c>
      <c r="P1448" s="24">
        <f t="shared" ref="P1448:P1449" si="272">O1448/C1448</f>
        <v>0</v>
      </c>
    </row>
    <row r="1449" spans="1:16" ht="9.75" customHeight="1">
      <c r="A1449" s="18"/>
      <c r="B1449" s="18" t="s">
        <v>252</v>
      </c>
      <c r="C1449" s="18">
        <v>2</v>
      </c>
      <c r="D1449" s="115">
        <v>2</v>
      </c>
      <c r="E1449" s="116">
        <v>1</v>
      </c>
      <c r="F1449" s="116">
        <v>1</v>
      </c>
      <c r="G1449" s="116">
        <v>1</v>
      </c>
      <c r="H1449" s="116">
        <v>1</v>
      </c>
      <c r="I1449" s="137">
        <v>1</v>
      </c>
      <c r="J1449" s="52">
        <v>1</v>
      </c>
      <c r="K1449" s="52">
        <v>1</v>
      </c>
      <c r="L1449" s="52">
        <v>1</v>
      </c>
      <c r="M1449" s="87">
        <v>1</v>
      </c>
      <c r="N1449" s="26">
        <f t="shared" si="270"/>
        <v>1</v>
      </c>
      <c r="O1449" s="2">
        <f t="shared" si="271"/>
        <v>1</v>
      </c>
      <c r="P1449" s="24">
        <f t="shared" si="272"/>
        <v>0.5</v>
      </c>
    </row>
    <row r="1450" spans="1:16" ht="9.75" customHeight="1">
      <c r="A1450" s="18"/>
      <c r="B1450" s="18" t="s">
        <v>104</v>
      </c>
      <c r="C1450" s="18"/>
      <c r="D1450" s="26"/>
      <c r="E1450" s="2"/>
      <c r="F1450" s="2"/>
      <c r="G1450" s="2"/>
      <c r="H1450" s="2"/>
      <c r="I1450" s="111"/>
      <c r="J1450" s="111"/>
      <c r="K1450" s="111"/>
      <c r="L1450" s="111"/>
      <c r="M1450" s="112"/>
      <c r="N1450" s="26"/>
      <c r="O1450" s="2"/>
      <c r="P1450" s="24"/>
    </row>
    <row r="1451" spans="1:16" ht="9.75" customHeight="1">
      <c r="A1451" s="18"/>
      <c r="B1451" s="18" t="s">
        <v>104</v>
      </c>
      <c r="C1451" s="18"/>
      <c r="D1451" s="26"/>
      <c r="E1451" s="2"/>
      <c r="F1451" s="2"/>
      <c r="G1451" s="2"/>
      <c r="H1451" s="2"/>
      <c r="I1451" s="111"/>
      <c r="J1451" s="111"/>
      <c r="K1451" s="111"/>
      <c r="L1451" s="111"/>
      <c r="M1451" s="112"/>
      <c r="N1451" s="26"/>
      <c r="O1451" s="2"/>
      <c r="P1451" s="24"/>
    </row>
    <row r="1452" spans="1:16" ht="9.75" customHeight="1">
      <c r="A1452" s="18"/>
      <c r="B1452" s="18" t="s">
        <v>104</v>
      </c>
      <c r="C1452" s="18"/>
      <c r="D1452" s="26"/>
      <c r="E1452" s="2"/>
      <c r="F1452" s="2"/>
      <c r="G1452" s="2"/>
      <c r="H1452" s="2"/>
      <c r="I1452" s="111"/>
      <c r="J1452" s="111"/>
      <c r="K1452" s="111"/>
      <c r="L1452" s="111"/>
      <c r="M1452" s="112"/>
      <c r="N1452" s="26"/>
      <c r="O1452" s="2"/>
      <c r="P1452" s="24"/>
    </row>
    <row r="1453" spans="1:16" ht="9.75" customHeight="1">
      <c r="A1453" s="18"/>
      <c r="B1453" s="18" t="s">
        <v>104</v>
      </c>
      <c r="C1453" s="18"/>
      <c r="D1453" s="26"/>
      <c r="E1453" s="2"/>
      <c r="F1453" s="2"/>
      <c r="G1453" s="2"/>
      <c r="H1453" s="2"/>
      <c r="I1453" s="111"/>
      <c r="J1453" s="111"/>
      <c r="K1453" s="111"/>
      <c r="L1453" s="111"/>
      <c r="M1453" s="112"/>
      <c r="N1453" s="26"/>
      <c r="O1453" s="2"/>
      <c r="P1453" s="24"/>
    </row>
    <row r="1454" spans="1:16" ht="9.75" customHeight="1">
      <c r="A1454" s="18"/>
      <c r="B1454" s="18" t="s">
        <v>104</v>
      </c>
      <c r="C1454" s="18"/>
      <c r="D1454" s="26"/>
      <c r="E1454" s="2"/>
      <c r="F1454" s="2"/>
      <c r="G1454" s="2"/>
      <c r="H1454" s="2"/>
      <c r="I1454" s="111"/>
      <c r="J1454" s="111"/>
      <c r="K1454" s="111"/>
      <c r="L1454" s="111"/>
      <c r="M1454" s="112"/>
      <c r="N1454" s="26"/>
      <c r="O1454" s="2"/>
      <c r="P1454" s="24"/>
    </row>
    <row r="1455" spans="1:16" ht="9.75" customHeight="1">
      <c r="A1455" s="18"/>
      <c r="B1455" s="18" t="s">
        <v>34</v>
      </c>
      <c r="C1455" s="18">
        <v>1</v>
      </c>
      <c r="D1455" s="115">
        <v>1</v>
      </c>
      <c r="E1455" s="116">
        <v>1</v>
      </c>
      <c r="F1455" s="116">
        <v>1</v>
      </c>
      <c r="G1455" s="116">
        <v>1</v>
      </c>
      <c r="H1455" s="116">
        <v>1</v>
      </c>
      <c r="I1455" s="52">
        <v>1</v>
      </c>
      <c r="J1455" s="52">
        <v>1</v>
      </c>
      <c r="K1455" s="52">
        <v>1</v>
      </c>
      <c r="L1455" s="52">
        <v>1</v>
      </c>
      <c r="M1455" s="87">
        <v>1</v>
      </c>
      <c r="N1455" s="26">
        <f t="shared" ref="N1455:N1460" si="273">MIN(D1455:M1455)</f>
        <v>1</v>
      </c>
      <c r="O1455" s="2">
        <f t="shared" ref="O1455:O1460" si="274">C1455-N1455</f>
        <v>0</v>
      </c>
      <c r="P1455" s="24">
        <f t="shared" ref="P1455:P1460" si="275">O1455/C1455</f>
        <v>0</v>
      </c>
    </row>
    <row r="1456" spans="1:16" ht="9.75" customHeight="1">
      <c r="A1456" s="18"/>
      <c r="B1456" s="18" t="s">
        <v>35</v>
      </c>
      <c r="C1456" s="18">
        <v>2</v>
      </c>
      <c r="D1456" s="115">
        <v>2</v>
      </c>
      <c r="E1456" s="116">
        <v>2</v>
      </c>
      <c r="F1456" s="116">
        <v>1</v>
      </c>
      <c r="G1456" s="116">
        <v>2</v>
      </c>
      <c r="H1456" s="116">
        <v>1</v>
      </c>
      <c r="I1456" s="52">
        <v>2</v>
      </c>
      <c r="J1456" s="52">
        <v>2</v>
      </c>
      <c r="K1456" s="52">
        <v>2</v>
      </c>
      <c r="L1456" s="52">
        <v>2</v>
      </c>
      <c r="M1456" s="87">
        <v>2</v>
      </c>
      <c r="N1456" s="26">
        <f t="shared" si="273"/>
        <v>1</v>
      </c>
      <c r="O1456" s="2">
        <f t="shared" si="274"/>
        <v>1</v>
      </c>
      <c r="P1456" s="24">
        <f t="shared" si="275"/>
        <v>0.5</v>
      </c>
    </row>
    <row r="1457" spans="1:16" ht="9.75" customHeight="1">
      <c r="A1457" s="18"/>
      <c r="B1457" s="18" t="s">
        <v>36</v>
      </c>
      <c r="C1457" s="18">
        <v>2</v>
      </c>
      <c r="D1457" s="115">
        <v>2</v>
      </c>
      <c r="E1457" s="116">
        <v>2</v>
      </c>
      <c r="F1457" s="116">
        <v>2</v>
      </c>
      <c r="G1457" s="116">
        <v>2</v>
      </c>
      <c r="H1457" s="116">
        <v>2</v>
      </c>
      <c r="I1457" s="52">
        <v>2</v>
      </c>
      <c r="J1457" s="52">
        <v>2</v>
      </c>
      <c r="K1457" s="52">
        <v>2</v>
      </c>
      <c r="L1457" s="52">
        <v>2</v>
      </c>
      <c r="M1457" s="87">
        <v>2</v>
      </c>
      <c r="N1457" s="26">
        <f t="shared" si="273"/>
        <v>2</v>
      </c>
      <c r="O1457" s="2">
        <f t="shared" si="274"/>
        <v>0</v>
      </c>
      <c r="P1457" s="24">
        <f t="shared" si="275"/>
        <v>0</v>
      </c>
    </row>
    <row r="1458" spans="1:16" ht="9.75" customHeight="1">
      <c r="A1458" s="18"/>
      <c r="B1458" s="18" t="s">
        <v>37</v>
      </c>
      <c r="C1458" s="18">
        <v>2</v>
      </c>
      <c r="D1458" s="115">
        <v>1</v>
      </c>
      <c r="E1458" s="116">
        <v>1</v>
      </c>
      <c r="F1458" s="116">
        <v>2</v>
      </c>
      <c r="G1458" s="116">
        <v>2</v>
      </c>
      <c r="H1458" s="116">
        <v>2</v>
      </c>
      <c r="I1458" s="52">
        <v>2</v>
      </c>
      <c r="J1458" s="52">
        <v>2</v>
      </c>
      <c r="K1458" s="52">
        <v>2</v>
      </c>
      <c r="L1458" s="52">
        <v>2</v>
      </c>
      <c r="M1458" s="87">
        <v>2</v>
      </c>
      <c r="N1458" s="26">
        <f t="shared" si="273"/>
        <v>1</v>
      </c>
      <c r="O1458" s="2">
        <f t="shared" si="274"/>
        <v>1</v>
      </c>
      <c r="P1458" s="24">
        <f t="shared" si="275"/>
        <v>0.5</v>
      </c>
    </row>
    <row r="1459" spans="1:16" ht="9.75" customHeight="1">
      <c r="A1459" s="32"/>
      <c r="B1459" s="33" t="s">
        <v>38</v>
      </c>
      <c r="C1459" s="33">
        <f t="shared" ref="C1459:M1459" si="276">SUM(C1443:C1458)</f>
        <v>12</v>
      </c>
      <c r="D1459" s="70">
        <f t="shared" si="276"/>
        <v>11</v>
      </c>
      <c r="E1459" s="71">
        <f t="shared" si="276"/>
        <v>10</v>
      </c>
      <c r="F1459" s="71">
        <f t="shared" si="276"/>
        <v>10</v>
      </c>
      <c r="G1459" s="71">
        <f t="shared" si="276"/>
        <v>11</v>
      </c>
      <c r="H1459" s="71">
        <f t="shared" si="276"/>
        <v>10</v>
      </c>
      <c r="I1459" s="71">
        <f t="shared" si="276"/>
        <v>11</v>
      </c>
      <c r="J1459" s="71">
        <f t="shared" si="276"/>
        <v>11</v>
      </c>
      <c r="K1459" s="71">
        <f t="shared" si="276"/>
        <v>11</v>
      </c>
      <c r="L1459" s="71">
        <f t="shared" si="276"/>
        <v>11</v>
      </c>
      <c r="M1459" s="93">
        <f t="shared" si="276"/>
        <v>11</v>
      </c>
      <c r="N1459" s="70">
        <f t="shared" si="273"/>
        <v>10</v>
      </c>
      <c r="O1459" s="71">
        <f t="shared" si="274"/>
        <v>2</v>
      </c>
      <c r="P1459" s="40">
        <f t="shared" si="275"/>
        <v>0.16666666666666666</v>
      </c>
    </row>
    <row r="1460" spans="1:16" ht="9.75" customHeight="1">
      <c r="A1460" s="66" t="s">
        <v>253</v>
      </c>
      <c r="B1460" s="66" t="s">
        <v>23</v>
      </c>
      <c r="C1460" s="18">
        <v>9</v>
      </c>
      <c r="D1460" s="115">
        <v>6</v>
      </c>
      <c r="E1460" s="116">
        <v>5</v>
      </c>
      <c r="F1460" s="116">
        <v>3</v>
      </c>
      <c r="G1460" s="116">
        <v>2</v>
      </c>
      <c r="H1460" s="116">
        <v>3</v>
      </c>
      <c r="I1460" s="48">
        <v>2</v>
      </c>
      <c r="J1460" s="48">
        <v>3</v>
      </c>
      <c r="K1460" s="48">
        <v>6</v>
      </c>
      <c r="L1460" s="48">
        <v>7</v>
      </c>
      <c r="M1460" s="86">
        <v>4</v>
      </c>
      <c r="N1460" s="26">
        <f t="shared" si="273"/>
        <v>2</v>
      </c>
      <c r="O1460" s="2">
        <f t="shared" si="274"/>
        <v>7</v>
      </c>
      <c r="P1460" s="24">
        <f t="shared" si="275"/>
        <v>0.77777777777777779</v>
      </c>
    </row>
    <row r="1461" spans="1:16" ht="9.75" customHeight="1">
      <c r="A1461" s="18"/>
      <c r="B1461" s="18" t="s">
        <v>25</v>
      </c>
      <c r="C1461" s="18"/>
      <c r="D1461" s="26"/>
      <c r="E1461" s="2"/>
      <c r="F1461" s="2"/>
      <c r="G1461" s="2"/>
      <c r="H1461" s="2"/>
      <c r="I1461" s="111"/>
      <c r="J1461" s="111"/>
      <c r="K1461" s="111"/>
      <c r="L1461" s="111"/>
      <c r="M1461" s="112"/>
      <c r="N1461" s="26"/>
      <c r="O1461" s="2"/>
      <c r="P1461" s="24"/>
    </row>
    <row r="1462" spans="1:16" ht="9.75" customHeight="1">
      <c r="A1462" s="18"/>
      <c r="B1462" s="18" t="s">
        <v>27</v>
      </c>
      <c r="C1462" s="18"/>
      <c r="D1462" s="26"/>
      <c r="E1462" s="2"/>
      <c r="F1462" s="2"/>
      <c r="G1462" s="2"/>
      <c r="H1462" s="2"/>
      <c r="I1462" s="111"/>
      <c r="J1462" s="111"/>
      <c r="K1462" s="111"/>
      <c r="L1462" s="111"/>
      <c r="M1462" s="112"/>
      <c r="N1462" s="26"/>
      <c r="O1462" s="2"/>
      <c r="P1462" s="24"/>
    </row>
    <row r="1463" spans="1:16" ht="9.75" customHeight="1">
      <c r="A1463" s="18"/>
      <c r="B1463" s="18" t="s">
        <v>177</v>
      </c>
      <c r="C1463" s="18">
        <v>19</v>
      </c>
      <c r="D1463" s="115">
        <v>13</v>
      </c>
      <c r="E1463" s="116">
        <v>9</v>
      </c>
      <c r="F1463" s="116">
        <v>1</v>
      </c>
      <c r="G1463" s="116">
        <v>3</v>
      </c>
      <c r="H1463" s="116">
        <v>3</v>
      </c>
      <c r="I1463" s="52">
        <v>4</v>
      </c>
      <c r="J1463" s="52">
        <v>1</v>
      </c>
      <c r="K1463" s="52">
        <v>3</v>
      </c>
      <c r="L1463" s="52">
        <v>8</v>
      </c>
      <c r="M1463" s="87">
        <v>9</v>
      </c>
      <c r="N1463" s="26">
        <f>MIN(D1463:M1463)</f>
        <v>1</v>
      </c>
      <c r="O1463" s="2">
        <f>C1463-N1463</f>
        <v>18</v>
      </c>
      <c r="P1463" s="24">
        <f>O1463/C1463</f>
        <v>0.94736842105263153</v>
      </c>
    </row>
    <row r="1464" spans="1:16" ht="9.75" customHeight="1">
      <c r="A1464" s="18"/>
      <c r="B1464" s="18" t="s">
        <v>99</v>
      </c>
      <c r="C1464" s="18"/>
      <c r="D1464" s="26"/>
      <c r="E1464" s="2"/>
      <c r="F1464" s="2"/>
      <c r="G1464" s="2"/>
      <c r="H1464" s="2"/>
      <c r="I1464" s="52"/>
      <c r="J1464" s="52"/>
      <c r="K1464" s="52"/>
      <c r="L1464" s="52"/>
      <c r="M1464" s="87"/>
      <c r="N1464" s="26"/>
      <c r="O1464" s="2"/>
      <c r="P1464" s="24"/>
    </row>
    <row r="1465" spans="1:16" ht="9.75" customHeight="1">
      <c r="A1465" s="18"/>
      <c r="B1465" s="18" t="s">
        <v>32</v>
      </c>
      <c r="C1465" s="18">
        <v>15</v>
      </c>
      <c r="D1465" s="115">
        <v>10</v>
      </c>
      <c r="E1465" s="116">
        <v>9</v>
      </c>
      <c r="F1465" s="116">
        <v>9</v>
      </c>
      <c r="G1465" s="116">
        <v>10</v>
      </c>
      <c r="H1465" s="116">
        <v>8</v>
      </c>
      <c r="I1465" s="52">
        <v>8</v>
      </c>
      <c r="J1465" s="52">
        <v>8</v>
      </c>
      <c r="K1465" s="52">
        <v>9</v>
      </c>
      <c r="L1465" s="52">
        <v>10</v>
      </c>
      <c r="M1465" s="87">
        <v>10</v>
      </c>
      <c r="N1465" s="26">
        <f>MIN(D1465:M1465)</f>
        <v>8</v>
      </c>
      <c r="O1465" s="2">
        <f>C1465-N1465</f>
        <v>7</v>
      </c>
      <c r="P1465" s="24">
        <f>O1465/C1465</f>
        <v>0.46666666666666667</v>
      </c>
    </row>
    <row r="1466" spans="1:16" ht="9.75" customHeight="1">
      <c r="A1466" s="18"/>
      <c r="B1466" s="18" t="s">
        <v>102</v>
      </c>
      <c r="C1466" s="18"/>
      <c r="D1466" s="26"/>
      <c r="E1466" s="2"/>
      <c r="F1466" s="2"/>
      <c r="G1466" s="2"/>
      <c r="H1466" s="2"/>
      <c r="I1466" s="111"/>
      <c r="J1466" s="111"/>
      <c r="K1466" s="111"/>
      <c r="L1466" s="111"/>
      <c r="M1466" s="112"/>
      <c r="N1466" s="26"/>
      <c r="O1466" s="2"/>
      <c r="P1466" s="24"/>
    </row>
    <row r="1467" spans="1:16" ht="9.75" customHeight="1">
      <c r="A1467" s="18"/>
      <c r="B1467" s="18" t="s">
        <v>101</v>
      </c>
      <c r="C1467" s="18">
        <v>1</v>
      </c>
      <c r="D1467" s="115">
        <v>0</v>
      </c>
      <c r="E1467" s="116">
        <v>0</v>
      </c>
      <c r="F1467" s="116">
        <v>0</v>
      </c>
      <c r="G1467" s="116">
        <v>0</v>
      </c>
      <c r="H1467" s="116">
        <v>0</v>
      </c>
      <c r="I1467" s="52">
        <v>0</v>
      </c>
      <c r="J1467" s="52">
        <v>0</v>
      </c>
      <c r="K1467" s="52">
        <v>0</v>
      </c>
      <c r="L1467" s="52">
        <v>0</v>
      </c>
      <c r="M1467" s="87">
        <v>0</v>
      </c>
      <c r="N1467" s="26">
        <f>MIN(D1467:M1467)</f>
        <v>0</v>
      </c>
      <c r="O1467" s="2">
        <f>C1467-N1467</f>
        <v>1</v>
      </c>
      <c r="P1467" s="24">
        <f>O1467/C1467</f>
        <v>1</v>
      </c>
    </row>
    <row r="1468" spans="1:16" ht="9.75" customHeight="1">
      <c r="A1468" s="18"/>
      <c r="B1468" s="18" t="s">
        <v>104</v>
      </c>
      <c r="C1468" s="18"/>
      <c r="D1468" s="26"/>
      <c r="E1468" s="2"/>
      <c r="F1468" s="2"/>
      <c r="G1468" s="2"/>
      <c r="H1468" s="2"/>
      <c r="I1468" s="111"/>
      <c r="J1468" s="111"/>
      <c r="K1468" s="111"/>
      <c r="L1468" s="111"/>
      <c r="M1468" s="112"/>
      <c r="N1468" s="26"/>
      <c r="O1468" s="2"/>
      <c r="P1468" s="24"/>
    </row>
    <row r="1469" spans="1:16" ht="9.75" customHeight="1">
      <c r="A1469" s="18"/>
      <c r="B1469" s="18" t="s">
        <v>104</v>
      </c>
      <c r="C1469" s="18"/>
      <c r="D1469" s="26"/>
      <c r="E1469" s="2"/>
      <c r="F1469" s="2"/>
      <c r="G1469" s="2"/>
      <c r="H1469" s="2"/>
      <c r="I1469" s="111"/>
      <c r="J1469" s="111"/>
      <c r="K1469" s="111"/>
      <c r="L1469" s="111"/>
      <c r="M1469" s="112"/>
      <c r="N1469" s="26"/>
      <c r="O1469" s="2"/>
      <c r="P1469" s="24"/>
    </row>
    <row r="1470" spans="1:16" ht="9.75" customHeight="1">
      <c r="A1470" s="18"/>
      <c r="B1470" s="18" t="s">
        <v>104</v>
      </c>
      <c r="C1470" s="18"/>
      <c r="D1470" s="26"/>
      <c r="E1470" s="2"/>
      <c r="F1470" s="2"/>
      <c r="G1470" s="2"/>
      <c r="H1470" s="2"/>
      <c r="I1470" s="111"/>
      <c r="J1470" s="111"/>
      <c r="K1470" s="111"/>
      <c r="L1470" s="111"/>
      <c r="M1470" s="112"/>
      <c r="N1470" s="26"/>
      <c r="O1470" s="2"/>
      <c r="P1470" s="24"/>
    </row>
    <row r="1471" spans="1:16" ht="9.75" customHeight="1">
      <c r="A1471" s="18"/>
      <c r="B1471" s="18" t="s">
        <v>104</v>
      </c>
      <c r="C1471" s="18"/>
      <c r="D1471" s="26"/>
      <c r="E1471" s="2"/>
      <c r="F1471" s="2"/>
      <c r="G1471" s="2"/>
      <c r="H1471" s="2"/>
      <c r="I1471" s="111"/>
      <c r="J1471" s="111"/>
      <c r="K1471" s="111"/>
      <c r="L1471" s="111"/>
      <c r="M1471" s="112"/>
      <c r="N1471" s="26"/>
      <c r="O1471" s="2"/>
      <c r="P1471" s="24"/>
    </row>
    <row r="1472" spans="1:16" ht="9.75" customHeight="1">
      <c r="A1472" s="18"/>
      <c r="B1472" s="18" t="s">
        <v>34</v>
      </c>
      <c r="C1472" s="18">
        <v>12</v>
      </c>
      <c r="D1472" s="115">
        <v>12</v>
      </c>
      <c r="E1472" s="116">
        <v>12</v>
      </c>
      <c r="F1472" s="116">
        <v>12</v>
      </c>
      <c r="G1472" s="116">
        <v>12</v>
      </c>
      <c r="H1472" s="116">
        <v>12</v>
      </c>
      <c r="I1472" s="52">
        <v>12</v>
      </c>
      <c r="J1472" s="52">
        <v>12</v>
      </c>
      <c r="K1472" s="52">
        <v>12</v>
      </c>
      <c r="L1472" s="52">
        <v>12</v>
      </c>
      <c r="M1472" s="87">
        <v>12</v>
      </c>
      <c r="N1472" s="26">
        <f t="shared" ref="N1472:N1473" si="277">MIN(D1472:M1472)</f>
        <v>12</v>
      </c>
      <c r="O1472" s="2">
        <f t="shared" ref="O1472:O1473" si="278">C1472-N1472</f>
        <v>0</v>
      </c>
      <c r="P1472" s="24">
        <f t="shared" ref="P1472:P1473" si="279">O1472/C1472</f>
        <v>0</v>
      </c>
    </row>
    <row r="1473" spans="1:16" ht="9.75" customHeight="1">
      <c r="A1473" s="18"/>
      <c r="B1473" s="18" t="s">
        <v>35</v>
      </c>
      <c r="C1473" s="18">
        <v>1</v>
      </c>
      <c r="D1473" s="115">
        <v>0</v>
      </c>
      <c r="E1473" s="116">
        <v>0</v>
      </c>
      <c r="F1473" s="116">
        <v>0</v>
      </c>
      <c r="G1473" s="116">
        <v>0</v>
      </c>
      <c r="H1473" s="116">
        <v>0</v>
      </c>
      <c r="I1473" s="52">
        <v>0</v>
      </c>
      <c r="J1473" s="52">
        <v>1</v>
      </c>
      <c r="K1473" s="52">
        <v>1</v>
      </c>
      <c r="L1473" s="52">
        <v>1</v>
      </c>
      <c r="M1473" s="87">
        <v>1</v>
      </c>
      <c r="N1473" s="26">
        <f t="shared" si="277"/>
        <v>0</v>
      </c>
      <c r="O1473" s="2">
        <f t="shared" si="278"/>
        <v>1</v>
      </c>
      <c r="P1473" s="24">
        <f t="shared" si="279"/>
        <v>1</v>
      </c>
    </row>
    <row r="1474" spans="1:16" ht="9.75" customHeight="1">
      <c r="A1474" s="18"/>
      <c r="B1474" s="18" t="s">
        <v>36</v>
      </c>
      <c r="C1474" s="18"/>
      <c r="D1474" s="26"/>
      <c r="E1474" s="2"/>
      <c r="F1474" s="2"/>
      <c r="G1474" s="2"/>
      <c r="H1474" s="2"/>
      <c r="I1474" s="2"/>
      <c r="J1474" s="2"/>
      <c r="K1474" s="2"/>
      <c r="L1474" s="2"/>
      <c r="M1474" s="27"/>
      <c r="N1474" s="26"/>
      <c r="O1474" s="2"/>
      <c r="P1474" s="24"/>
    </row>
    <row r="1475" spans="1:16" ht="9.75" customHeight="1">
      <c r="A1475" s="18"/>
      <c r="B1475" s="18" t="s">
        <v>37</v>
      </c>
      <c r="C1475" s="18"/>
      <c r="D1475" s="26"/>
      <c r="E1475" s="2"/>
      <c r="F1475" s="2"/>
      <c r="G1475" s="2"/>
      <c r="H1475" s="2"/>
      <c r="I1475" s="2"/>
      <c r="J1475" s="2"/>
      <c r="K1475" s="2"/>
      <c r="L1475" s="2"/>
      <c r="M1475" s="27"/>
      <c r="N1475" s="26"/>
      <c r="O1475" s="2"/>
      <c r="P1475" s="24"/>
    </row>
    <row r="1476" spans="1:16" ht="9.75" customHeight="1">
      <c r="A1476" s="32"/>
      <c r="B1476" s="33" t="s">
        <v>38</v>
      </c>
      <c r="C1476" s="33">
        <f t="shared" ref="C1476:M1476" si="280">SUM(C1460:C1475)</f>
        <v>57</v>
      </c>
      <c r="D1476" s="70">
        <f t="shared" si="280"/>
        <v>41</v>
      </c>
      <c r="E1476" s="71">
        <f t="shared" si="280"/>
        <v>35</v>
      </c>
      <c r="F1476" s="71">
        <f t="shared" si="280"/>
        <v>25</v>
      </c>
      <c r="G1476" s="71">
        <f t="shared" si="280"/>
        <v>27</v>
      </c>
      <c r="H1476" s="71">
        <f t="shared" si="280"/>
        <v>26</v>
      </c>
      <c r="I1476" s="39">
        <f t="shared" si="280"/>
        <v>26</v>
      </c>
      <c r="J1476" s="39">
        <f t="shared" si="280"/>
        <v>25</v>
      </c>
      <c r="K1476" s="39">
        <f t="shared" si="280"/>
        <v>31</v>
      </c>
      <c r="L1476" s="39">
        <f t="shared" si="280"/>
        <v>38</v>
      </c>
      <c r="M1476" s="95">
        <f t="shared" si="280"/>
        <v>36</v>
      </c>
      <c r="N1476" s="70">
        <f>MIN(D1476:M1476)</f>
        <v>25</v>
      </c>
      <c r="O1476" s="71">
        <f>C1476-N1476</f>
        <v>32</v>
      </c>
      <c r="P1476" s="40">
        <f>O1476/C1476</f>
        <v>0.56140350877192979</v>
      </c>
    </row>
    <row r="1477" spans="1:16" ht="9.75" customHeight="1">
      <c r="A1477" s="66" t="s">
        <v>254</v>
      </c>
      <c r="B1477" s="66" t="s">
        <v>23</v>
      </c>
      <c r="C1477" s="18"/>
      <c r="D1477" s="26"/>
      <c r="E1477" s="2"/>
      <c r="F1477" s="2"/>
      <c r="G1477" s="2"/>
      <c r="H1477" s="2"/>
      <c r="I1477" s="2"/>
      <c r="J1477" s="2"/>
      <c r="K1477" s="2"/>
      <c r="L1477" s="2"/>
      <c r="M1477" s="27"/>
      <c r="N1477" s="26"/>
      <c r="O1477" s="2"/>
      <c r="P1477" s="24"/>
    </row>
    <row r="1478" spans="1:16" ht="9.75" customHeight="1">
      <c r="A1478" s="18"/>
      <c r="B1478" s="18" t="s">
        <v>25</v>
      </c>
      <c r="C1478" s="18"/>
      <c r="D1478" s="26"/>
      <c r="E1478" s="2"/>
      <c r="F1478" s="2"/>
      <c r="G1478" s="2"/>
      <c r="H1478" s="2"/>
      <c r="I1478" s="2"/>
      <c r="J1478" s="2"/>
      <c r="K1478" s="2"/>
      <c r="L1478" s="2"/>
      <c r="M1478" s="27"/>
      <c r="N1478" s="26"/>
      <c r="O1478" s="2"/>
      <c r="P1478" s="24"/>
    </row>
    <row r="1479" spans="1:16" ht="9.75" customHeight="1">
      <c r="A1479" s="18"/>
      <c r="B1479" s="18" t="s">
        <v>27</v>
      </c>
      <c r="C1479" s="18"/>
      <c r="D1479" s="26"/>
      <c r="E1479" s="2"/>
      <c r="F1479" s="2"/>
      <c r="G1479" s="2"/>
      <c r="H1479" s="2"/>
      <c r="I1479" s="2"/>
      <c r="J1479" s="2"/>
      <c r="K1479" s="2"/>
      <c r="L1479" s="2"/>
      <c r="M1479" s="27"/>
      <c r="N1479" s="26"/>
      <c r="O1479" s="2"/>
      <c r="P1479" s="24"/>
    </row>
    <row r="1480" spans="1:16" ht="9.75" customHeight="1">
      <c r="A1480" s="18"/>
      <c r="B1480" s="18" t="s">
        <v>99</v>
      </c>
      <c r="C1480" s="18"/>
      <c r="D1480" s="26"/>
      <c r="E1480" s="2"/>
      <c r="F1480" s="2"/>
      <c r="G1480" s="2"/>
      <c r="H1480" s="2"/>
      <c r="I1480" s="2"/>
      <c r="J1480" s="2"/>
      <c r="K1480" s="2"/>
      <c r="L1480" s="2"/>
      <c r="M1480" s="27"/>
      <c r="N1480" s="26"/>
      <c r="O1480" s="2"/>
      <c r="P1480" s="24"/>
    </row>
    <row r="1481" spans="1:16" ht="9.75" customHeight="1">
      <c r="A1481" s="18"/>
      <c r="B1481" s="18" t="s">
        <v>99</v>
      </c>
      <c r="C1481" s="18"/>
      <c r="D1481" s="26"/>
      <c r="E1481" s="2"/>
      <c r="F1481" s="2"/>
      <c r="G1481" s="2"/>
      <c r="H1481" s="2"/>
      <c r="I1481" s="2"/>
      <c r="J1481" s="2"/>
      <c r="K1481" s="2"/>
      <c r="L1481" s="2"/>
      <c r="M1481" s="27"/>
      <c r="N1481" s="26"/>
      <c r="O1481" s="2"/>
      <c r="P1481" s="24"/>
    </row>
    <row r="1482" spans="1:16" ht="9.75" customHeight="1">
      <c r="A1482" s="18"/>
      <c r="B1482" s="18" t="s">
        <v>32</v>
      </c>
      <c r="C1482" s="18">
        <v>35</v>
      </c>
      <c r="D1482" s="115">
        <v>34</v>
      </c>
      <c r="E1482" s="116">
        <v>34</v>
      </c>
      <c r="F1482" s="116">
        <v>32</v>
      </c>
      <c r="G1482" s="116">
        <v>32</v>
      </c>
      <c r="H1482" s="116">
        <v>32</v>
      </c>
      <c r="I1482" s="52">
        <v>33</v>
      </c>
      <c r="J1482" s="52">
        <v>31</v>
      </c>
      <c r="K1482" s="52">
        <v>30</v>
      </c>
      <c r="L1482" s="52">
        <v>32</v>
      </c>
      <c r="M1482" s="87">
        <v>32</v>
      </c>
      <c r="N1482" s="26">
        <f>MIN(D1482:M1482)</f>
        <v>30</v>
      </c>
      <c r="O1482" s="2">
        <f>C1482-N1482</f>
        <v>5</v>
      </c>
      <c r="P1482" s="24">
        <f>O1482/C1482</f>
        <v>0.14285714285714285</v>
      </c>
    </row>
    <row r="1483" spans="1:16" ht="9.75" customHeight="1">
      <c r="A1483" s="18"/>
      <c r="B1483" s="18" t="s">
        <v>104</v>
      </c>
      <c r="C1483" s="18"/>
      <c r="D1483" s="26"/>
      <c r="E1483" s="2"/>
      <c r="F1483" s="2"/>
      <c r="G1483" s="2"/>
      <c r="H1483" s="2"/>
      <c r="I1483" s="111"/>
      <c r="J1483" s="111"/>
      <c r="K1483" s="111"/>
      <c r="L1483" s="111"/>
      <c r="M1483" s="112"/>
      <c r="N1483" s="26"/>
      <c r="O1483" s="2"/>
      <c r="P1483" s="24"/>
    </row>
    <row r="1484" spans="1:16" ht="9.75" customHeight="1">
      <c r="A1484" s="18"/>
      <c r="B1484" s="18" t="s">
        <v>104</v>
      </c>
      <c r="C1484" s="18"/>
      <c r="D1484" s="26"/>
      <c r="E1484" s="2"/>
      <c r="F1484" s="2"/>
      <c r="G1484" s="2"/>
      <c r="H1484" s="2"/>
      <c r="I1484" s="111"/>
      <c r="J1484" s="111"/>
      <c r="K1484" s="111"/>
      <c r="L1484" s="111"/>
      <c r="M1484" s="112"/>
      <c r="N1484" s="26"/>
      <c r="O1484" s="2"/>
      <c r="P1484" s="24"/>
    </row>
    <row r="1485" spans="1:16" ht="9.75" customHeight="1">
      <c r="A1485" s="18"/>
      <c r="B1485" s="18" t="s">
        <v>104</v>
      </c>
      <c r="C1485" s="18"/>
      <c r="D1485" s="26"/>
      <c r="E1485" s="2"/>
      <c r="F1485" s="2"/>
      <c r="G1485" s="2"/>
      <c r="H1485" s="2"/>
      <c r="I1485" s="111"/>
      <c r="J1485" s="111"/>
      <c r="K1485" s="111"/>
      <c r="L1485" s="111"/>
      <c r="M1485" s="112"/>
      <c r="N1485" s="26"/>
      <c r="O1485" s="2"/>
      <c r="P1485" s="24"/>
    </row>
    <row r="1486" spans="1:16" ht="9.75" customHeight="1">
      <c r="A1486" s="18"/>
      <c r="B1486" s="18" t="s">
        <v>104</v>
      </c>
      <c r="C1486" s="18"/>
      <c r="D1486" s="26"/>
      <c r="E1486" s="2"/>
      <c r="F1486" s="2"/>
      <c r="G1486" s="2"/>
      <c r="H1486" s="2"/>
      <c r="I1486" s="111"/>
      <c r="J1486" s="111"/>
      <c r="K1486" s="111"/>
      <c r="L1486" s="111"/>
      <c r="M1486" s="112"/>
      <c r="N1486" s="26"/>
      <c r="O1486" s="2"/>
      <c r="P1486" s="24"/>
    </row>
    <row r="1487" spans="1:16" ht="9.75" customHeight="1">
      <c r="A1487" s="18"/>
      <c r="B1487" s="18" t="s">
        <v>104</v>
      </c>
      <c r="C1487" s="18"/>
      <c r="D1487" s="26"/>
      <c r="E1487" s="2"/>
      <c r="F1487" s="2"/>
      <c r="G1487" s="2"/>
      <c r="H1487" s="2"/>
      <c r="I1487" s="111"/>
      <c r="J1487" s="111"/>
      <c r="K1487" s="111"/>
      <c r="L1487" s="111"/>
      <c r="M1487" s="112"/>
      <c r="N1487" s="26"/>
      <c r="O1487" s="2"/>
      <c r="P1487" s="24"/>
    </row>
    <row r="1488" spans="1:16" ht="9.75" customHeight="1">
      <c r="A1488" s="18"/>
      <c r="B1488" s="18" t="s">
        <v>104</v>
      </c>
      <c r="C1488" s="18"/>
      <c r="D1488" s="26"/>
      <c r="E1488" s="2"/>
      <c r="F1488" s="2"/>
      <c r="G1488" s="2"/>
      <c r="H1488" s="2"/>
      <c r="I1488" s="111"/>
      <c r="J1488" s="111"/>
      <c r="K1488" s="111"/>
      <c r="L1488" s="111"/>
      <c r="M1488" s="112"/>
      <c r="N1488" s="26"/>
      <c r="O1488" s="2"/>
      <c r="P1488" s="24"/>
    </row>
    <row r="1489" spans="1:16" ht="9.75" customHeight="1">
      <c r="A1489" s="18"/>
      <c r="B1489" s="18" t="s">
        <v>34</v>
      </c>
      <c r="C1489" s="18">
        <v>5</v>
      </c>
      <c r="D1489" s="115">
        <v>5</v>
      </c>
      <c r="E1489" s="116">
        <v>5</v>
      </c>
      <c r="F1489" s="116">
        <v>4</v>
      </c>
      <c r="G1489" s="116">
        <v>5</v>
      </c>
      <c r="H1489" s="116">
        <v>5</v>
      </c>
      <c r="I1489" s="52">
        <v>5</v>
      </c>
      <c r="J1489" s="52">
        <v>5</v>
      </c>
      <c r="K1489" s="52">
        <v>5</v>
      </c>
      <c r="L1489" s="52">
        <v>5</v>
      </c>
      <c r="M1489" s="87">
        <v>5</v>
      </c>
      <c r="N1489" s="26">
        <f>MIN(D1489:M1489)</f>
        <v>4</v>
      </c>
      <c r="O1489" s="2">
        <f>C1489-N1489</f>
        <v>1</v>
      </c>
      <c r="P1489" s="24">
        <f>O1489/C1489</f>
        <v>0.2</v>
      </c>
    </row>
    <row r="1490" spans="1:16" ht="9.75" customHeight="1">
      <c r="A1490" s="18"/>
      <c r="B1490" s="18" t="s">
        <v>35</v>
      </c>
      <c r="C1490" s="18"/>
      <c r="D1490" s="26"/>
      <c r="E1490" s="2"/>
      <c r="F1490" s="2"/>
      <c r="G1490" s="2"/>
      <c r="H1490" s="2"/>
      <c r="I1490" s="2"/>
      <c r="J1490" s="2"/>
      <c r="K1490" s="2"/>
      <c r="L1490" s="2"/>
      <c r="M1490" s="27"/>
      <c r="N1490" s="26"/>
      <c r="O1490" s="2"/>
      <c r="P1490" s="24"/>
    </row>
    <row r="1491" spans="1:16" ht="9.75" customHeight="1">
      <c r="A1491" s="18"/>
      <c r="B1491" s="18" t="s">
        <v>36</v>
      </c>
      <c r="C1491" s="18"/>
      <c r="D1491" s="26"/>
      <c r="E1491" s="2"/>
      <c r="F1491" s="2"/>
      <c r="G1491" s="2"/>
      <c r="H1491" s="2"/>
      <c r="I1491" s="2"/>
      <c r="J1491" s="2"/>
      <c r="K1491" s="2"/>
      <c r="L1491" s="2"/>
      <c r="M1491" s="27"/>
      <c r="N1491" s="26"/>
      <c r="O1491" s="2"/>
      <c r="P1491" s="24"/>
    </row>
    <row r="1492" spans="1:16" ht="9.75" customHeight="1">
      <c r="A1492" s="18"/>
      <c r="B1492" s="18" t="s">
        <v>37</v>
      </c>
      <c r="C1492" s="18"/>
      <c r="D1492" s="26"/>
      <c r="E1492" s="2"/>
      <c r="F1492" s="2"/>
      <c r="G1492" s="2"/>
      <c r="H1492" s="2"/>
      <c r="I1492" s="2"/>
      <c r="J1492" s="2"/>
      <c r="K1492" s="2"/>
      <c r="L1492" s="2"/>
      <c r="M1492" s="27"/>
      <c r="N1492" s="26"/>
      <c r="O1492" s="2"/>
      <c r="P1492" s="24"/>
    </row>
    <row r="1493" spans="1:16" ht="9.75" customHeight="1">
      <c r="A1493" s="32"/>
      <c r="B1493" s="33" t="s">
        <v>38</v>
      </c>
      <c r="C1493" s="33">
        <f t="shared" ref="C1493:M1493" si="281">SUM(C1477:C1492)</f>
        <v>40</v>
      </c>
      <c r="D1493" s="70">
        <f t="shared" si="281"/>
        <v>39</v>
      </c>
      <c r="E1493" s="71">
        <f t="shared" si="281"/>
        <v>39</v>
      </c>
      <c r="F1493" s="71">
        <f t="shared" si="281"/>
        <v>36</v>
      </c>
      <c r="G1493" s="71">
        <f t="shared" si="281"/>
        <v>37</v>
      </c>
      <c r="H1493" s="71">
        <f t="shared" si="281"/>
        <v>37</v>
      </c>
      <c r="I1493" s="71">
        <f t="shared" si="281"/>
        <v>38</v>
      </c>
      <c r="J1493" s="71">
        <f t="shared" si="281"/>
        <v>36</v>
      </c>
      <c r="K1493" s="71">
        <f t="shared" si="281"/>
        <v>35</v>
      </c>
      <c r="L1493" s="71">
        <f t="shared" si="281"/>
        <v>37</v>
      </c>
      <c r="M1493" s="93">
        <f t="shared" si="281"/>
        <v>37</v>
      </c>
      <c r="N1493" s="70">
        <f>MIN(D1493:M1493)</f>
        <v>35</v>
      </c>
      <c r="O1493" s="71">
        <f>C1493-N1493</f>
        <v>5</v>
      </c>
      <c r="P1493" s="40">
        <f>O1493/C1493</f>
        <v>0.125</v>
      </c>
    </row>
    <row r="1494" spans="1:16" ht="9.75" customHeight="1">
      <c r="A1494" s="66" t="s">
        <v>255</v>
      </c>
      <c r="B1494" s="66" t="s">
        <v>23</v>
      </c>
      <c r="C1494" s="66"/>
      <c r="D1494" s="41"/>
      <c r="E1494" s="72"/>
      <c r="F1494" s="72"/>
      <c r="G1494" s="72"/>
      <c r="H1494" s="72"/>
      <c r="I1494" s="72"/>
      <c r="J1494" s="72"/>
      <c r="K1494" s="72"/>
      <c r="L1494" s="72"/>
      <c r="M1494" s="73"/>
      <c r="N1494" s="41"/>
      <c r="O1494" s="72"/>
      <c r="P1494" s="99"/>
    </row>
    <row r="1495" spans="1:16" ht="9.75" customHeight="1">
      <c r="A1495" s="18"/>
      <c r="B1495" s="18" t="s">
        <v>25</v>
      </c>
      <c r="C1495" s="18"/>
      <c r="D1495" s="26"/>
      <c r="E1495" s="2"/>
      <c r="F1495" s="2"/>
      <c r="G1495" s="2"/>
      <c r="H1495" s="2"/>
      <c r="I1495" s="2"/>
      <c r="J1495" s="2"/>
      <c r="K1495" s="2"/>
      <c r="L1495" s="2"/>
      <c r="M1495" s="27"/>
      <c r="N1495" s="26"/>
      <c r="O1495" s="2"/>
      <c r="P1495" s="24"/>
    </row>
    <row r="1496" spans="1:16" ht="9.75" customHeight="1">
      <c r="A1496" s="18"/>
      <c r="B1496" s="18" t="s">
        <v>27</v>
      </c>
      <c r="C1496" s="18"/>
      <c r="D1496" s="26"/>
      <c r="E1496" s="2"/>
      <c r="F1496" s="2"/>
      <c r="G1496" s="2"/>
      <c r="H1496" s="2"/>
      <c r="I1496" s="2"/>
      <c r="J1496" s="2"/>
      <c r="K1496" s="2"/>
      <c r="L1496" s="2"/>
      <c r="M1496" s="27"/>
      <c r="N1496" s="26"/>
      <c r="O1496" s="2"/>
      <c r="P1496" s="24"/>
    </row>
    <row r="1497" spans="1:16" ht="9.75" customHeight="1">
      <c r="A1497" s="18"/>
      <c r="B1497" s="18" t="s">
        <v>99</v>
      </c>
      <c r="C1497" s="18"/>
      <c r="D1497" s="26"/>
      <c r="E1497" s="2"/>
      <c r="F1497" s="2"/>
      <c r="G1497" s="2"/>
      <c r="H1497" s="2"/>
      <c r="I1497" s="2"/>
      <c r="J1497" s="2"/>
      <c r="K1497" s="2"/>
      <c r="L1497" s="2"/>
      <c r="M1497" s="27"/>
      <c r="N1497" s="26"/>
      <c r="O1497" s="2"/>
      <c r="P1497" s="24"/>
    </row>
    <row r="1498" spans="1:16" ht="9.75" customHeight="1">
      <c r="A1498" s="18"/>
      <c r="B1498" s="18" t="s">
        <v>99</v>
      </c>
      <c r="C1498" s="18"/>
      <c r="D1498" s="26"/>
      <c r="E1498" s="2"/>
      <c r="F1498" s="2"/>
      <c r="G1498" s="2"/>
      <c r="H1498" s="2"/>
      <c r="I1498" s="2"/>
      <c r="J1498" s="2"/>
      <c r="K1498" s="2"/>
      <c r="L1498" s="2"/>
      <c r="M1498" s="27"/>
      <c r="N1498" s="26"/>
      <c r="O1498" s="2"/>
      <c r="P1498" s="24"/>
    </row>
    <row r="1499" spans="1:16" ht="9.75" customHeight="1">
      <c r="A1499" s="18"/>
      <c r="B1499" s="18" t="s">
        <v>32</v>
      </c>
      <c r="C1499" s="18">
        <v>1</v>
      </c>
      <c r="D1499" s="115">
        <v>0</v>
      </c>
      <c r="E1499" s="116">
        <v>0</v>
      </c>
      <c r="F1499" s="116">
        <v>0</v>
      </c>
      <c r="G1499" s="116">
        <v>0</v>
      </c>
      <c r="H1499" s="116">
        <v>0</v>
      </c>
      <c r="I1499" s="2">
        <v>0</v>
      </c>
      <c r="J1499" s="2">
        <v>0</v>
      </c>
      <c r="K1499" s="2">
        <v>0</v>
      </c>
      <c r="L1499" s="2">
        <v>0</v>
      </c>
      <c r="M1499" s="27">
        <v>1</v>
      </c>
      <c r="N1499" s="26">
        <f>MIN(D1499:M1499)</f>
        <v>0</v>
      </c>
      <c r="O1499" s="2">
        <f>C1499-N1499</f>
        <v>1</v>
      </c>
      <c r="P1499" s="24">
        <f>O1499/C1499</f>
        <v>1</v>
      </c>
    </row>
    <row r="1500" spans="1:16" ht="9.75" customHeight="1">
      <c r="A1500" s="18"/>
      <c r="B1500" s="18" t="s">
        <v>104</v>
      </c>
      <c r="C1500" s="18"/>
      <c r="D1500" s="26"/>
      <c r="E1500" s="2"/>
      <c r="F1500" s="2"/>
      <c r="G1500" s="2"/>
      <c r="H1500" s="2"/>
      <c r="I1500" s="2"/>
      <c r="J1500" s="2"/>
      <c r="K1500" s="2"/>
      <c r="L1500" s="2"/>
      <c r="M1500" s="27"/>
      <c r="N1500" s="26"/>
      <c r="O1500" s="2"/>
      <c r="P1500" s="24"/>
    </row>
    <row r="1501" spans="1:16" ht="9.75" customHeight="1">
      <c r="A1501" s="18"/>
      <c r="B1501" s="18" t="s">
        <v>104</v>
      </c>
      <c r="C1501" s="18"/>
      <c r="D1501" s="26"/>
      <c r="E1501" s="2"/>
      <c r="F1501" s="2"/>
      <c r="G1501" s="2"/>
      <c r="H1501" s="2"/>
      <c r="I1501" s="2"/>
      <c r="J1501" s="2"/>
      <c r="K1501" s="2"/>
      <c r="L1501" s="2"/>
      <c r="M1501" s="27"/>
      <c r="N1501" s="26"/>
      <c r="O1501" s="2"/>
      <c r="P1501" s="24"/>
    </row>
    <row r="1502" spans="1:16" ht="9.75" customHeight="1">
      <c r="A1502" s="18"/>
      <c r="B1502" s="18" t="s">
        <v>104</v>
      </c>
      <c r="C1502" s="18"/>
      <c r="D1502" s="26"/>
      <c r="E1502" s="2"/>
      <c r="F1502" s="2"/>
      <c r="G1502" s="2"/>
      <c r="H1502" s="2"/>
      <c r="I1502" s="2"/>
      <c r="J1502" s="2"/>
      <c r="K1502" s="2"/>
      <c r="L1502" s="2"/>
      <c r="M1502" s="27"/>
      <c r="N1502" s="26"/>
      <c r="O1502" s="2"/>
      <c r="P1502" s="24"/>
    </row>
    <row r="1503" spans="1:16" ht="9.75" customHeight="1">
      <c r="A1503" s="18"/>
      <c r="B1503" s="18" t="s">
        <v>104</v>
      </c>
      <c r="C1503" s="18"/>
      <c r="D1503" s="26"/>
      <c r="E1503" s="2"/>
      <c r="F1503" s="2"/>
      <c r="G1503" s="2"/>
      <c r="H1503" s="2"/>
      <c r="I1503" s="2"/>
      <c r="J1503" s="2"/>
      <c r="K1503" s="2"/>
      <c r="L1503" s="2"/>
      <c r="M1503" s="27"/>
      <c r="N1503" s="26"/>
      <c r="O1503" s="2"/>
      <c r="P1503" s="24"/>
    </row>
    <row r="1504" spans="1:16" ht="9.75" customHeight="1">
      <c r="A1504" s="18"/>
      <c r="B1504" s="18" t="s">
        <v>104</v>
      </c>
      <c r="C1504" s="18"/>
      <c r="D1504" s="26"/>
      <c r="E1504" s="2"/>
      <c r="F1504" s="2"/>
      <c r="G1504" s="2"/>
      <c r="H1504" s="2"/>
      <c r="I1504" s="2"/>
      <c r="J1504" s="2"/>
      <c r="K1504" s="2"/>
      <c r="L1504" s="2"/>
      <c r="M1504" s="27"/>
      <c r="N1504" s="26"/>
      <c r="O1504" s="2"/>
      <c r="P1504" s="24"/>
    </row>
    <row r="1505" spans="1:16" ht="9.75" customHeight="1">
      <c r="A1505" s="18"/>
      <c r="B1505" s="18" t="s">
        <v>104</v>
      </c>
      <c r="C1505" s="18"/>
      <c r="D1505" s="26"/>
      <c r="E1505" s="2"/>
      <c r="F1505" s="2"/>
      <c r="G1505" s="2"/>
      <c r="H1505" s="2"/>
      <c r="I1505" s="2"/>
      <c r="J1505" s="2"/>
      <c r="K1505" s="2"/>
      <c r="L1505" s="2"/>
      <c r="M1505" s="27"/>
      <c r="N1505" s="26"/>
      <c r="O1505" s="2"/>
      <c r="P1505" s="24"/>
    </row>
    <row r="1506" spans="1:16" ht="9.75" customHeight="1">
      <c r="A1506" s="18"/>
      <c r="B1506" s="18" t="s">
        <v>34</v>
      </c>
      <c r="C1506" s="18">
        <v>2</v>
      </c>
      <c r="D1506" s="115">
        <v>2</v>
      </c>
      <c r="E1506" s="116">
        <v>2</v>
      </c>
      <c r="F1506" s="116">
        <v>2</v>
      </c>
      <c r="G1506" s="116">
        <v>2</v>
      </c>
      <c r="H1506" s="116">
        <v>2</v>
      </c>
      <c r="I1506" s="52">
        <v>2</v>
      </c>
      <c r="J1506" s="52">
        <v>2</v>
      </c>
      <c r="K1506" s="52">
        <v>2</v>
      </c>
      <c r="L1506" s="52">
        <v>1</v>
      </c>
      <c r="M1506" s="87">
        <v>2</v>
      </c>
      <c r="N1506" s="26">
        <f>MIN(D1506:M1506)</f>
        <v>1</v>
      </c>
      <c r="O1506" s="2">
        <f>C1506-N1506</f>
        <v>1</v>
      </c>
      <c r="P1506" s="24">
        <f>O1506/C1506</f>
        <v>0.5</v>
      </c>
    </row>
    <row r="1507" spans="1:16" ht="9.75" customHeight="1">
      <c r="A1507" s="18"/>
      <c r="B1507" s="18" t="s">
        <v>35</v>
      </c>
      <c r="C1507" s="18"/>
      <c r="D1507" s="26"/>
      <c r="E1507" s="2"/>
      <c r="F1507" s="2"/>
      <c r="G1507" s="2"/>
      <c r="H1507" s="2"/>
      <c r="I1507" s="2"/>
      <c r="J1507" s="2"/>
      <c r="K1507" s="2"/>
      <c r="L1507" s="2"/>
      <c r="M1507" s="27"/>
      <c r="N1507" s="26"/>
      <c r="O1507" s="2"/>
      <c r="P1507" s="24"/>
    </row>
    <row r="1508" spans="1:16" ht="9.75" customHeight="1">
      <c r="A1508" s="18"/>
      <c r="B1508" s="18" t="s">
        <v>36</v>
      </c>
      <c r="C1508" s="18"/>
      <c r="D1508" s="26"/>
      <c r="E1508" s="2"/>
      <c r="F1508" s="2"/>
      <c r="G1508" s="2"/>
      <c r="H1508" s="2"/>
      <c r="I1508" s="2"/>
      <c r="J1508" s="2"/>
      <c r="K1508" s="2"/>
      <c r="L1508" s="2"/>
      <c r="M1508" s="27"/>
      <c r="N1508" s="26"/>
      <c r="O1508" s="2"/>
      <c r="P1508" s="24"/>
    </row>
    <row r="1509" spans="1:16" ht="9.75" customHeight="1">
      <c r="A1509" s="18"/>
      <c r="B1509" s="18" t="s">
        <v>37</v>
      </c>
      <c r="C1509" s="18"/>
      <c r="D1509" s="26"/>
      <c r="E1509" s="2"/>
      <c r="F1509" s="2"/>
      <c r="G1509" s="2"/>
      <c r="H1509" s="2"/>
      <c r="I1509" s="2"/>
      <c r="J1509" s="2"/>
      <c r="K1509" s="2"/>
      <c r="L1509" s="2"/>
      <c r="M1509" s="27"/>
      <c r="N1509" s="26"/>
      <c r="O1509" s="2"/>
      <c r="P1509" s="24"/>
    </row>
    <row r="1510" spans="1:16" ht="9.75" customHeight="1">
      <c r="A1510" s="32"/>
      <c r="B1510" s="33" t="s">
        <v>38</v>
      </c>
      <c r="C1510" s="33">
        <f t="shared" ref="C1510:M1510" si="282">SUM(C1494:C1509)</f>
        <v>3</v>
      </c>
      <c r="D1510" s="70">
        <f t="shared" si="282"/>
        <v>2</v>
      </c>
      <c r="E1510" s="71">
        <f t="shared" si="282"/>
        <v>2</v>
      </c>
      <c r="F1510" s="71">
        <f t="shared" si="282"/>
        <v>2</v>
      </c>
      <c r="G1510" s="71">
        <f t="shared" si="282"/>
        <v>2</v>
      </c>
      <c r="H1510" s="71">
        <f t="shared" si="282"/>
        <v>2</v>
      </c>
      <c r="I1510" s="71">
        <f t="shared" si="282"/>
        <v>2</v>
      </c>
      <c r="J1510" s="71">
        <f t="shared" si="282"/>
        <v>2</v>
      </c>
      <c r="K1510" s="71">
        <f t="shared" si="282"/>
        <v>2</v>
      </c>
      <c r="L1510" s="71">
        <f t="shared" si="282"/>
        <v>1</v>
      </c>
      <c r="M1510" s="93">
        <f t="shared" si="282"/>
        <v>3</v>
      </c>
      <c r="N1510" s="70">
        <f t="shared" ref="N1510:N1511" si="283">MIN(D1510:M1510)</f>
        <v>1</v>
      </c>
      <c r="O1510" s="71">
        <f t="shared" ref="O1510:O1511" si="284">C1510-N1510</f>
        <v>2</v>
      </c>
      <c r="P1510" s="40">
        <f t="shared" ref="P1510:P1511" si="285">O1510/C1510</f>
        <v>0.66666666666666663</v>
      </c>
    </row>
    <row r="1511" spans="1:16" ht="9.75" customHeight="1">
      <c r="A1511" s="66" t="s">
        <v>256</v>
      </c>
      <c r="B1511" s="66" t="s">
        <v>23</v>
      </c>
      <c r="C1511" s="66">
        <v>3</v>
      </c>
      <c r="D1511" s="158">
        <v>3</v>
      </c>
      <c r="E1511" s="159">
        <v>3</v>
      </c>
      <c r="F1511" s="159">
        <v>3</v>
      </c>
      <c r="G1511" s="159">
        <v>3</v>
      </c>
      <c r="H1511" s="159">
        <v>3</v>
      </c>
      <c r="I1511" s="52">
        <v>3</v>
      </c>
      <c r="J1511" s="52">
        <v>3</v>
      </c>
      <c r="K1511" s="52">
        <v>3</v>
      </c>
      <c r="L1511" s="52">
        <v>3</v>
      </c>
      <c r="M1511" s="87">
        <v>3</v>
      </c>
      <c r="N1511" s="41">
        <f t="shared" si="283"/>
        <v>3</v>
      </c>
      <c r="O1511" s="72">
        <f t="shared" si="284"/>
        <v>0</v>
      </c>
      <c r="P1511" s="99">
        <f t="shared" si="285"/>
        <v>0</v>
      </c>
    </row>
    <row r="1512" spans="1:16" ht="9.75" customHeight="1">
      <c r="A1512" s="18"/>
      <c r="B1512" s="18" t="s">
        <v>25</v>
      </c>
      <c r="C1512" s="18"/>
      <c r="D1512" s="26"/>
      <c r="E1512" s="2"/>
      <c r="F1512" s="2"/>
      <c r="G1512" s="2"/>
      <c r="H1512" s="2"/>
      <c r="I1512" s="2"/>
      <c r="J1512" s="2"/>
      <c r="K1512" s="2"/>
      <c r="L1512" s="2"/>
      <c r="M1512" s="27"/>
      <c r="N1512" s="26"/>
      <c r="O1512" s="2"/>
      <c r="P1512" s="24"/>
    </row>
    <row r="1513" spans="1:16" ht="9.75" customHeight="1">
      <c r="A1513" s="18"/>
      <c r="B1513" s="18" t="s">
        <v>27</v>
      </c>
      <c r="C1513" s="18"/>
      <c r="D1513" s="26"/>
      <c r="E1513" s="2"/>
      <c r="F1513" s="2"/>
      <c r="G1513" s="2"/>
      <c r="H1513" s="2"/>
      <c r="I1513" s="2"/>
      <c r="J1513" s="2"/>
      <c r="K1513" s="2"/>
      <c r="L1513" s="2"/>
      <c r="M1513" s="27"/>
      <c r="N1513" s="26"/>
      <c r="O1513" s="2"/>
      <c r="P1513" s="24"/>
    </row>
    <row r="1514" spans="1:16" ht="9.75" customHeight="1">
      <c r="A1514" s="18"/>
      <c r="B1514" s="18" t="s">
        <v>99</v>
      </c>
      <c r="C1514" s="18"/>
      <c r="D1514" s="26"/>
      <c r="E1514" s="2"/>
      <c r="F1514" s="2"/>
      <c r="G1514" s="2"/>
      <c r="H1514" s="2"/>
      <c r="I1514" s="2"/>
      <c r="J1514" s="2"/>
      <c r="K1514" s="2"/>
      <c r="L1514" s="2"/>
      <c r="M1514" s="27"/>
      <c r="N1514" s="26"/>
      <c r="O1514" s="2"/>
      <c r="P1514" s="24"/>
    </row>
    <row r="1515" spans="1:16" ht="9.75" customHeight="1">
      <c r="A1515" s="18"/>
      <c r="B1515" s="18" t="s">
        <v>99</v>
      </c>
      <c r="C1515" s="18"/>
      <c r="D1515" s="26"/>
      <c r="E1515" s="2"/>
      <c r="F1515" s="2"/>
      <c r="G1515" s="2"/>
      <c r="H1515" s="2"/>
      <c r="I1515" s="2"/>
      <c r="J1515" s="2"/>
      <c r="K1515" s="2"/>
      <c r="L1515" s="2"/>
      <c r="M1515" s="27"/>
      <c r="N1515" s="26"/>
      <c r="O1515" s="2"/>
      <c r="P1515" s="24"/>
    </row>
    <row r="1516" spans="1:16" ht="9.75" customHeight="1">
      <c r="A1516" s="18"/>
      <c r="B1516" s="18" t="s">
        <v>32</v>
      </c>
      <c r="C1516" s="18">
        <v>3</v>
      </c>
      <c r="D1516" s="115">
        <v>3</v>
      </c>
      <c r="E1516" s="116">
        <v>3</v>
      </c>
      <c r="F1516" s="116">
        <v>3</v>
      </c>
      <c r="G1516" s="116">
        <v>3</v>
      </c>
      <c r="H1516" s="116">
        <v>3</v>
      </c>
      <c r="I1516" s="52">
        <v>3</v>
      </c>
      <c r="J1516" s="52">
        <v>3</v>
      </c>
      <c r="K1516" s="52">
        <v>3</v>
      </c>
      <c r="L1516" s="52">
        <v>3</v>
      </c>
      <c r="M1516" s="87">
        <v>3</v>
      </c>
      <c r="N1516" s="26">
        <f>MIN(D1516:M1516)</f>
        <v>3</v>
      </c>
      <c r="O1516" s="2">
        <f>C1516-N1516</f>
        <v>0</v>
      </c>
      <c r="P1516" s="24">
        <f>O1516/C1516</f>
        <v>0</v>
      </c>
    </row>
    <row r="1517" spans="1:16" ht="9.75" customHeight="1">
      <c r="A1517" s="18"/>
      <c r="B1517" s="18" t="s">
        <v>104</v>
      </c>
      <c r="C1517" s="18"/>
      <c r="D1517" s="26"/>
      <c r="E1517" s="2"/>
      <c r="F1517" s="2"/>
      <c r="G1517" s="2"/>
      <c r="H1517" s="2"/>
      <c r="I1517" s="2"/>
      <c r="J1517" s="2"/>
      <c r="K1517" s="2"/>
      <c r="L1517" s="2"/>
      <c r="M1517" s="27"/>
      <c r="N1517" s="26"/>
      <c r="O1517" s="2"/>
      <c r="P1517" s="24"/>
    </row>
    <row r="1518" spans="1:16" ht="9.75" customHeight="1">
      <c r="A1518" s="18"/>
      <c r="B1518" s="18" t="s">
        <v>104</v>
      </c>
      <c r="C1518" s="18"/>
      <c r="D1518" s="26"/>
      <c r="E1518" s="2"/>
      <c r="F1518" s="2"/>
      <c r="G1518" s="2"/>
      <c r="H1518" s="2"/>
      <c r="I1518" s="2"/>
      <c r="J1518" s="2"/>
      <c r="K1518" s="2"/>
      <c r="L1518" s="2"/>
      <c r="M1518" s="27"/>
      <c r="N1518" s="26"/>
      <c r="O1518" s="2"/>
      <c r="P1518" s="24"/>
    </row>
    <row r="1519" spans="1:16" ht="9.75" customHeight="1">
      <c r="A1519" s="18"/>
      <c r="B1519" s="18" t="s">
        <v>104</v>
      </c>
      <c r="C1519" s="18"/>
      <c r="D1519" s="26"/>
      <c r="E1519" s="2"/>
      <c r="F1519" s="2"/>
      <c r="G1519" s="2"/>
      <c r="H1519" s="2"/>
      <c r="I1519" s="2"/>
      <c r="J1519" s="2"/>
      <c r="K1519" s="2"/>
      <c r="L1519" s="2"/>
      <c r="M1519" s="27"/>
      <c r="N1519" s="26"/>
      <c r="O1519" s="2"/>
      <c r="P1519" s="24"/>
    </row>
    <row r="1520" spans="1:16" ht="9.75" customHeight="1">
      <c r="A1520" s="18"/>
      <c r="B1520" s="18" t="s">
        <v>104</v>
      </c>
      <c r="C1520" s="18"/>
      <c r="D1520" s="26"/>
      <c r="E1520" s="2"/>
      <c r="F1520" s="2"/>
      <c r="G1520" s="2"/>
      <c r="H1520" s="2"/>
      <c r="I1520" s="2"/>
      <c r="J1520" s="2"/>
      <c r="K1520" s="2"/>
      <c r="L1520" s="2"/>
      <c r="M1520" s="27"/>
      <c r="N1520" s="26"/>
      <c r="O1520" s="2"/>
      <c r="P1520" s="24"/>
    </row>
    <row r="1521" spans="1:16" ht="9.75" customHeight="1">
      <c r="A1521" s="18"/>
      <c r="B1521" s="18" t="s">
        <v>104</v>
      </c>
      <c r="C1521" s="18"/>
      <c r="D1521" s="26"/>
      <c r="E1521" s="2"/>
      <c r="F1521" s="2"/>
      <c r="G1521" s="2"/>
      <c r="H1521" s="2"/>
      <c r="I1521" s="2"/>
      <c r="J1521" s="2"/>
      <c r="K1521" s="2"/>
      <c r="L1521" s="2"/>
      <c r="M1521" s="27"/>
      <c r="N1521" s="26"/>
      <c r="O1521" s="2"/>
      <c r="P1521" s="24"/>
    </row>
    <row r="1522" spans="1:16" ht="9.75" customHeight="1">
      <c r="A1522" s="18"/>
      <c r="B1522" s="18" t="s">
        <v>104</v>
      </c>
      <c r="C1522" s="18"/>
      <c r="D1522" s="26"/>
      <c r="E1522" s="2"/>
      <c r="F1522" s="2"/>
      <c r="G1522" s="2"/>
      <c r="H1522" s="2"/>
      <c r="I1522" s="2"/>
      <c r="J1522" s="2"/>
      <c r="K1522" s="2"/>
      <c r="L1522" s="2"/>
      <c r="M1522" s="27"/>
      <c r="N1522" s="26"/>
      <c r="O1522" s="2"/>
      <c r="P1522" s="24"/>
    </row>
    <row r="1523" spans="1:16" ht="9.75" customHeight="1">
      <c r="A1523" s="18"/>
      <c r="B1523" s="18" t="s">
        <v>34</v>
      </c>
      <c r="C1523" s="18"/>
      <c r="D1523" s="26"/>
      <c r="E1523" s="2"/>
      <c r="F1523" s="2"/>
      <c r="G1523" s="2"/>
      <c r="H1523" s="2"/>
      <c r="I1523" s="2"/>
      <c r="J1523" s="2"/>
      <c r="K1523" s="2"/>
      <c r="L1523" s="2"/>
      <c r="M1523" s="27"/>
      <c r="N1523" s="26"/>
      <c r="O1523" s="2"/>
      <c r="P1523" s="24"/>
    </row>
    <row r="1524" spans="1:16" ht="9.75" customHeight="1">
      <c r="A1524" s="18"/>
      <c r="B1524" s="18" t="s">
        <v>35</v>
      </c>
      <c r="C1524" s="18"/>
      <c r="D1524" s="26"/>
      <c r="E1524" s="2"/>
      <c r="F1524" s="2"/>
      <c r="G1524" s="2"/>
      <c r="H1524" s="2"/>
      <c r="I1524" s="2"/>
      <c r="J1524" s="2"/>
      <c r="K1524" s="2"/>
      <c r="L1524" s="2"/>
      <c r="M1524" s="27"/>
      <c r="N1524" s="26"/>
      <c r="O1524" s="2"/>
      <c r="P1524" s="24"/>
    </row>
    <row r="1525" spans="1:16" ht="9.75" customHeight="1">
      <c r="A1525" s="18"/>
      <c r="B1525" s="18" t="s">
        <v>36</v>
      </c>
      <c r="C1525" s="18">
        <v>3</v>
      </c>
      <c r="D1525" s="115">
        <v>3</v>
      </c>
      <c r="E1525" s="116">
        <v>3</v>
      </c>
      <c r="F1525" s="116">
        <v>2</v>
      </c>
      <c r="G1525" s="116">
        <v>2</v>
      </c>
      <c r="H1525" s="116">
        <v>2</v>
      </c>
      <c r="I1525" s="52">
        <v>3</v>
      </c>
      <c r="J1525" s="52">
        <v>3</v>
      </c>
      <c r="K1525" s="52">
        <v>3</v>
      </c>
      <c r="L1525" s="52">
        <v>3</v>
      </c>
      <c r="M1525" s="87">
        <v>3</v>
      </c>
      <c r="N1525" s="26">
        <f t="shared" ref="N1525:N1527" si="286">MIN(D1525:M1525)</f>
        <v>2</v>
      </c>
      <c r="O1525" s="2">
        <f t="shared" ref="O1525:O1527" si="287">C1525-N1525</f>
        <v>1</v>
      </c>
      <c r="P1525" s="24">
        <f t="shared" ref="P1525:P1527" si="288">O1525/C1525</f>
        <v>0.33333333333333331</v>
      </c>
    </row>
    <row r="1526" spans="1:16" ht="9.75" customHeight="1">
      <c r="A1526" s="18"/>
      <c r="B1526" s="18" t="s">
        <v>37</v>
      </c>
      <c r="C1526" s="18">
        <v>7</v>
      </c>
      <c r="D1526" s="115">
        <v>7</v>
      </c>
      <c r="E1526" s="116">
        <v>7</v>
      </c>
      <c r="F1526" s="116">
        <v>7</v>
      </c>
      <c r="G1526" s="116">
        <v>7</v>
      </c>
      <c r="H1526" s="116">
        <v>7</v>
      </c>
      <c r="I1526" s="2">
        <v>4</v>
      </c>
      <c r="J1526" s="2">
        <v>6</v>
      </c>
      <c r="K1526" s="2">
        <v>6</v>
      </c>
      <c r="L1526" s="2">
        <v>6</v>
      </c>
      <c r="M1526" s="27">
        <v>7</v>
      </c>
      <c r="N1526" s="26">
        <f t="shared" si="286"/>
        <v>4</v>
      </c>
      <c r="O1526" s="2">
        <f t="shared" si="287"/>
        <v>3</v>
      </c>
      <c r="P1526" s="24">
        <f t="shared" si="288"/>
        <v>0.42857142857142855</v>
      </c>
    </row>
    <row r="1527" spans="1:16" ht="9.75" customHeight="1">
      <c r="A1527" s="32"/>
      <c r="B1527" s="33" t="s">
        <v>38</v>
      </c>
      <c r="C1527" s="33">
        <f t="shared" ref="C1527:M1527" si="289">SUM(C1511:C1526)</f>
        <v>16</v>
      </c>
      <c r="D1527" s="70">
        <f t="shared" si="289"/>
        <v>16</v>
      </c>
      <c r="E1527" s="71">
        <f t="shared" si="289"/>
        <v>16</v>
      </c>
      <c r="F1527" s="71">
        <f t="shared" si="289"/>
        <v>15</v>
      </c>
      <c r="G1527" s="71">
        <f t="shared" si="289"/>
        <v>15</v>
      </c>
      <c r="H1527" s="71">
        <f t="shared" si="289"/>
        <v>15</v>
      </c>
      <c r="I1527" s="39">
        <f t="shared" si="289"/>
        <v>13</v>
      </c>
      <c r="J1527" s="39">
        <f t="shared" si="289"/>
        <v>15</v>
      </c>
      <c r="K1527" s="39">
        <f t="shared" si="289"/>
        <v>15</v>
      </c>
      <c r="L1527" s="39">
        <f t="shared" si="289"/>
        <v>15</v>
      </c>
      <c r="M1527" s="95">
        <f t="shared" si="289"/>
        <v>16</v>
      </c>
      <c r="N1527" s="70">
        <f t="shared" si="286"/>
        <v>13</v>
      </c>
      <c r="O1527" s="71">
        <f t="shared" si="287"/>
        <v>3</v>
      </c>
      <c r="P1527" s="40">
        <f t="shared" si="288"/>
        <v>0.1875</v>
      </c>
    </row>
    <row r="1528" spans="1:16" ht="9.75" customHeight="1">
      <c r="A1528" s="66" t="s">
        <v>257</v>
      </c>
      <c r="B1528" s="66" t="s">
        <v>23</v>
      </c>
      <c r="C1528" s="66"/>
      <c r="D1528" s="41"/>
      <c r="E1528" s="72"/>
      <c r="F1528" s="72"/>
      <c r="G1528" s="72"/>
      <c r="H1528" s="72"/>
      <c r="I1528" s="72"/>
      <c r="J1528" s="72"/>
      <c r="K1528" s="72"/>
      <c r="L1528" s="72"/>
      <c r="M1528" s="73"/>
      <c r="N1528" s="41"/>
      <c r="O1528" s="72"/>
      <c r="P1528" s="99"/>
    </row>
    <row r="1529" spans="1:16" ht="9.75" customHeight="1">
      <c r="A1529" s="18"/>
      <c r="B1529" s="18" t="s">
        <v>25</v>
      </c>
      <c r="C1529" s="18"/>
      <c r="D1529" s="26"/>
      <c r="E1529" s="2"/>
      <c r="F1529" s="2"/>
      <c r="G1529" s="2"/>
      <c r="H1529" s="2"/>
      <c r="I1529" s="2"/>
      <c r="J1529" s="2"/>
      <c r="K1529" s="2"/>
      <c r="L1529" s="2"/>
      <c r="M1529" s="27"/>
      <c r="N1529" s="26"/>
      <c r="O1529" s="2"/>
      <c r="P1529" s="24"/>
    </row>
    <row r="1530" spans="1:16" ht="9.75" customHeight="1">
      <c r="A1530" s="18"/>
      <c r="B1530" s="18" t="s">
        <v>27</v>
      </c>
      <c r="C1530" s="18"/>
      <c r="D1530" s="26"/>
      <c r="E1530" s="2"/>
      <c r="F1530" s="2"/>
      <c r="G1530" s="2"/>
      <c r="H1530" s="2"/>
      <c r="I1530" s="2"/>
      <c r="J1530" s="2"/>
      <c r="K1530" s="2"/>
      <c r="L1530" s="2"/>
      <c r="M1530" s="27"/>
      <c r="N1530" s="26"/>
      <c r="O1530" s="2"/>
      <c r="P1530" s="24"/>
    </row>
    <row r="1531" spans="1:16" ht="9.75" customHeight="1">
      <c r="A1531" s="18"/>
      <c r="B1531" s="18" t="s">
        <v>99</v>
      </c>
      <c r="C1531" s="18"/>
      <c r="D1531" s="26"/>
      <c r="E1531" s="2"/>
      <c r="F1531" s="2"/>
      <c r="G1531" s="2"/>
      <c r="H1531" s="2"/>
      <c r="I1531" s="2"/>
      <c r="J1531" s="2"/>
      <c r="K1531" s="2"/>
      <c r="L1531" s="2"/>
      <c r="M1531" s="27"/>
      <c r="N1531" s="26"/>
      <c r="O1531" s="2"/>
      <c r="P1531" s="24"/>
    </row>
    <row r="1532" spans="1:16" ht="9.75" customHeight="1">
      <c r="A1532" s="18"/>
      <c r="B1532" s="18" t="s">
        <v>99</v>
      </c>
      <c r="C1532" s="18"/>
      <c r="D1532" s="26"/>
      <c r="E1532" s="2"/>
      <c r="F1532" s="2"/>
      <c r="G1532" s="2"/>
      <c r="H1532" s="2"/>
      <c r="I1532" s="2"/>
      <c r="J1532" s="2"/>
      <c r="K1532" s="2"/>
      <c r="L1532" s="2"/>
      <c r="M1532" s="27"/>
      <c r="N1532" s="26"/>
      <c r="O1532" s="2"/>
      <c r="P1532" s="24"/>
    </row>
    <row r="1533" spans="1:16" ht="9.75" customHeight="1">
      <c r="A1533" s="18"/>
      <c r="B1533" s="18" t="s">
        <v>32</v>
      </c>
      <c r="C1533" s="18">
        <v>2</v>
      </c>
      <c r="D1533" s="115">
        <v>2</v>
      </c>
      <c r="E1533" s="116">
        <v>2</v>
      </c>
      <c r="F1533" s="116">
        <v>1</v>
      </c>
      <c r="G1533" s="116">
        <v>1</v>
      </c>
      <c r="H1533" s="116">
        <v>1</v>
      </c>
      <c r="I1533" s="52">
        <v>1</v>
      </c>
      <c r="J1533" s="52">
        <v>1</v>
      </c>
      <c r="K1533" s="52">
        <v>1</v>
      </c>
      <c r="L1533" s="52">
        <v>1</v>
      </c>
      <c r="M1533" s="87">
        <v>1</v>
      </c>
      <c r="N1533" s="26">
        <f t="shared" ref="N1533:N1535" si="290">MIN(D1533:M1533)</f>
        <v>1</v>
      </c>
      <c r="O1533" s="2">
        <f t="shared" ref="O1533:O1535" si="291">C1533-N1533</f>
        <v>1</v>
      </c>
      <c r="P1533" s="24">
        <f t="shared" ref="P1533:P1535" si="292">O1533/C1533</f>
        <v>0.5</v>
      </c>
    </row>
    <row r="1534" spans="1:16" ht="9.75" customHeight="1">
      <c r="A1534" s="18"/>
      <c r="B1534" s="18" t="s">
        <v>258</v>
      </c>
      <c r="C1534" s="18">
        <v>1</v>
      </c>
      <c r="D1534" s="115">
        <v>0</v>
      </c>
      <c r="E1534" s="116">
        <v>0</v>
      </c>
      <c r="F1534" s="116">
        <v>0</v>
      </c>
      <c r="G1534" s="116">
        <v>0</v>
      </c>
      <c r="H1534" s="116">
        <v>0</v>
      </c>
      <c r="I1534" s="52">
        <v>1</v>
      </c>
      <c r="J1534" s="52">
        <v>0</v>
      </c>
      <c r="K1534" s="52">
        <v>1</v>
      </c>
      <c r="L1534" s="52">
        <v>1</v>
      </c>
      <c r="M1534" s="87">
        <v>1</v>
      </c>
      <c r="N1534" s="26">
        <f t="shared" si="290"/>
        <v>0</v>
      </c>
      <c r="O1534" s="2">
        <f t="shared" si="291"/>
        <v>1</v>
      </c>
      <c r="P1534" s="24">
        <f t="shared" si="292"/>
        <v>1</v>
      </c>
    </row>
    <row r="1535" spans="1:16" ht="9.75" customHeight="1">
      <c r="A1535" s="18"/>
      <c r="B1535" s="18" t="s">
        <v>259</v>
      </c>
      <c r="C1535" s="18">
        <v>5</v>
      </c>
      <c r="D1535" s="115">
        <v>1</v>
      </c>
      <c r="E1535" s="116">
        <v>1</v>
      </c>
      <c r="F1535" s="116">
        <v>1</v>
      </c>
      <c r="G1535" s="116">
        <v>1</v>
      </c>
      <c r="H1535" s="116">
        <v>1</v>
      </c>
      <c r="I1535" s="2">
        <v>5</v>
      </c>
      <c r="J1535" s="2">
        <v>3</v>
      </c>
      <c r="K1535" s="2">
        <v>5</v>
      </c>
      <c r="L1535" s="2">
        <v>5</v>
      </c>
      <c r="M1535" s="27">
        <v>5</v>
      </c>
      <c r="N1535" s="26">
        <f t="shared" si="290"/>
        <v>1</v>
      </c>
      <c r="O1535" s="2">
        <f t="shared" si="291"/>
        <v>4</v>
      </c>
      <c r="P1535" s="24">
        <f t="shared" si="292"/>
        <v>0.8</v>
      </c>
    </row>
    <row r="1536" spans="1:16" ht="9.75" customHeight="1">
      <c r="A1536" s="18"/>
      <c r="B1536" s="18" t="s">
        <v>104</v>
      </c>
      <c r="C1536" s="18"/>
      <c r="D1536" s="26"/>
      <c r="E1536" s="2"/>
      <c r="F1536" s="2"/>
      <c r="G1536" s="2"/>
      <c r="H1536" s="2"/>
      <c r="I1536" s="2"/>
      <c r="J1536" s="2"/>
      <c r="K1536" s="2"/>
      <c r="L1536" s="2"/>
      <c r="M1536" s="27"/>
      <c r="N1536" s="26"/>
      <c r="O1536" s="2"/>
      <c r="P1536" s="24"/>
    </row>
    <row r="1537" spans="1:16" ht="9.75" customHeight="1">
      <c r="A1537" s="18"/>
      <c r="B1537" s="18" t="s">
        <v>104</v>
      </c>
      <c r="C1537" s="18"/>
      <c r="D1537" s="26"/>
      <c r="E1537" s="2"/>
      <c r="F1537" s="2"/>
      <c r="G1537" s="2"/>
      <c r="H1537" s="2"/>
      <c r="I1537" s="2"/>
      <c r="J1537" s="2"/>
      <c r="K1537" s="2"/>
      <c r="L1537" s="2"/>
      <c r="M1537" s="27"/>
      <c r="N1537" s="26"/>
      <c r="O1537" s="2"/>
      <c r="P1537" s="24"/>
    </row>
    <row r="1538" spans="1:16" ht="9.75" customHeight="1">
      <c r="A1538" s="18"/>
      <c r="B1538" s="18" t="s">
        <v>104</v>
      </c>
      <c r="C1538" s="18"/>
      <c r="D1538" s="26"/>
      <c r="E1538" s="2"/>
      <c r="F1538" s="2"/>
      <c r="G1538" s="2"/>
      <c r="H1538" s="2"/>
      <c r="I1538" s="2"/>
      <c r="J1538" s="2"/>
      <c r="K1538" s="2"/>
      <c r="L1538" s="2"/>
      <c r="M1538" s="27"/>
      <c r="N1538" s="26"/>
      <c r="O1538" s="2"/>
      <c r="P1538" s="24"/>
    </row>
    <row r="1539" spans="1:16" ht="9.75" customHeight="1">
      <c r="A1539" s="18"/>
      <c r="B1539" s="18" t="s">
        <v>104</v>
      </c>
      <c r="C1539" s="18"/>
      <c r="D1539" s="26"/>
      <c r="E1539" s="2"/>
      <c r="F1539" s="2"/>
      <c r="G1539" s="2"/>
      <c r="H1539" s="2"/>
      <c r="I1539" s="2"/>
      <c r="J1539" s="2"/>
      <c r="K1539" s="2"/>
      <c r="L1539" s="2"/>
      <c r="M1539" s="27"/>
      <c r="N1539" s="26"/>
      <c r="O1539" s="2"/>
      <c r="P1539" s="24"/>
    </row>
    <row r="1540" spans="1:16" ht="9.75" customHeight="1">
      <c r="A1540" s="18"/>
      <c r="B1540" s="18" t="s">
        <v>34</v>
      </c>
      <c r="C1540" s="18">
        <v>1</v>
      </c>
      <c r="D1540" s="115">
        <v>0</v>
      </c>
      <c r="E1540" s="116">
        <v>0</v>
      </c>
      <c r="F1540" s="116">
        <v>0</v>
      </c>
      <c r="G1540" s="116">
        <v>0</v>
      </c>
      <c r="H1540" s="116">
        <v>0</v>
      </c>
      <c r="I1540" s="52">
        <v>1</v>
      </c>
      <c r="J1540" s="52">
        <v>1</v>
      </c>
      <c r="K1540" s="52">
        <v>1</v>
      </c>
      <c r="L1540" s="52">
        <v>1</v>
      </c>
      <c r="M1540" s="87">
        <v>1</v>
      </c>
      <c r="N1540" s="26">
        <f>MIN(D1540:M1540)</f>
        <v>0</v>
      </c>
      <c r="O1540" s="2">
        <f>C1540-N1540</f>
        <v>1</v>
      </c>
      <c r="P1540" s="24">
        <f>O1540/C1540</f>
        <v>1</v>
      </c>
    </row>
    <row r="1541" spans="1:16" ht="9.75" customHeight="1">
      <c r="A1541" s="18"/>
      <c r="B1541" s="18" t="s">
        <v>35</v>
      </c>
      <c r="C1541" s="18"/>
      <c r="D1541" s="26"/>
      <c r="E1541" s="2"/>
      <c r="F1541" s="2"/>
      <c r="G1541" s="2"/>
      <c r="H1541" s="2"/>
      <c r="I1541" s="2"/>
      <c r="J1541" s="2"/>
      <c r="K1541" s="2"/>
      <c r="L1541" s="2"/>
      <c r="M1541" s="27"/>
      <c r="N1541" s="26"/>
      <c r="O1541" s="2"/>
      <c r="P1541" s="24"/>
    </row>
    <row r="1542" spans="1:16" ht="9.75" customHeight="1">
      <c r="A1542" s="18"/>
      <c r="B1542" s="18" t="s">
        <v>36</v>
      </c>
      <c r="C1542" s="18"/>
      <c r="D1542" s="26"/>
      <c r="E1542" s="2"/>
      <c r="F1542" s="2"/>
      <c r="G1542" s="2"/>
      <c r="H1542" s="2"/>
      <c r="I1542" s="2"/>
      <c r="J1542" s="2"/>
      <c r="K1542" s="2"/>
      <c r="L1542" s="2"/>
      <c r="M1542" s="27"/>
      <c r="N1542" s="26"/>
      <c r="O1542" s="2"/>
      <c r="P1542" s="24"/>
    </row>
    <row r="1543" spans="1:16" ht="9.75" customHeight="1">
      <c r="A1543" s="18"/>
      <c r="B1543" s="18" t="s">
        <v>37</v>
      </c>
      <c r="C1543" s="18"/>
      <c r="D1543" s="26"/>
      <c r="E1543" s="2"/>
      <c r="F1543" s="2"/>
      <c r="G1543" s="2"/>
      <c r="H1543" s="2"/>
      <c r="I1543" s="2"/>
      <c r="J1543" s="2"/>
      <c r="K1543" s="2"/>
      <c r="L1543" s="2"/>
      <c r="M1543" s="27"/>
      <c r="N1543" s="26"/>
      <c r="O1543" s="2"/>
      <c r="P1543" s="24"/>
    </row>
    <row r="1544" spans="1:16" ht="9.75" customHeight="1">
      <c r="A1544" s="32"/>
      <c r="B1544" s="33" t="s">
        <v>38</v>
      </c>
      <c r="C1544" s="33">
        <f t="shared" ref="C1544:M1544" si="293">SUM(C1528:C1543)</f>
        <v>9</v>
      </c>
      <c r="D1544" s="70">
        <f t="shared" si="293"/>
        <v>3</v>
      </c>
      <c r="E1544" s="71">
        <f t="shared" si="293"/>
        <v>3</v>
      </c>
      <c r="F1544" s="71">
        <f t="shared" si="293"/>
        <v>2</v>
      </c>
      <c r="G1544" s="71">
        <f t="shared" si="293"/>
        <v>2</v>
      </c>
      <c r="H1544" s="71">
        <f t="shared" si="293"/>
        <v>2</v>
      </c>
      <c r="I1544" s="71">
        <f t="shared" si="293"/>
        <v>8</v>
      </c>
      <c r="J1544" s="71">
        <f t="shared" si="293"/>
        <v>5</v>
      </c>
      <c r="K1544" s="71">
        <f t="shared" si="293"/>
        <v>8</v>
      </c>
      <c r="L1544" s="71">
        <f t="shared" si="293"/>
        <v>8</v>
      </c>
      <c r="M1544" s="93">
        <f t="shared" si="293"/>
        <v>8</v>
      </c>
      <c r="N1544" s="70">
        <f>MIN(D1544:M1544)</f>
        <v>2</v>
      </c>
      <c r="O1544" s="71">
        <f>C1544-N1544</f>
        <v>7</v>
      </c>
      <c r="P1544" s="40">
        <f>O1544/C1544</f>
        <v>0.77777777777777779</v>
      </c>
    </row>
    <row r="1545" spans="1:16" ht="9.75" customHeight="1">
      <c r="A1545" s="66" t="s">
        <v>260</v>
      </c>
      <c r="B1545" s="66" t="s">
        <v>23</v>
      </c>
      <c r="C1545" s="66">
        <v>58</v>
      </c>
      <c r="D1545" s="158">
        <v>10</v>
      </c>
      <c r="E1545" s="159">
        <v>8</v>
      </c>
      <c r="F1545" s="159">
        <v>0</v>
      </c>
      <c r="G1545" s="159">
        <v>0</v>
      </c>
      <c r="H1545" s="159">
        <v>0</v>
      </c>
      <c r="I1545" s="72">
        <v>0</v>
      </c>
      <c r="J1545" s="72">
        <v>4</v>
      </c>
      <c r="K1545" s="72">
        <v>6</v>
      </c>
      <c r="L1545" s="72">
        <v>15</v>
      </c>
      <c r="M1545" s="73">
        <v>34</v>
      </c>
      <c r="N1545" s="41"/>
      <c r="O1545" s="72"/>
      <c r="P1545" s="99"/>
    </row>
    <row r="1546" spans="1:16" ht="9.75" customHeight="1">
      <c r="A1546" s="18"/>
      <c r="B1546" s="18" t="s">
        <v>25</v>
      </c>
      <c r="C1546" s="18">
        <v>16</v>
      </c>
      <c r="D1546" s="115">
        <v>0</v>
      </c>
      <c r="E1546" s="116">
        <v>0</v>
      </c>
      <c r="F1546" s="116">
        <v>0</v>
      </c>
      <c r="G1546" s="116">
        <v>0</v>
      </c>
      <c r="H1546" s="116">
        <v>0</v>
      </c>
      <c r="I1546" s="2">
        <v>0</v>
      </c>
      <c r="J1546" s="2">
        <v>1</v>
      </c>
      <c r="K1546" s="2">
        <v>1</v>
      </c>
      <c r="L1546" s="2">
        <v>2</v>
      </c>
      <c r="M1546" s="27">
        <v>11</v>
      </c>
      <c r="N1546" s="26"/>
      <c r="O1546" s="2"/>
      <c r="P1546" s="24"/>
    </row>
    <row r="1547" spans="1:16" ht="9.75" customHeight="1">
      <c r="A1547" s="18"/>
      <c r="B1547" s="18" t="s">
        <v>27</v>
      </c>
      <c r="C1547" s="18"/>
      <c r="D1547" s="26"/>
      <c r="E1547" s="2"/>
      <c r="F1547" s="2"/>
      <c r="G1547" s="2"/>
      <c r="H1547" s="2"/>
      <c r="I1547" s="2"/>
      <c r="J1547" s="2"/>
      <c r="K1547" s="2"/>
      <c r="L1547" s="2"/>
      <c r="M1547" s="27"/>
      <c r="N1547" s="26"/>
      <c r="O1547" s="2"/>
      <c r="P1547" s="24"/>
    </row>
    <row r="1548" spans="1:16" ht="9.75" customHeight="1">
      <c r="A1548" s="18"/>
      <c r="B1548" s="18" t="s">
        <v>99</v>
      </c>
      <c r="C1548" s="18"/>
      <c r="D1548" s="26"/>
      <c r="E1548" s="2"/>
      <c r="F1548" s="2"/>
      <c r="G1548" s="2"/>
      <c r="H1548" s="2"/>
      <c r="I1548" s="2"/>
      <c r="J1548" s="2"/>
      <c r="K1548" s="2"/>
      <c r="L1548" s="2"/>
      <c r="M1548" s="27"/>
      <c r="N1548" s="26"/>
      <c r="O1548" s="2"/>
      <c r="P1548" s="24"/>
    </row>
    <row r="1549" spans="1:16" ht="9.75" customHeight="1">
      <c r="A1549" s="18"/>
      <c r="B1549" s="18" t="s">
        <v>99</v>
      </c>
      <c r="C1549" s="18"/>
      <c r="D1549" s="26"/>
      <c r="E1549" s="2"/>
      <c r="F1549" s="2"/>
      <c r="G1549" s="2"/>
      <c r="H1549" s="2"/>
      <c r="I1549" s="2"/>
      <c r="J1549" s="2"/>
      <c r="K1549" s="2"/>
      <c r="L1549" s="2"/>
      <c r="M1549" s="27"/>
      <c r="N1549" s="26"/>
      <c r="O1549" s="2"/>
      <c r="P1549" s="24"/>
    </row>
    <row r="1550" spans="1:16" ht="9.75" customHeight="1">
      <c r="A1550" s="18"/>
      <c r="B1550" s="18" t="s">
        <v>32</v>
      </c>
      <c r="C1550" s="18">
        <v>3</v>
      </c>
      <c r="D1550" s="115">
        <v>3</v>
      </c>
      <c r="E1550" s="116">
        <v>3</v>
      </c>
      <c r="F1550" s="116">
        <v>3</v>
      </c>
      <c r="G1550" s="116">
        <v>2</v>
      </c>
      <c r="H1550" s="116">
        <v>2</v>
      </c>
      <c r="I1550" s="2">
        <v>3</v>
      </c>
      <c r="J1550" s="2">
        <v>3</v>
      </c>
      <c r="K1550" s="2">
        <v>3</v>
      </c>
      <c r="L1550" s="2">
        <v>3</v>
      </c>
      <c r="M1550" s="27">
        <v>3</v>
      </c>
      <c r="N1550" s="26">
        <f>MIN(D1550:M1550)</f>
        <v>2</v>
      </c>
      <c r="O1550" s="2">
        <f>C1550-N1550</f>
        <v>1</v>
      </c>
      <c r="P1550" s="24">
        <f>O1550/C1550</f>
        <v>0.33333333333333331</v>
      </c>
    </row>
    <row r="1551" spans="1:16" ht="9.75" customHeight="1">
      <c r="A1551" s="18"/>
      <c r="B1551" s="18" t="s">
        <v>104</v>
      </c>
      <c r="C1551" s="18"/>
      <c r="D1551" s="26"/>
      <c r="E1551" s="2"/>
      <c r="F1551" s="2"/>
      <c r="G1551" s="2"/>
      <c r="H1551" s="2"/>
      <c r="I1551" s="2"/>
      <c r="J1551" s="2"/>
      <c r="K1551" s="2"/>
      <c r="L1551" s="2"/>
      <c r="M1551" s="27"/>
      <c r="N1551" s="26"/>
      <c r="O1551" s="2"/>
      <c r="P1551" s="24"/>
    </row>
    <row r="1552" spans="1:16" ht="9.75" customHeight="1">
      <c r="A1552" s="18"/>
      <c r="B1552" s="18" t="s">
        <v>104</v>
      </c>
      <c r="C1552" s="18"/>
      <c r="D1552" s="26"/>
      <c r="E1552" s="2"/>
      <c r="F1552" s="2"/>
      <c r="G1552" s="2"/>
      <c r="H1552" s="2"/>
      <c r="I1552" s="2"/>
      <c r="J1552" s="2"/>
      <c r="K1552" s="2"/>
      <c r="L1552" s="2"/>
      <c r="M1552" s="27"/>
      <c r="N1552" s="26"/>
      <c r="O1552" s="2"/>
      <c r="P1552" s="24"/>
    </row>
    <row r="1553" spans="1:16" ht="9.75" customHeight="1">
      <c r="A1553" s="18"/>
      <c r="B1553" s="18" t="s">
        <v>104</v>
      </c>
      <c r="C1553" s="18"/>
      <c r="D1553" s="26"/>
      <c r="E1553" s="2"/>
      <c r="F1553" s="2"/>
      <c r="G1553" s="2"/>
      <c r="H1553" s="2"/>
      <c r="I1553" s="2"/>
      <c r="J1553" s="2"/>
      <c r="K1553" s="2"/>
      <c r="L1553" s="2"/>
      <c r="M1553" s="27"/>
      <c r="N1553" s="26"/>
      <c r="O1553" s="2"/>
      <c r="P1553" s="24"/>
    </row>
    <row r="1554" spans="1:16" ht="9.75" customHeight="1">
      <c r="A1554" s="18"/>
      <c r="B1554" s="18" t="s">
        <v>104</v>
      </c>
      <c r="C1554" s="18"/>
      <c r="D1554" s="26"/>
      <c r="E1554" s="2"/>
      <c r="F1554" s="2"/>
      <c r="G1554" s="2"/>
      <c r="H1554" s="2"/>
      <c r="I1554" s="2"/>
      <c r="J1554" s="2"/>
      <c r="K1554" s="2"/>
      <c r="L1554" s="2"/>
      <c r="M1554" s="27"/>
      <c r="N1554" s="26"/>
      <c r="O1554" s="2"/>
      <c r="P1554" s="24"/>
    </row>
    <row r="1555" spans="1:16" ht="9.75" customHeight="1">
      <c r="A1555" s="18"/>
      <c r="B1555" s="18" t="s">
        <v>104</v>
      </c>
      <c r="C1555" s="18"/>
      <c r="D1555" s="26"/>
      <c r="E1555" s="2"/>
      <c r="F1555" s="2"/>
      <c r="G1555" s="2"/>
      <c r="H1555" s="2"/>
      <c r="I1555" s="2"/>
      <c r="J1555" s="2"/>
      <c r="K1555" s="2"/>
      <c r="L1555" s="2"/>
      <c r="M1555" s="27"/>
      <c r="N1555" s="26"/>
      <c r="O1555" s="2"/>
      <c r="P1555" s="24"/>
    </row>
    <row r="1556" spans="1:16" ht="9.75" customHeight="1">
      <c r="A1556" s="18"/>
      <c r="B1556" s="18" t="s">
        <v>104</v>
      </c>
      <c r="C1556" s="18"/>
      <c r="D1556" s="26"/>
      <c r="E1556" s="2"/>
      <c r="F1556" s="2"/>
      <c r="G1556" s="2"/>
      <c r="H1556" s="2"/>
      <c r="I1556" s="2"/>
      <c r="J1556" s="2"/>
      <c r="K1556" s="2"/>
      <c r="L1556" s="2"/>
      <c r="M1556" s="27"/>
      <c r="N1556" s="26"/>
      <c r="O1556" s="2"/>
      <c r="P1556" s="24"/>
    </row>
    <row r="1557" spans="1:16" ht="9.75" customHeight="1">
      <c r="A1557" s="18"/>
      <c r="B1557" s="18" t="s">
        <v>34</v>
      </c>
      <c r="C1557" s="18">
        <v>4</v>
      </c>
      <c r="D1557" s="115">
        <v>3</v>
      </c>
      <c r="E1557" s="116">
        <v>3</v>
      </c>
      <c r="F1557" s="116">
        <v>2</v>
      </c>
      <c r="G1557" s="116">
        <v>3</v>
      </c>
      <c r="H1557" s="116">
        <v>3</v>
      </c>
      <c r="I1557" s="2">
        <v>3</v>
      </c>
      <c r="J1557" s="2">
        <v>3</v>
      </c>
      <c r="K1557" s="2">
        <v>3</v>
      </c>
      <c r="L1557" s="2">
        <v>4</v>
      </c>
      <c r="M1557" s="27">
        <v>4</v>
      </c>
      <c r="N1557" s="26">
        <f>MIN(D1557:M1557)</f>
        <v>2</v>
      </c>
      <c r="O1557" s="2">
        <f>C1557-N1557</f>
        <v>2</v>
      </c>
      <c r="P1557" s="24">
        <f>O1557/C1557</f>
        <v>0.5</v>
      </c>
    </row>
    <row r="1558" spans="1:16" ht="9.75" customHeight="1">
      <c r="A1558" s="18"/>
      <c r="B1558" s="18" t="s">
        <v>35</v>
      </c>
      <c r="C1558" s="18"/>
      <c r="D1558" s="26"/>
      <c r="E1558" s="2"/>
      <c r="F1558" s="2"/>
      <c r="G1558" s="2"/>
      <c r="H1558" s="2"/>
      <c r="I1558" s="2"/>
      <c r="J1558" s="2"/>
      <c r="K1558" s="2"/>
      <c r="L1558" s="2"/>
      <c r="M1558" s="27"/>
      <c r="N1558" s="26"/>
      <c r="O1558" s="2"/>
      <c r="P1558" s="24"/>
    </row>
    <row r="1559" spans="1:16" ht="9.75" customHeight="1">
      <c r="A1559" s="18"/>
      <c r="B1559" s="18" t="s">
        <v>36</v>
      </c>
      <c r="C1559" s="18"/>
      <c r="D1559" s="26"/>
      <c r="E1559" s="2"/>
      <c r="F1559" s="2"/>
      <c r="G1559" s="2"/>
      <c r="H1559" s="2"/>
      <c r="I1559" s="2"/>
      <c r="J1559" s="2"/>
      <c r="K1559" s="2"/>
      <c r="L1559" s="2"/>
      <c r="M1559" s="27"/>
      <c r="N1559" s="26"/>
      <c r="O1559" s="2"/>
      <c r="P1559" s="24"/>
    </row>
    <row r="1560" spans="1:16" ht="9.75" customHeight="1">
      <c r="A1560" s="18"/>
      <c r="B1560" s="18" t="s">
        <v>37</v>
      </c>
      <c r="C1560" s="18"/>
      <c r="D1560" s="26"/>
      <c r="E1560" s="2"/>
      <c r="F1560" s="2"/>
      <c r="G1560" s="2"/>
      <c r="H1560" s="2"/>
      <c r="I1560" s="2"/>
      <c r="J1560" s="2"/>
      <c r="K1560" s="2"/>
      <c r="L1560" s="2"/>
      <c r="M1560" s="27"/>
      <c r="N1560" s="26"/>
      <c r="O1560" s="2"/>
      <c r="P1560" s="24"/>
    </row>
    <row r="1561" spans="1:16" ht="9.75" customHeight="1">
      <c r="A1561" s="32"/>
      <c r="B1561" s="33" t="s">
        <v>38</v>
      </c>
      <c r="C1561" s="33">
        <f t="shared" ref="C1561:M1561" si="294">SUM(C1545:C1560)</f>
        <v>81</v>
      </c>
      <c r="D1561" s="70">
        <f t="shared" si="294"/>
        <v>16</v>
      </c>
      <c r="E1561" s="71">
        <f t="shared" si="294"/>
        <v>14</v>
      </c>
      <c r="F1561" s="71">
        <f t="shared" si="294"/>
        <v>5</v>
      </c>
      <c r="G1561" s="71">
        <f t="shared" si="294"/>
        <v>5</v>
      </c>
      <c r="H1561" s="71">
        <f t="shared" si="294"/>
        <v>5</v>
      </c>
      <c r="I1561" s="71">
        <f t="shared" si="294"/>
        <v>6</v>
      </c>
      <c r="J1561" s="71">
        <f t="shared" si="294"/>
        <v>11</v>
      </c>
      <c r="K1561" s="71">
        <f t="shared" si="294"/>
        <v>13</v>
      </c>
      <c r="L1561" s="71">
        <f t="shared" si="294"/>
        <v>24</v>
      </c>
      <c r="M1561" s="93">
        <f t="shared" si="294"/>
        <v>52</v>
      </c>
      <c r="N1561" s="70">
        <f>MIN(D1561:M1561)</f>
        <v>5</v>
      </c>
      <c r="O1561" s="71">
        <f>C1561-N1561</f>
        <v>76</v>
      </c>
      <c r="P1561" s="40">
        <f>O1561/C1561</f>
        <v>0.93827160493827155</v>
      </c>
    </row>
    <row r="1562" spans="1:16" ht="9.75" customHeight="1">
      <c r="A1562" s="66" t="s">
        <v>261</v>
      </c>
      <c r="B1562" s="66" t="s">
        <v>23</v>
      </c>
      <c r="C1562" s="66"/>
      <c r="D1562" s="41"/>
      <c r="E1562" s="72"/>
      <c r="F1562" s="72"/>
      <c r="G1562" s="72"/>
      <c r="H1562" s="72"/>
      <c r="I1562" s="72"/>
      <c r="J1562" s="72"/>
      <c r="K1562" s="72"/>
      <c r="L1562" s="72"/>
      <c r="M1562" s="73"/>
      <c r="N1562" s="41"/>
      <c r="O1562" s="72"/>
      <c r="P1562" s="99"/>
    </row>
    <row r="1563" spans="1:16" ht="9.75" customHeight="1">
      <c r="A1563" s="18"/>
      <c r="B1563" s="18" t="s">
        <v>25</v>
      </c>
      <c r="C1563" s="18"/>
      <c r="D1563" s="26"/>
      <c r="E1563" s="2"/>
      <c r="F1563" s="2"/>
      <c r="G1563" s="2"/>
      <c r="H1563" s="2"/>
      <c r="I1563" s="2"/>
      <c r="J1563" s="2"/>
      <c r="K1563" s="2"/>
      <c r="L1563" s="2"/>
      <c r="M1563" s="27"/>
      <c r="N1563" s="26"/>
      <c r="O1563" s="2"/>
      <c r="P1563" s="24"/>
    </row>
    <row r="1564" spans="1:16" ht="9.75" customHeight="1">
      <c r="A1564" s="18"/>
      <c r="B1564" s="18" t="s">
        <v>27</v>
      </c>
      <c r="C1564" s="18"/>
      <c r="D1564" s="26"/>
      <c r="E1564" s="2"/>
      <c r="F1564" s="2"/>
      <c r="G1564" s="2"/>
      <c r="H1564" s="2"/>
      <c r="I1564" s="2"/>
      <c r="J1564" s="2"/>
      <c r="K1564" s="2"/>
      <c r="L1564" s="2"/>
      <c r="M1564" s="27"/>
      <c r="N1564" s="26"/>
      <c r="O1564" s="2"/>
      <c r="P1564" s="24"/>
    </row>
    <row r="1565" spans="1:16" ht="9.75" customHeight="1">
      <c r="A1565" s="18"/>
      <c r="B1565" s="18" t="s">
        <v>99</v>
      </c>
      <c r="C1565" s="18"/>
      <c r="D1565" s="26"/>
      <c r="E1565" s="2"/>
      <c r="F1565" s="2"/>
      <c r="G1565" s="2"/>
      <c r="H1565" s="2"/>
      <c r="I1565" s="2"/>
      <c r="J1565" s="2"/>
      <c r="K1565" s="2"/>
      <c r="L1565" s="2"/>
      <c r="M1565" s="27"/>
      <c r="N1565" s="26"/>
      <c r="O1565" s="2"/>
      <c r="P1565" s="24"/>
    </row>
    <row r="1566" spans="1:16" ht="9.75" customHeight="1">
      <c r="A1566" s="18"/>
      <c r="B1566" s="18" t="s">
        <v>99</v>
      </c>
      <c r="C1566" s="18"/>
      <c r="D1566" s="26"/>
      <c r="E1566" s="2"/>
      <c r="F1566" s="2"/>
      <c r="G1566" s="2"/>
      <c r="H1566" s="2"/>
      <c r="I1566" s="2"/>
      <c r="J1566" s="2"/>
      <c r="K1566" s="2"/>
      <c r="L1566" s="2"/>
      <c r="M1566" s="27"/>
      <c r="N1566" s="26"/>
      <c r="O1566" s="2"/>
      <c r="P1566" s="24"/>
    </row>
    <row r="1567" spans="1:16" ht="9.75" customHeight="1">
      <c r="A1567" s="18"/>
      <c r="B1567" s="18" t="s">
        <v>32</v>
      </c>
      <c r="C1567" s="18"/>
      <c r="D1567" s="26"/>
      <c r="E1567" s="2"/>
      <c r="F1567" s="2"/>
      <c r="G1567" s="2"/>
      <c r="H1567" s="2"/>
      <c r="I1567" s="2"/>
      <c r="J1567" s="2"/>
      <c r="K1567" s="2"/>
      <c r="L1567" s="2"/>
      <c r="M1567" s="27"/>
      <c r="N1567" s="26"/>
      <c r="O1567" s="2"/>
      <c r="P1567" s="24"/>
    </row>
    <row r="1568" spans="1:16" ht="9.75" customHeight="1">
      <c r="A1568" s="18"/>
      <c r="B1568" s="18" t="s">
        <v>104</v>
      </c>
      <c r="C1568" s="18"/>
      <c r="D1568" s="26"/>
      <c r="E1568" s="2"/>
      <c r="F1568" s="2"/>
      <c r="G1568" s="2"/>
      <c r="H1568" s="2"/>
      <c r="I1568" s="2"/>
      <c r="J1568" s="2"/>
      <c r="K1568" s="2"/>
      <c r="L1568" s="2"/>
      <c r="M1568" s="27"/>
      <c r="N1568" s="26"/>
      <c r="O1568" s="2"/>
      <c r="P1568" s="24"/>
    </row>
    <row r="1569" spans="1:16" ht="9.75" customHeight="1">
      <c r="A1569" s="18"/>
      <c r="B1569" s="18" t="s">
        <v>104</v>
      </c>
      <c r="C1569" s="18"/>
      <c r="D1569" s="26"/>
      <c r="E1569" s="2"/>
      <c r="F1569" s="2"/>
      <c r="G1569" s="2"/>
      <c r="H1569" s="2"/>
      <c r="I1569" s="2"/>
      <c r="J1569" s="2"/>
      <c r="K1569" s="2"/>
      <c r="L1569" s="2"/>
      <c r="M1569" s="27"/>
      <c r="N1569" s="26"/>
      <c r="O1569" s="2"/>
      <c r="P1569" s="24"/>
    </row>
    <row r="1570" spans="1:16" ht="9.75" customHeight="1">
      <c r="A1570" s="18"/>
      <c r="B1570" s="18" t="s">
        <v>104</v>
      </c>
      <c r="C1570" s="18"/>
      <c r="D1570" s="26"/>
      <c r="E1570" s="2"/>
      <c r="F1570" s="2"/>
      <c r="G1570" s="2"/>
      <c r="H1570" s="2"/>
      <c r="I1570" s="2"/>
      <c r="J1570" s="2"/>
      <c r="K1570" s="2"/>
      <c r="L1570" s="2"/>
      <c r="M1570" s="27"/>
      <c r="N1570" s="26"/>
      <c r="O1570" s="2"/>
      <c r="P1570" s="24"/>
    </row>
    <row r="1571" spans="1:16" ht="9.75" customHeight="1">
      <c r="A1571" s="18"/>
      <c r="B1571" s="18" t="s">
        <v>104</v>
      </c>
      <c r="C1571" s="18"/>
      <c r="D1571" s="26"/>
      <c r="E1571" s="2"/>
      <c r="F1571" s="2"/>
      <c r="G1571" s="2"/>
      <c r="H1571" s="2"/>
      <c r="I1571" s="2"/>
      <c r="J1571" s="2"/>
      <c r="K1571" s="2"/>
      <c r="L1571" s="2"/>
      <c r="M1571" s="27"/>
      <c r="N1571" s="26"/>
      <c r="O1571" s="2"/>
      <c r="P1571" s="24"/>
    </row>
    <row r="1572" spans="1:16" ht="9.75" customHeight="1">
      <c r="A1572" s="18"/>
      <c r="B1572" s="18" t="s">
        <v>104</v>
      </c>
      <c r="C1572" s="18"/>
      <c r="D1572" s="26"/>
      <c r="E1572" s="2"/>
      <c r="F1572" s="2"/>
      <c r="G1572" s="2"/>
      <c r="H1572" s="2"/>
      <c r="I1572" s="2"/>
      <c r="J1572" s="2"/>
      <c r="K1572" s="2"/>
      <c r="L1572" s="2"/>
      <c r="M1572" s="27"/>
      <c r="N1572" s="26"/>
      <c r="O1572" s="2"/>
      <c r="P1572" s="24"/>
    </row>
    <row r="1573" spans="1:16" ht="9.75" customHeight="1">
      <c r="A1573" s="18"/>
      <c r="B1573" s="18" t="s">
        <v>104</v>
      </c>
      <c r="C1573" s="18"/>
      <c r="D1573" s="26"/>
      <c r="E1573" s="2"/>
      <c r="F1573" s="2"/>
      <c r="G1573" s="2"/>
      <c r="H1573" s="2"/>
      <c r="I1573" s="2"/>
      <c r="J1573" s="2"/>
      <c r="K1573" s="2"/>
      <c r="L1573" s="2"/>
      <c r="M1573" s="27"/>
      <c r="N1573" s="26"/>
      <c r="O1573" s="2"/>
      <c r="P1573" s="24"/>
    </row>
    <row r="1574" spans="1:16" ht="9.75" customHeight="1">
      <c r="A1574" s="18"/>
      <c r="B1574" s="18" t="s">
        <v>34</v>
      </c>
      <c r="C1574" s="18">
        <v>6</v>
      </c>
      <c r="D1574" s="178">
        <v>4</v>
      </c>
      <c r="E1574" s="2">
        <v>4</v>
      </c>
      <c r="F1574" s="2">
        <v>4</v>
      </c>
      <c r="G1574" s="2">
        <v>4</v>
      </c>
      <c r="H1574" s="2">
        <v>5</v>
      </c>
      <c r="I1574" s="116">
        <v>5</v>
      </c>
      <c r="J1574" s="116">
        <v>5</v>
      </c>
      <c r="K1574" s="116">
        <v>5</v>
      </c>
      <c r="L1574" s="116">
        <v>5</v>
      </c>
      <c r="M1574" s="147">
        <v>5</v>
      </c>
      <c r="N1574" s="26">
        <f>MIN(D1574:M1574)</f>
        <v>4</v>
      </c>
      <c r="O1574" s="2">
        <f>C1574-N1574</f>
        <v>2</v>
      </c>
      <c r="P1574" s="24">
        <f>O1574/C1574</f>
        <v>0.33333333333333331</v>
      </c>
    </row>
    <row r="1575" spans="1:16" ht="9.75" customHeight="1">
      <c r="A1575" s="18"/>
      <c r="B1575" s="18" t="s">
        <v>35</v>
      </c>
      <c r="C1575" s="18"/>
      <c r="D1575" s="178"/>
      <c r="E1575" s="2"/>
      <c r="F1575" s="2"/>
      <c r="G1575" s="2"/>
      <c r="H1575" s="2"/>
      <c r="I1575" s="2"/>
      <c r="J1575" s="2"/>
      <c r="K1575" s="2"/>
      <c r="L1575" s="2"/>
      <c r="M1575" s="27"/>
      <c r="N1575" s="26"/>
      <c r="O1575" s="2"/>
      <c r="P1575" s="24"/>
    </row>
    <row r="1576" spans="1:16" ht="9.75" customHeight="1">
      <c r="A1576" s="18"/>
      <c r="B1576" s="18" t="s">
        <v>36</v>
      </c>
      <c r="C1576" s="18">
        <v>1</v>
      </c>
      <c r="D1576" s="178">
        <v>1</v>
      </c>
      <c r="E1576" s="2">
        <v>1</v>
      </c>
      <c r="F1576" s="2">
        <v>1</v>
      </c>
      <c r="G1576" s="2">
        <v>1</v>
      </c>
      <c r="H1576" s="2">
        <v>1</v>
      </c>
      <c r="I1576" s="116">
        <v>0</v>
      </c>
      <c r="J1576" s="116">
        <v>1</v>
      </c>
      <c r="K1576" s="116">
        <v>1</v>
      </c>
      <c r="L1576" s="116">
        <v>1</v>
      </c>
      <c r="M1576" s="147">
        <v>1</v>
      </c>
      <c r="N1576" s="26">
        <f>MIN(D1576:M1576)</f>
        <v>0</v>
      </c>
      <c r="O1576" s="2">
        <f>C1576-N1576</f>
        <v>1</v>
      </c>
      <c r="P1576" s="24">
        <f>O1576/C1576</f>
        <v>1</v>
      </c>
    </row>
    <row r="1577" spans="1:16" ht="9.75" customHeight="1">
      <c r="A1577" s="18"/>
      <c r="B1577" s="18" t="s">
        <v>37</v>
      </c>
      <c r="C1577" s="18"/>
      <c r="D1577" s="26"/>
      <c r="E1577" s="2"/>
      <c r="F1577" s="2"/>
      <c r="G1577" s="2"/>
      <c r="H1577" s="2"/>
      <c r="I1577" s="2"/>
      <c r="J1577" s="2"/>
      <c r="K1577" s="2"/>
      <c r="L1577" s="2"/>
      <c r="M1577" s="27"/>
      <c r="N1577" s="26"/>
      <c r="O1577" s="2"/>
      <c r="P1577" s="24"/>
    </row>
    <row r="1578" spans="1:16" ht="9.75" customHeight="1">
      <c r="A1578" s="32"/>
      <c r="B1578" s="33" t="s">
        <v>38</v>
      </c>
      <c r="C1578" s="33">
        <f t="shared" ref="C1578:M1578" si="295">SUM(C1562:C1577)</f>
        <v>7</v>
      </c>
      <c r="D1578" s="70">
        <f t="shared" si="295"/>
        <v>5</v>
      </c>
      <c r="E1578" s="71">
        <f t="shared" si="295"/>
        <v>5</v>
      </c>
      <c r="F1578" s="71">
        <f t="shared" si="295"/>
        <v>5</v>
      </c>
      <c r="G1578" s="71">
        <f t="shared" si="295"/>
        <v>5</v>
      </c>
      <c r="H1578" s="71">
        <f t="shared" si="295"/>
        <v>6</v>
      </c>
      <c r="I1578" s="71">
        <f t="shared" si="295"/>
        <v>5</v>
      </c>
      <c r="J1578" s="71">
        <f t="shared" si="295"/>
        <v>6</v>
      </c>
      <c r="K1578" s="71">
        <f t="shared" si="295"/>
        <v>6</v>
      </c>
      <c r="L1578" s="71">
        <f t="shared" si="295"/>
        <v>6</v>
      </c>
      <c r="M1578" s="93">
        <f t="shared" si="295"/>
        <v>6</v>
      </c>
      <c r="N1578" s="70">
        <f>MIN(D1578:M1578)</f>
        <v>5</v>
      </c>
      <c r="O1578" s="71">
        <f>C1578-N1578</f>
        <v>2</v>
      </c>
      <c r="P1578" s="40">
        <f>O1578/C1578</f>
        <v>0.2857142857142857</v>
      </c>
    </row>
    <row r="1579" spans="1:16" ht="9.75" customHeight="1">
      <c r="A1579" s="66" t="s">
        <v>262</v>
      </c>
      <c r="B1579" s="66" t="s">
        <v>23</v>
      </c>
      <c r="C1579" s="66"/>
      <c r="D1579" s="41"/>
      <c r="E1579" s="72"/>
      <c r="F1579" s="72"/>
      <c r="G1579" s="72"/>
      <c r="H1579" s="72"/>
      <c r="I1579" s="72"/>
      <c r="J1579" s="72"/>
      <c r="K1579" s="72"/>
      <c r="L1579" s="72"/>
      <c r="M1579" s="73"/>
      <c r="N1579" s="41"/>
      <c r="O1579" s="72"/>
      <c r="P1579" s="99"/>
    </row>
    <row r="1580" spans="1:16" ht="9.75" customHeight="1">
      <c r="A1580" s="18"/>
      <c r="B1580" s="18" t="s">
        <v>25</v>
      </c>
      <c r="C1580" s="18"/>
      <c r="D1580" s="26"/>
      <c r="E1580" s="2"/>
      <c r="F1580" s="2"/>
      <c r="G1580" s="2"/>
      <c r="H1580" s="2"/>
      <c r="I1580" s="2"/>
      <c r="J1580" s="2"/>
      <c r="K1580" s="2"/>
      <c r="L1580" s="2"/>
      <c r="M1580" s="27"/>
      <c r="N1580" s="26"/>
      <c r="O1580" s="2"/>
      <c r="P1580" s="24"/>
    </row>
    <row r="1581" spans="1:16" ht="9.75" customHeight="1">
      <c r="A1581" s="18"/>
      <c r="B1581" s="18" t="s">
        <v>27</v>
      </c>
      <c r="C1581" s="18"/>
      <c r="D1581" s="26"/>
      <c r="E1581" s="2"/>
      <c r="F1581" s="2"/>
      <c r="G1581" s="2"/>
      <c r="H1581" s="2"/>
      <c r="I1581" s="2"/>
      <c r="J1581" s="2"/>
      <c r="K1581" s="2"/>
      <c r="L1581" s="2"/>
      <c r="M1581" s="27"/>
      <c r="N1581" s="26"/>
      <c r="O1581" s="2"/>
      <c r="P1581" s="24"/>
    </row>
    <row r="1582" spans="1:16" ht="9.75" customHeight="1">
      <c r="A1582" s="18"/>
      <c r="B1582" s="18" t="s">
        <v>177</v>
      </c>
      <c r="C1582" s="18">
        <v>100</v>
      </c>
      <c r="D1582" s="26">
        <v>49</v>
      </c>
      <c r="E1582" s="2">
        <f>C1582-63</f>
        <v>37</v>
      </c>
      <c r="F1582" s="2">
        <v>30</v>
      </c>
      <c r="G1582" s="2">
        <v>26</v>
      </c>
      <c r="H1582" s="2">
        <v>32</v>
      </c>
      <c r="I1582" s="116">
        <v>30</v>
      </c>
      <c r="J1582" s="116">
        <v>37</v>
      </c>
      <c r="K1582" s="116">
        <v>41</v>
      </c>
      <c r="L1582" s="116">
        <v>45</v>
      </c>
      <c r="M1582" s="147">
        <v>50</v>
      </c>
      <c r="N1582" s="26">
        <f>MIN(D1582:M1582)</f>
        <v>26</v>
      </c>
      <c r="O1582" s="2">
        <f>C1582-N1582</f>
        <v>74</v>
      </c>
      <c r="P1582" s="24">
        <f>O1582/C1582</f>
        <v>0.74</v>
      </c>
    </row>
    <row r="1583" spans="1:16" ht="9.75" customHeight="1">
      <c r="A1583" s="18"/>
      <c r="B1583" s="18" t="s">
        <v>99</v>
      </c>
      <c r="C1583" s="18"/>
      <c r="D1583" s="26"/>
      <c r="E1583" s="2"/>
      <c r="F1583" s="2"/>
      <c r="G1583" s="2"/>
      <c r="H1583" s="2"/>
      <c r="I1583" s="2"/>
      <c r="J1583" s="2"/>
      <c r="K1583" s="2"/>
      <c r="L1583" s="2"/>
      <c r="M1583" s="27"/>
      <c r="N1583" s="26"/>
      <c r="O1583" s="2"/>
      <c r="P1583" s="24"/>
    </row>
    <row r="1584" spans="1:16" ht="9.75" customHeight="1">
      <c r="A1584" s="18"/>
      <c r="B1584" s="18" t="s">
        <v>32</v>
      </c>
      <c r="C1584" s="18">
        <v>4</v>
      </c>
      <c r="D1584" s="26">
        <v>4</v>
      </c>
      <c r="E1584" s="2">
        <v>4</v>
      </c>
      <c r="F1584" s="2">
        <v>4</v>
      </c>
      <c r="G1584" s="2">
        <v>4</v>
      </c>
      <c r="H1584" s="2">
        <v>4</v>
      </c>
      <c r="I1584" s="116">
        <v>3</v>
      </c>
      <c r="J1584" s="116">
        <v>4</v>
      </c>
      <c r="K1584" s="116">
        <v>4</v>
      </c>
      <c r="L1584" s="116">
        <v>4</v>
      </c>
      <c r="M1584" s="147">
        <v>4</v>
      </c>
      <c r="N1584" s="26">
        <f t="shared" ref="N1584:N1586" si="296">MIN(D1584:M1584)</f>
        <v>3</v>
      </c>
      <c r="O1584" s="2">
        <f t="shared" ref="O1584:O1586" si="297">C1584-N1584</f>
        <v>1</v>
      </c>
      <c r="P1584" s="24">
        <f t="shared" ref="P1584:P1586" si="298">O1584/C1584</f>
        <v>0.25</v>
      </c>
    </row>
    <row r="1585" spans="1:16" ht="9.75" customHeight="1">
      <c r="A1585" s="18"/>
      <c r="B1585" s="18" t="s">
        <v>263</v>
      </c>
      <c r="C1585" s="18">
        <v>10</v>
      </c>
      <c r="D1585" s="26">
        <v>8</v>
      </c>
      <c r="E1585" s="2">
        <v>6</v>
      </c>
      <c r="F1585" s="2">
        <v>6</v>
      </c>
      <c r="G1585" s="2">
        <v>6</v>
      </c>
      <c r="H1585" s="2">
        <v>6</v>
      </c>
      <c r="I1585" s="116">
        <v>8</v>
      </c>
      <c r="J1585" s="116">
        <v>7</v>
      </c>
      <c r="K1585" s="116">
        <v>6</v>
      </c>
      <c r="L1585" s="116">
        <v>8</v>
      </c>
      <c r="M1585" s="147">
        <v>8</v>
      </c>
      <c r="N1585" s="26">
        <f t="shared" si="296"/>
        <v>6</v>
      </c>
      <c r="O1585" s="2">
        <f t="shared" si="297"/>
        <v>4</v>
      </c>
      <c r="P1585" s="24">
        <f t="shared" si="298"/>
        <v>0.4</v>
      </c>
    </row>
    <row r="1586" spans="1:16" ht="9.75" customHeight="1">
      <c r="A1586" s="18"/>
      <c r="B1586" s="18" t="s">
        <v>264</v>
      </c>
      <c r="C1586" s="18">
        <v>10</v>
      </c>
      <c r="D1586" s="26">
        <v>10</v>
      </c>
      <c r="E1586" s="2">
        <v>9</v>
      </c>
      <c r="F1586" s="2">
        <v>9</v>
      </c>
      <c r="G1586" s="2">
        <v>10</v>
      </c>
      <c r="H1586" s="2">
        <v>9</v>
      </c>
      <c r="I1586" s="116">
        <v>6</v>
      </c>
      <c r="J1586" s="116">
        <v>7</v>
      </c>
      <c r="K1586" s="116">
        <v>8</v>
      </c>
      <c r="L1586" s="116">
        <v>9</v>
      </c>
      <c r="M1586" s="147">
        <v>9</v>
      </c>
      <c r="N1586" s="26">
        <f t="shared" si="296"/>
        <v>6</v>
      </c>
      <c r="O1586" s="2">
        <f t="shared" si="297"/>
        <v>4</v>
      </c>
      <c r="P1586" s="24">
        <f t="shared" si="298"/>
        <v>0.4</v>
      </c>
    </row>
    <row r="1587" spans="1:16" ht="9.75" customHeight="1">
      <c r="A1587" s="18"/>
      <c r="B1587" s="18" t="s">
        <v>104</v>
      </c>
      <c r="C1587" s="18"/>
      <c r="D1587" s="26"/>
      <c r="E1587" s="2"/>
      <c r="F1587" s="2"/>
      <c r="G1587" s="2"/>
      <c r="H1587" s="2"/>
      <c r="I1587" s="2"/>
      <c r="J1587" s="2"/>
      <c r="K1587" s="2"/>
      <c r="L1587" s="2"/>
      <c r="M1587" s="27"/>
      <c r="N1587" s="26"/>
      <c r="O1587" s="2"/>
      <c r="P1587" s="24"/>
    </row>
    <row r="1588" spans="1:16" ht="9.75" customHeight="1">
      <c r="A1588" s="18"/>
      <c r="B1588" s="18" t="s">
        <v>104</v>
      </c>
      <c r="C1588" s="18"/>
      <c r="D1588" s="26"/>
      <c r="E1588" s="2"/>
      <c r="F1588" s="2"/>
      <c r="G1588" s="2"/>
      <c r="H1588" s="2"/>
      <c r="I1588" s="2"/>
      <c r="J1588" s="2"/>
      <c r="K1588" s="2"/>
      <c r="L1588" s="2"/>
      <c r="M1588" s="27"/>
      <c r="N1588" s="26"/>
      <c r="O1588" s="2"/>
      <c r="P1588" s="24"/>
    </row>
    <row r="1589" spans="1:16" ht="9.75" customHeight="1">
      <c r="A1589" s="18"/>
      <c r="B1589" s="18" t="s">
        <v>104</v>
      </c>
      <c r="C1589" s="18"/>
      <c r="D1589" s="26"/>
      <c r="E1589" s="2"/>
      <c r="F1589" s="2"/>
      <c r="G1589" s="2"/>
      <c r="H1589" s="2"/>
      <c r="I1589" s="2"/>
      <c r="J1589" s="2"/>
      <c r="K1589" s="2"/>
      <c r="L1589" s="2"/>
      <c r="M1589" s="27"/>
      <c r="N1589" s="26"/>
      <c r="O1589" s="2"/>
      <c r="P1589" s="24"/>
    </row>
    <row r="1590" spans="1:16" ht="9.75" customHeight="1">
      <c r="A1590" s="18"/>
      <c r="B1590" s="18" t="s">
        <v>104</v>
      </c>
      <c r="C1590" s="18"/>
      <c r="D1590" s="26"/>
      <c r="E1590" s="2"/>
      <c r="F1590" s="2"/>
      <c r="G1590" s="2"/>
      <c r="H1590" s="2"/>
      <c r="I1590" s="2"/>
      <c r="J1590" s="2"/>
      <c r="K1590" s="2"/>
      <c r="L1590" s="2"/>
      <c r="M1590" s="27"/>
      <c r="N1590" s="26"/>
      <c r="O1590" s="2"/>
      <c r="P1590" s="24"/>
    </row>
    <row r="1591" spans="1:16" ht="9.75" customHeight="1">
      <c r="A1591" s="18"/>
      <c r="B1591" s="18" t="s">
        <v>34</v>
      </c>
      <c r="C1591" s="18">
        <v>10</v>
      </c>
      <c r="D1591" s="26">
        <v>2</v>
      </c>
      <c r="E1591" s="2">
        <v>0</v>
      </c>
      <c r="F1591" s="2">
        <v>0</v>
      </c>
      <c r="G1591" s="2">
        <v>0</v>
      </c>
      <c r="H1591" s="2">
        <v>1</v>
      </c>
      <c r="I1591" s="116">
        <v>0</v>
      </c>
      <c r="J1591" s="116">
        <v>0</v>
      </c>
      <c r="K1591" s="116">
        <v>0</v>
      </c>
      <c r="L1591" s="116">
        <v>0</v>
      </c>
      <c r="M1591" s="147">
        <v>1</v>
      </c>
      <c r="N1591" s="26">
        <f>MIN(D1591:M1591)</f>
        <v>0</v>
      </c>
      <c r="O1591" s="2">
        <f>C1591-N1591</f>
        <v>10</v>
      </c>
      <c r="P1591" s="24">
        <f>O1591/C1591</f>
        <v>1</v>
      </c>
    </row>
    <row r="1592" spans="1:16" ht="9.75" customHeight="1">
      <c r="A1592" s="18"/>
      <c r="B1592" s="18" t="s">
        <v>35</v>
      </c>
      <c r="C1592" s="18"/>
      <c r="D1592" s="26"/>
      <c r="E1592" s="2"/>
      <c r="F1592" s="2"/>
      <c r="G1592" s="2"/>
      <c r="H1592" s="2"/>
      <c r="I1592" s="2"/>
      <c r="J1592" s="2"/>
      <c r="K1592" s="2"/>
      <c r="L1592" s="2"/>
      <c r="M1592" s="27"/>
      <c r="N1592" s="26"/>
      <c r="O1592" s="2"/>
      <c r="P1592" s="24"/>
    </row>
    <row r="1593" spans="1:16" ht="9.75" customHeight="1">
      <c r="A1593" s="18"/>
      <c r="B1593" s="18" t="s">
        <v>36</v>
      </c>
      <c r="C1593" s="18"/>
      <c r="D1593" s="26"/>
      <c r="E1593" s="2"/>
      <c r="F1593" s="2"/>
      <c r="G1593" s="2"/>
      <c r="H1593" s="2"/>
      <c r="I1593" s="2"/>
      <c r="J1593" s="2"/>
      <c r="K1593" s="2"/>
      <c r="L1593" s="2"/>
      <c r="M1593" s="27"/>
      <c r="N1593" s="26"/>
      <c r="O1593" s="2"/>
      <c r="P1593" s="24"/>
    </row>
    <row r="1594" spans="1:16" ht="9.75" customHeight="1">
      <c r="A1594" s="18"/>
      <c r="B1594" s="18" t="s">
        <v>37</v>
      </c>
      <c r="C1594" s="18"/>
      <c r="D1594" s="26"/>
      <c r="E1594" s="2"/>
      <c r="F1594" s="2"/>
      <c r="G1594" s="2"/>
      <c r="H1594" s="2"/>
      <c r="I1594" s="2"/>
      <c r="J1594" s="2"/>
      <c r="K1594" s="2"/>
      <c r="L1594" s="2"/>
      <c r="M1594" s="27"/>
      <c r="N1594" s="26"/>
      <c r="O1594" s="2"/>
      <c r="P1594" s="24"/>
    </row>
    <row r="1595" spans="1:16" ht="9.75" customHeight="1">
      <c r="A1595" s="32"/>
      <c r="B1595" s="33" t="s">
        <v>38</v>
      </c>
      <c r="C1595" s="33">
        <f t="shared" ref="C1595:M1595" si="299">SUM(C1579:C1594)</f>
        <v>134</v>
      </c>
      <c r="D1595" s="70">
        <f t="shared" si="299"/>
        <v>73</v>
      </c>
      <c r="E1595" s="71">
        <f t="shared" si="299"/>
        <v>56</v>
      </c>
      <c r="F1595" s="71">
        <f t="shared" si="299"/>
        <v>49</v>
      </c>
      <c r="G1595" s="71">
        <f t="shared" si="299"/>
        <v>46</v>
      </c>
      <c r="H1595" s="71">
        <f t="shared" si="299"/>
        <v>52</v>
      </c>
      <c r="I1595" s="71">
        <f t="shared" si="299"/>
        <v>47</v>
      </c>
      <c r="J1595" s="71">
        <f t="shared" si="299"/>
        <v>55</v>
      </c>
      <c r="K1595" s="71">
        <f t="shared" si="299"/>
        <v>59</v>
      </c>
      <c r="L1595" s="71">
        <f t="shared" si="299"/>
        <v>66</v>
      </c>
      <c r="M1595" s="93">
        <f t="shared" si="299"/>
        <v>72</v>
      </c>
      <c r="N1595" s="70">
        <f>MIN(D1595:M1595)</f>
        <v>46</v>
      </c>
      <c r="O1595" s="71">
        <f>C1595-N1595</f>
        <v>88</v>
      </c>
      <c r="P1595" s="40">
        <f>O1595/C1595</f>
        <v>0.65671641791044777</v>
      </c>
    </row>
    <row r="1596" spans="1:16" ht="9.75" customHeight="1">
      <c r="A1596" s="66" t="s">
        <v>265</v>
      </c>
      <c r="B1596" s="66" t="s">
        <v>23</v>
      </c>
      <c r="C1596" s="18"/>
      <c r="D1596" s="26"/>
      <c r="E1596" s="2"/>
      <c r="F1596" s="2"/>
      <c r="G1596" s="2"/>
      <c r="H1596" s="2"/>
      <c r="I1596" s="2"/>
      <c r="J1596" s="2"/>
      <c r="K1596" s="2"/>
      <c r="L1596" s="2"/>
      <c r="M1596" s="27"/>
      <c r="N1596" s="26"/>
      <c r="O1596" s="2"/>
      <c r="P1596" s="24"/>
    </row>
    <row r="1597" spans="1:16" ht="9.75" customHeight="1">
      <c r="A1597" s="18"/>
      <c r="B1597" s="18" t="s">
        <v>25</v>
      </c>
      <c r="C1597" s="18"/>
      <c r="D1597" s="26"/>
      <c r="E1597" s="2"/>
      <c r="F1597" s="2"/>
      <c r="G1597" s="2"/>
      <c r="H1597" s="2"/>
      <c r="I1597" s="2"/>
      <c r="J1597" s="2"/>
      <c r="K1597" s="2"/>
      <c r="L1597" s="2"/>
      <c r="M1597" s="27"/>
      <c r="N1597" s="26"/>
      <c r="O1597" s="2"/>
      <c r="P1597" s="24"/>
    </row>
    <row r="1598" spans="1:16" ht="9.75" customHeight="1">
      <c r="A1598" s="18"/>
      <c r="B1598" s="18" t="s">
        <v>27</v>
      </c>
      <c r="C1598" s="18"/>
      <c r="D1598" s="26"/>
      <c r="E1598" s="2"/>
      <c r="F1598" s="2"/>
      <c r="G1598" s="2"/>
      <c r="H1598" s="2"/>
      <c r="I1598" s="2"/>
      <c r="J1598" s="2"/>
      <c r="K1598" s="2"/>
      <c r="L1598" s="2"/>
      <c r="M1598" s="27"/>
      <c r="N1598" s="26"/>
      <c r="O1598" s="2"/>
      <c r="P1598" s="24"/>
    </row>
    <row r="1599" spans="1:16" ht="9.75" customHeight="1">
      <c r="A1599" s="18"/>
      <c r="B1599" s="18" t="s">
        <v>177</v>
      </c>
      <c r="C1599" s="18">
        <v>70</v>
      </c>
      <c r="D1599" s="26">
        <v>60</v>
      </c>
      <c r="E1599" s="2">
        <v>40</v>
      </c>
      <c r="F1599" s="2">
        <v>35</v>
      </c>
      <c r="G1599" s="2">
        <v>27</v>
      </c>
      <c r="H1599" s="2">
        <v>28</v>
      </c>
      <c r="I1599" s="2">
        <f>70-39</f>
        <v>31</v>
      </c>
      <c r="J1599" s="2">
        <f>C1599-40</f>
        <v>30</v>
      </c>
      <c r="K1599" s="2">
        <f>C1599-37</f>
        <v>33</v>
      </c>
      <c r="L1599" s="2">
        <f>C1599-32</f>
        <v>38</v>
      </c>
      <c r="M1599" s="147">
        <v>50</v>
      </c>
      <c r="N1599" s="26">
        <f>MIN(D1599:M1599)</f>
        <v>27</v>
      </c>
      <c r="O1599" s="2">
        <f>C1599-N1599</f>
        <v>43</v>
      </c>
      <c r="P1599" s="24">
        <f>O1599/C1599</f>
        <v>0.61428571428571432</v>
      </c>
    </row>
    <row r="1600" spans="1:16" ht="9.75" customHeight="1">
      <c r="A1600" s="18"/>
      <c r="B1600" s="18" t="s">
        <v>99</v>
      </c>
      <c r="C1600" s="18"/>
      <c r="D1600" s="26"/>
      <c r="E1600" s="2"/>
      <c r="F1600" s="2"/>
      <c r="G1600" s="2"/>
      <c r="H1600" s="2"/>
      <c r="I1600" s="2"/>
      <c r="J1600" s="2"/>
      <c r="K1600" s="2"/>
      <c r="L1600" s="2"/>
      <c r="M1600" s="27"/>
      <c r="N1600" s="26"/>
      <c r="O1600" s="2"/>
      <c r="P1600" s="24"/>
    </row>
    <row r="1601" spans="1:16" ht="9.75" customHeight="1">
      <c r="A1601" s="18"/>
      <c r="B1601" s="18" t="s">
        <v>32</v>
      </c>
      <c r="C1601" s="18">
        <v>3</v>
      </c>
      <c r="D1601" s="26">
        <v>1</v>
      </c>
      <c r="E1601" s="2">
        <v>1</v>
      </c>
      <c r="F1601" s="2">
        <v>2</v>
      </c>
      <c r="G1601" s="2">
        <v>2</v>
      </c>
      <c r="H1601" s="2">
        <v>2</v>
      </c>
      <c r="I1601" s="116">
        <v>3</v>
      </c>
      <c r="J1601" s="116">
        <v>3</v>
      </c>
      <c r="K1601" s="116">
        <v>3</v>
      </c>
      <c r="L1601" s="116">
        <v>3</v>
      </c>
      <c r="M1601" s="147">
        <v>3</v>
      </c>
      <c r="N1601" s="26">
        <f t="shared" ref="N1601:N1605" si="300">MIN(D1601:M1601)</f>
        <v>1</v>
      </c>
      <c r="O1601" s="2">
        <f t="shared" ref="O1601:O1605" si="301">C1601-N1601</f>
        <v>2</v>
      </c>
      <c r="P1601" s="24">
        <f t="shared" ref="P1601:P1605" si="302">O1601/C1601</f>
        <v>0.66666666666666663</v>
      </c>
    </row>
    <row r="1602" spans="1:16" ht="9.75" customHeight="1">
      <c r="A1602" s="18"/>
      <c r="B1602" s="18" t="s">
        <v>146</v>
      </c>
      <c r="C1602" s="18">
        <v>3</v>
      </c>
      <c r="D1602" s="26">
        <v>1</v>
      </c>
      <c r="E1602" s="2">
        <v>1</v>
      </c>
      <c r="F1602" s="2">
        <v>1</v>
      </c>
      <c r="G1602" s="2">
        <v>1</v>
      </c>
      <c r="H1602" s="2">
        <v>1</v>
      </c>
      <c r="I1602" s="116">
        <v>1</v>
      </c>
      <c r="J1602" s="116">
        <v>1</v>
      </c>
      <c r="K1602" s="116">
        <v>1</v>
      </c>
      <c r="L1602" s="116">
        <v>1</v>
      </c>
      <c r="M1602" s="147">
        <v>1</v>
      </c>
      <c r="N1602" s="26">
        <f t="shared" si="300"/>
        <v>1</v>
      </c>
      <c r="O1602" s="2">
        <f t="shared" si="301"/>
        <v>2</v>
      </c>
      <c r="P1602" s="24">
        <f t="shared" si="302"/>
        <v>0.66666666666666663</v>
      </c>
    </row>
    <row r="1603" spans="1:16" ht="9.75" customHeight="1">
      <c r="A1603" s="18"/>
      <c r="B1603" s="18" t="s">
        <v>102</v>
      </c>
      <c r="C1603" s="18">
        <v>7</v>
      </c>
      <c r="D1603" s="26">
        <v>1</v>
      </c>
      <c r="E1603" s="2">
        <v>2</v>
      </c>
      <c r="F1603" s="2">
        <v>2</v>
      </c>
      <c r="G1603" s="2">
        <v>3</v>
      </c>
      <c r="H1603" s="2">
        <v>3</v>
      </c>
      <c r="I1603" s="116">
        <v>2</v>
      </c>
      <c r="J1603" s="116">
        <v>3</v>
      </c>
      <c r="K1603" s="116">
        <v>4</v>
      </c>
      <c r="L1603" s="116">
        <v>3</v>
      </c>
      <c r="M1603" s="147">
        <v>3</v>
      </c>
      <c r="N1603" s="26">
        <f t="shared" si="300"/>
        <v>1</v>
      </c>
      <c r="O1603" s="2">
        <f t="shared" si="301"/>
        <v>6</v>
      </c>
      <c r="P1603" s="24">
        <f t="shared" si="302"/>
        <v>0.8571428571428571</v>
      </c>
    </row>
    <row r="1604" spans="1:16" ht="9.75" customHeight="1">
      <c r="A1604" s="18"/>
      <c r="B1604" s="18" t="s">
        <v>266</v>
      </c>
      <c r="C1604" s="18">
        <v>6</v>
      </c>
      <c r="D1604" s="26">
        <v>6</v>
      </c>
      <c r="E1604" s="2">
        <v>4</v>
      </c>
      <c r="F1604" s="2">
        <v>5</v>
      </c>
      <c r="G1604" s="2">
        <v>5</v>
      </c>
      <c r="H1604" s="2">
        <v>5</v>
      </c>
      <c r="I1604" s="116">
        <v>6</v>
      </c>
      <c r="J1604" s="116">
        <v>5</v>
      </c>
      <c r="K1604" s="116">
        <v>5</v>
      </c>
      <c r="L1604" s="116">
        <v>5</v>
      </c>
      <c r="M1604" s="147">
        <v>6</v>
      </c>
      <c r="N1604" s="26">
        <f t="shared" si="300"/>
        <v>4</v>
      </c>
      <c r="O1604" s="2">
        <f t="shared" si="301"/>
        <v>2</v>
      </c>
      <c r="P1604" s="24">
        <f t="shared" si="302"/>
        <v>0.33333333333333331</v>
      </c>
    </row>
    <row r="1605" spans="1:16" ht="9.75" customHeight="1">
      <c r="A1605" s="18"/>
      <c r="B1605" s="18" t="s">
        <v>216</v>
      </c>
      <c r="C1605" s="18">
        <v>12</v>
      </c>
      <c r="D1605" s="26">
        <v>12</v>
      </c>
      <c r="E1605" s="2">
        <v>12</v>
      </c>
      <c r="F1605" s="2">
        <v>12</v>
      </c>
      <c r="G1605" s="2">
        <v>12</v>
      </c>
      <c r="H1605" s="2">
        <v>12</v>
      </c>
      <c r="I1605" s="116">
        <v>11</v>
      </c>
      <c r="J1605" s="116">
        <v>11</v>
      </c>
      <c r="K1605" s="116">
        <v>11</v>
      </c>
      <c r="L1605" s="116">
        <v>11</v>
      </c>
      <c r="M1605" s="147">
        <v>11</v>
      </c>
      <c r="N1605" s="26">
        <f t="shared" si="300"/>
        <v>11</v>
      </c>
      <c r="O1605" s="2">
        <f t="shared" si="301"/>
        <v>1</v>
      </c>
      <c r="P1605" s="24">
        <f t="shared" si="302"/>
        <v>8.3333333333333329E-2</v>
      </c>
    </row>
    <row r="1606" spans="1:16" ht="9.75" customHeight="1">
      <c r="A1606" s="18"/>
      <c r="B1606" s="18" t="s">
        <v>267</v>
      </c>
      <c r="C1606" s="18">
        <v>6</v>
      </c>
      <c r="D1606" s="26">
        <v>5</v>
      </c>
      <c r="E1606" s="2">
        <v>5</v>
      </c>
      <c r="F1606" s="2">
        <v>5</v>
      </c>
      <c r="G1606" s="2">
        <v>4</v>
      </c>
      <c r="H1606" s="2">
        <v>3</v>
      </c>
      <c r="I1606" s="116">
        <v>4</v>
      </c>
      <c r="J1606" s="116">
        <v>4</v>
      </c>
      <c r="K1606" s="116">
        <v>4</v>
      </c>
      <c r="L1606" s="116">
        <v>3</v>
      </c>
      <c r="M1606" s="147">
        <v>2</v>
      </c>
      <c r="N1606" s="26"/>
      <c r="O1606" s="2"/>
      <c r="P1606" s="24"/>
    </row>
    <row r="1607" spans="1:16" ht="9.75" customHeight="1">
      <c r="A1607" s="18"/>
      <c r="B1607" s="18" t="s">
        <v>174</v>
      </c>
      <c r="C1607" s="18"/>
      <c r="D1607" s="26"/>
      <c r="E1607" s="2"/>
      <c r="F1607" s="2"/>
      <c r="G1607" s="2"/>
      <c r="H1607" s="2"/>
      <c r="I1607" s="2"/>
      <c r="J1607" s="2"/>
      <c r="K1607" s="2"/>
      <c r="L1607" s="2"/>
      <c r="M1607" s="27"/>
      <c r="N1607" s="26"/>
      <c r="O1607" s="2"/>
      <c r="P1607" s="24"/>
    </row>
    <row r="1608" spans="1:16" ht="9.75" customHeight="1">
      <c r="A1608" s="18"/>
      <c r="B1608" s="18" t="s">
        <v>174</v>
      </c>
      <c r="C1608" s="18"/>
      <c r="D1608" s="26"/>
      <c r="E1608" s="2"/>
      <c r="F1608" s="2"/>
      <c r="G1608" s="2"/>
      <c r="H1608" s="2"/>
      <c r="I1608" s="2"/>
      <c r="J1608" s="2"/>
      <c r="K1608" s="2"/>
      <c r="L1608" s="2"/>
      <c r="M1608" s="27"/>
      <c r="N1608" s="26"/>
      <c r="O1608" s="2"/>
      <c r="P1608" s="24"/>
    </row>
    <row r="1609" spans="1:16" ht="9.75" customHeight="1">
      <c r="A1609" s="18"/>
      <c r="B1609" s="18" t="s">
        <v>174</v>
      </c>
      <c r="C1609" s="18"/>
      <c r="D1609" s="26"/>
      <c r="E1609" s="2"/>
      <c r="F1609" s="2"/>
      <c r="G1609" s="2"/>
      <c r="H1609" s="2"/>
      <c r="I1609" s="2"/>
      <c r="J1609" s="2"/>
      <c r="K1609" s="2"/>
      <c r="L1609" s="2"/>
      <c r="M1609" s="27"/>
      <c r="N1609" s="26"/>
      <c r="O1609" s="2"/>
      <c r="P1609" s="24"/>
    </row>
    <row r="1610" spans="1:16" ht="9.75" customHeight="1">
      <c r="A1610" s="18"/>
      <c r="B1610" s="18" t="s">
        <v>34</v>
      </c>
      <c r="C1610" s="18">
        <v>10</v>
      </c>
      <c r="D1610" s="26">
        <v>5</v>
      </c>
      <c r="E1610" s="2">
        <v>4</v>
      </c>
      <c r="F1610" s="2">
        <v>4</v>
      </c>
      <c r="G1610" s="2">
        <v>5</v>
      </c>
      <c r="H1610" s="2">
        <v>5</v>
      </c>
      <c r="I1610" s="116">
        <v>9</v>
      </c>
      <c r="J1610" s="116">
        <v>9</v>
      </c>
      <c r="K1610" s="116">
        <v>7</v>
      </c>
      <c r="L1610" s="116">
        <v>7</v>
      </c>
      <c r="M1610" s="147">
        <v>8</v>
      </c>
      <c r="N1610" s="26">
        <f t="shared" ref="N1610:N1611" si="303">MIN(D1610:M1610)</f>
        <v>4</v>
      </c>
      <c r="O1610" s="2">
        <f t="shared" ref="O1610:O1611" si="304">C1610-N1610</f>
        <v>6</v>
      </c>
      <c r="P1610" s="24">
        <f t="shared" ref="P1610:P1611" si="305">O1610/C1610</f>
        <v>0.6</v>
      </c>
    </row>
    <row r="1611" spans="1:16" ht="9.75" customHeight="1">
      <c r="A1611" s="18"/>
      <c r="B1611" s="18" t="s">
        <v>268</v>
      </c>
      <c r="C1611" s="18">
        <v>3</v>
      </c>
      <c r="D1611" s="26">
        <v>1</v>
      </c>
      <c r="E1611" s="2">
        <v>1</v>
      </c>
      <c r="F1611" s="2">
        <v>1</v>
      </c>
      <c r="G1611" s="2">
        <v>1</v>
      </c>
      <c r="H1611" s="2">
        <v>0</v>
      </c>
      <c r="I1611" s="116">
        <v>0</v>
      </c>
      <c r="J1611" s="116">
        <v>0</v>
      </c>
      <c r="K1611" s="116">
        <v>0</v>
      </c>
      <c r="L1611" s="116">
        <v>0</v>
      </c>
      <c r="M1611" s="147">
        <v>0</v>
      </c>
      <c r="N1611" s="26">
        <f t="shared" si="303"/>
        <v>0</v>
      </c>
      <c r="O1611" s="2">
        <f t="shared" si="304"/>
        <v>3</v>
      </c>
      <c r="P1611" s="24">
        <f t="shared" si="305"/>
        <v>1</v>
      </c>
    </row>
    <row r="1612" spans="1:16" ht="9.75" customHeight="1">
      <c r="A1612" s="18"/>
      <c r="B1612" s="18" t="s">
        <v>36</v>
      </c>
      <c r="C1612" s="18"/>
      <c r="D1612" s="26"/>
      <c r="E1612" s="2"/>
      <c r="F1612" s="2"/>
      <c r="G1612" s="2"/>
      <c r="H1612" s="2"/>
      <c r="I1612" s="2"/>
      <c r="J1612" s="2"/>
      <c r="K1612" s="2"/>
      <c r="L1612" s="2"/>
      <c r="M1612" s="27"/>
      <c r="N1612" s="26"/>
      <c r="O1612" s="2"/>
      <c r="P1612" s="24"/>
    </row>
    <row r="1613" spans="1:16" ht="9.75" customHeight="1">
      <c r="A1613" s="18"/>
      <c r="B1613" s="18" t="s">
        <v>37</v>
      </c>
      <c r="C1613" s="18"/>
      <c r="D1613" s="26"/>
      <c r="E1613" s="2"/>
      <c r="F1613" s="2"/>
      <c r="G1613" s="2"/>
      <c r="H1613" s="2"/>
      <c r="I1613" s="2"/>
      <c r="J1613" s="2"/>
      <c r="K1613" s="2"/>
      <c r="L1613" s="2"/>
      <c r="M1613" s="27"/>
      <c r="N1613" s="26"/>
      <c r="O1613" s="2"/>
      <c r="P1613" s="24"/>
    </row>
    <row r="1614" spans="1:16" ht="9.75" customHeight="1">
      <c r="A1614" s="32"/>
      <c r="B1614" s="33" t="s">
        <v>38</v>
      </c>
      <c r="C1614" s="33">
        <f t="shared" ref="C1614:M1614" si="306">SUM(C1596:C1613)</f>
        <v>120</v>
      </c>
      <c r="D1614" s="70">
        <f t="shared" si="306"/>
        <v>92</v>
      </c>
      <c r="E1614" s="71">
        <f t="shared" si="306"/>
        <v>70</v>
      </c>
      <c r="F1614" s="71">
        <f t="shared" si="306"/>
        <v>67</v>
      </c>
      <c r="G1614" s="71">
        <f t="shared" si="306"/>
        <v>60</v>
      </c>
      <c r="H1614" s="71">
        <f t="shared" si="306"/>
        <v>59</v>
      </c>
      <c r="I1614" s="71">
        <f t="shared" si="306"/>
        <v>67</v>
      </c>
      <c r="J1614" s="71">
        <f t="shared" si="306"/>
        <v>66</v>
      </c>
      <c r="K1614" s="71">
        <f t="shared" si="306"/>
        <v>68</v>
      </c>
      <c r="L1614" s="71">
        <f t="shared" si="306"/>
        <v>71</v>
      </c>
      <c r="M1614" s="93">
        <f t="shared" si="306"/>
        <v>84</v>
      </c>
      <c r="N1614" s="70">
        <f t="shared" ref="N1614:N1615" si="307">MIN(D1614:M1614)</f>
        <v>59</v>
      </c>
      <c r="O1614" s="71">
        <f t="shared" ref="O1614:O1615" si="308">C1614-N1614</f>
        <v>61</v>
      </c>
      <c r="P1614" s="40">
        <f t="shared" ref="P1614:P1615" si="309">O1614/C1614</f>
        <v>0.5083333333333333</v>
      </c>
    </row>
    <row r="1615" spans="1:16" ht="9.75" customHeight="1">
      <c r="A1615" s="66" t="s">
        <v>269</v>
      </c>
      <c r="B1615" s="66" t="s">
        <v>23</v>
      </c>
      <c r="C1615" s="66">
        <v>93</v>
      </c>
      <c r="D1615" s="41">
        <v>33</v>
      </c>
      <c r="E1615" s="72">
        <v>16</v>
      </c>
      <c r="F1615" s="72">
        <v>11</v>
      </c>
      <c r="G1615" s="72">
        <v>11</v>
      </c>
      <c r="H1615" s="72">
        <v>10</v>
      </c>
      <c r="I1615" s="159">
        <v>11</v>
      </c>
      <c r="J1615" s="159">
        <v>25</v>
      </c>
      <c r="K1615" s="159">
        <v>27</v>
      </c>
      <c r="L1615" s="159">
        <v>30</v>
      </c>
      <c r="M1615" s="175">
        <v>35</v>
      </c>
      <c r="N1615" s="41">
        <f t="shared" si="307"/>
        <v>10</v>
      </c>
      <c r="O1615" s="72">
        <f t="shared" si="308"/>
        <v>83</v>
      </c>
      <c r="P1615" s="99">
        <f t="shared" si="309"/>
        <v>0.89247311827956988</v>
      </c>
    </row>
    <row r="1616" spans="1:16" ht="9.75" customHeight="1">
      <c r="A1616" s="18"/>
      <c r="B1616" s="18" t="s">
        <v>25</v>
      </c>
      <c r="C1616" s="18"/>
      <c r="D1616" s="26"/>
      <c r="E1616" s="2"/>
      <c r="F1616" s="2"/>
      <c r="G1616" s="2"/>
      <c r="H1616" s="2"/>
      <c r="I1616" s="2"/>
      <c r="J1616" s="2"/>
      <c r="K1616" s="2"/>
      <c r="L1616" s="2"/>
      <c r="M1616" s="27"/>
      <c r="N1616" s="26"/>
      <c r="O1616" s="2"/>
      <c r="P1616" s="24"/>
    </row>
    <row r="1617" spans="1:16" ht="9.75" customHeight="1">
      <c r="A1617" s="18"/>
      <c r="B1617" s="18" t="s">
        <v>27</v>
      </c>
      <c r="C1617" s="18"/>
      <c r="D1617" s="26"/>
      <c r="E1617" s="2"/>
      <c r="F1617" s="2"/>
      <c r="G1617" s="2"/>
      <c r="H1617" s="2"/>
      <c r="I1617" s="2"/>
      <c r="J1617" s="2"/>
      <c r="K1617" s="2"/>
      <c r="L1617" s="2"/>
      <c r="M1617" s="27"/>
      <c r="N1617" s="26"/>
      <c r="O1617" s="2"/>
      <c r="P1617" s="24"/>
    </row>
    <row r="1618" spans="1:16" ht="9.75" customHeight="1">
      <c r="A1618" s="18"/>
      <c r="B1618" s="18" t="s">
        <v>177</v>
      </c>
      <c r="C1618" s="18">
        <v>52</v>
      </c>
      <c r="D1618" s="26">
        <v>51</v>
      </c>
      <c r="E1618" s="2">
        <v>50</v>
      </c>
      <c r="F1618" s="2">
        <v>48</v>
      </c>
      <c r="G1618" s="2">
        <f>C1618-6</f>
        <v>46</v>
      </c>
      <c r="H1618" s="2">
        <f>C1618-8</f>
        <v>44</v>
      </c>
      <c r="I1618" s="2">
        <f>52-12</f>
        <v>40</v>
      </c>
      <c r="J1618" s="116">
        <v>40</v>
      </c>
      <c r="K1618" s="2">
        <f>52-13</f>
        <v>39</v>
      </c>
      <c r="L1618" s="2">
        <f>52-15</f>
        <v>37</v>
      </c>
      <c r="M1618" s="27">
        <f>52-17</f>
        <v>35</v>
      </c>
      <c r="N1618" s="26">
        <f>MIN(D1618:M1618)</f>
        <v>35</v>
      </c>
      <c r="O1618" s="2">
        <f>C1618-N1618</f>
        <v>17</v>
      </c>
      <c r="P1618" s="24">
        <f>O1618/C1618</f>
        <v>0.32692307692307693</v>
      </c>
    </row>
    <row r="1619" spans="1:16" ht="9.75" customHeight="1">
      <c r="A1619" s="18"/>
      <c r="B1619" s="18" t="s">
        <v>99</v>
      </c>
      <c r="C1619" s="18"/>
      <c r="D1619" s="26"/>
      <c r="E1619" s="2"/>
      <c r="F1619" s="2"/>
      <c r="G1619" s="2"/>
      <c r="H1619" s="2"/>
      <c r="I1619" s="2"/>
      <c r="J1619" s="2"/>
      <c r="K1619" s="2"/>
      <c r="L1619" s="2"/>
      <c r="M1619" s="27"/>
      <c r="N1619" s="26"/>
      <c r="O1619" s="2"/>
      <c r="P1619" s="24"/>
    </row>
    <row r="1620" spans="1:16" ht="9.75" customHeight="1">
      <c r="A1620" s="18"/>
      <c r="B1620" s="18" t="s">
        <v>32</v>
      </c>
      <c r="C1620" s="18"/>
      <c r="D1620" s="26"/>
      <c r="E1620" s="2"/>
      <c r="F1620" s="2"/>
      <c r="G1620" s="2"/>
      <c r="H1620" s="2"/>
      <c r="I1620" s="2"/>
      <c r="J1620" s="2"/>
      <c r="K1620" s="2"/>
      <c r="L1620" s="2"/>
      <c r="M1620" s="27"/>
      <c r="N1620" s="26"/>
      <c r="O1620" s="2"/>
      <c r="P1620" s="24"/>
    </row>
    <row r="1621" spans="1:16" ht="9.75" customHeight="1">
      <c r="A1621" s="18"/>
      <c r="B1621" s="18" t="s">
        <v>102</v>
      </c>
      <c r="C1621" s="18">
        <v>6</v>
      </c>
      <c r="D1621" s="26">
        <v>6</v>
      </c>
      <c r="E1621" s="2">
        <v>6</v>
      </c>
      <c r="F1621" s="2">
        <v>5</v>
      </c>
      <c r="G1621" s="2">
        <v>4</v>
      </c>
      <c r="H1621" s="2">
        <v>4</v>
      </c>
      <c r="I1621" s="116">
        <v>4</v>
      </c>
      <c r="J1621" s="116">
        <v>4</v>
      </c>
      <c r="K1621" s="116">
        <v>4</v>
      </c>
      <c r="L1621" s="116">
        <v>4</v>
      </c>
      <c r="M1621" s="147">
        <v>4</v>
      </c>
      <c r="N1621" s="26">
        <f t="shared" ref="N1621:N1622" si="310">MIN(D1621:M1621)</f>
        <v>4</v>
      </c>
      <c r="O1621" s="2">
        <f t="shared" ref="O1621:O1622" si="311">C1621-N1621</f>
        <v>2</v>
      </c>
      <c r="P1621" s="24">
        <f t="shared" ref="P1621:P1622" si="312">O1621/C1621</f>
        <v>0.33333333333333331</v>
      </c>
    </row>
    <row r="1622" spans="1:16" ht="9.75" customHeight="1">
      <c r="A1622" s="18"/>
      <c r="B1622" s="18" t="s">
        <v>270</v>
      </c>
      <c r="C1622" s="18">
        <v>4</v>
      </c>
      <c r="D1622" s="26">
        <v>4</v>
      </c>
      <c r="E1622" s="2">
        <v>2</v>
      </c>
      <c r="F1622" s="2">
        <v>2</v>
      </c>
      <c r="G1622" s="2">
        <v>2</v>
      </c>
      <c r="H1622" s="2">
        <v>2</v>
      </c>
      <c r="I1622" s="116">
        <v>3</v>
      </c>
      <c r="J1622" s="116">
        <v>3</v>
      </c>
      <c r="K1622" s="116">
        <v>3</v>
      </c>
      <c r="L1622" s="116">
        <v>3</v>
      </c>
      <c r="M1622" s="147">
        <v>3</v>
      </c>
      <c r="N1622" s="26">
        <f t="shared" si="310"/>
        <v>2</v>
      </c>
      <c r="O1622" s="2">
        <f t="shared" si="311"/>
        <v>2</v>
      </c>
      <c r="P1622" s="24">
        <f t="shared" si="312"/>
        <v>0.5</v>
      </c>
    </row>
    <row r="1623" spans="1:16" ht="9.75" customHeight="1">
      <c r="A1623" s="18"/>
      <c r="B1623" s="18" t="s">
        <v>174</v>
      </c>
      <c r="C1623" s="18"/>
      <c r="D1623" s="26"/>
      <c r="E1623" s="2"/>
      <c r="F1623" s="2"/>
      <c r="G1623" s="2"/>
      <c r="H1623" s="2"/>
      <c r="I1623" s="2"/>
      <c r="J1623" s="2"/>
      <c r="K1623" s="2"/>
      <c r="L1623" s="2"/>
      <c r="M1623" s="27"/>
      <c r="N1623" s="26"/>
      <c r="O1623" s="2"/>
      <c r="P1623" s="24"/>
    </row>
    <row r="1624" spans="1:16" ht="9.75" customHeight="1">
      <c r="A1624" s="18"/>
      <c r="B1624" s="18" t="s">
        <v>104</v>
      </c>
      <c r="C1624" s="18"/>
      <c r="D1624" s="26"/>
      <c r="E1624" s="2"/>
      <c r="F1624" s="2"/>
      <c r="G1624" s="2"/>
      <c r="H1624" s="2"/>
      <c r="I1624" s="2"/>
      <c r="J1624" s="2"/>
      <c r="K1624" s="2"/>
      <c r="L1624" s="2"/>
      <c r="M1624" s="27"/>
      <c r="N1624" s="26"/>
      <c r="O1624" s="2"/>
      <c r="P1624" s="24"/>
    </row>
    <row r="1625" spans="1:16" ht="9.75" customHeight="1">
      <c r="A1625" s="18"/>
      <c r="B1625" s="18" t="s">
        <v>104</v>
      </c>
      <c r="C1625" s="18"/>
      <c r="D1625" s="26"/>
      <c r="E1625" s="2"/>
      <c r="F1625" s="2"/>
      <c r="G1625" s="2"/>
      <c r="H1625" s="2"/>
      <c r="I1625" s="2"/>
      <c r="J1625" s="2"/>
      <c r="K1625" s="2"/>
      <c r="L1625" s="2"/>
      <c r="M1625" s="27"/>
      <c r="N1625" s="26"/>
      <c r="O1625" s="2"/>
      <c r="P1625" s="24"/>
    </row>
    <row r="1626" spans="1:16" ht="9.75" customHeight="1">
      <c r="A1626" s="18"/>
      <c r="B1626" s="18" t="s">
        <v>104</v>
      </c>
      <c r="C1626" s="18"/>
      <c r="D1626" s="26"/>
      <c r="E1626" s="2"/>
      <c r="F1626" s="2"/>
      <c r="G1626" s="2"/>
      <c r="H1626" s="2"/>
      <c r="I1626" s="2"/>
      <c r="J1626" s="2"/>
      <c r="K1626" s="2"/>
      <c r="L1626" s="2"/>
      <c r="M1626" s="27"/>
      <c r="N1626" s="26"/>
      <c r="O1626" s="2"/>
      <c r="P1626" s="24"/>
    </row>
    <row r="1627" spans="1:16" ht="9.75" customHeight="1">
      <c r="A1627" s="18"/>
      <c r="B1627" s="18" t="s">
        <v>34</v>
      </c>
      <c r="C1627" s="18"/>
      <c r="D1627" s="26"/>
      <c r="E1627" s="2"/>
      <c r="F1627" s="2"/>
      <c r="G1627" s="2"/>
      <c r="H1627" s="2"/>
      <c r="I1627" s="2"/>
      <c r="J1627" s="2"/>
      <c r="K1627" s="2"/>
      <c r="L1627" s="2"/>
      <c r="M1627" s="27"/>
      <c r="N1627" s="26"/>
      <c r="O1627" s="2"/>
      <c r="P1627" s="24"/>
    </row>
    <row r="1628" spans="1:16" ht="9.75" customHeight="1">
      <c r="A1628" s="18"/>
      <c r="B1628" s="18" t="s">
        <v>268</v>
      </c>
      <c r="C1628" s="18">
        <v>4</v>
      </c>
      <c r="D1628" s="26">
        <v>2</v>
      </c>
      <c r="E1628" s="2">
        <v>2</v>
      </c>
      <c r="F1628" s="2">
        <v>2</v>
      </c>
      <c r="G1628" s="2">
        <v>2</v>
      </c>
      <c r="H1628" s="2">
        <v>1</v>
      </c>
      <c r="I1628" s="116">
        <v>0</v>
      </c>
      <c r="J1628" s="116">
        <v>0</v>
      </c>
      <c r="K1628" s="116">
        <v>0</v>
      </c>
      <c r="L1628" s="116">
        <v>0</v>
      </c>
      <c r="M1628" s="147">
        <v>0</v>
      </c>
      <c r="N1628" s="26">
        <f>MIN(D1628:M1628)</f>
        <v>0</v>
      </c>
      <c r="O1628" s="2">
        <f>C1628-N1628</f>
        <v>4</v>
      </c>
      <c r="P1628" s="24">
        <f>O1628/C1628</f>
        <v>1</v>
      </c>
    </row>
    <row r="1629" spans="1:16" ht="9.75" customHeight="1">
      <c r="A1629" s="18"/>
      <c r="B1629" s="18" t="s">
        <v>36</v>
      </c>
      <c r="C1629" s="18"/>
      <c r="D1629" s="26"/>
      <c r="E1629" s="2"/>
      <c r="F1629" s="2"/>
      <c r="G1629" s="2"/>
      <c r="H1629" s="2"/>
      <c r="I1629" s="2"/>
      <c r="J1629" s="2"/>
      <c r="K1629" s="2"/>
      <c r="L1629" s="2"/>
      <c r="M1629" s="27"/>
      <c r="N1629" s="26"/>
      <c r="O1629" s="2"/>
      <c r="P1629" s="24"/>
    </row>
    <row r="1630" spans="1:16" ht="9.75" customHeight="1">
      <c r="A1630" s="18"/>
      <c r="B1630" s="18" t="s">
        <v>37</v>
      </c>
      <c r="C1630" s="18"/>
      <c r="D1630" s="26"/>
      <c r="E1630" s="2"/>
      <c r="F1630" s="2"/>
      <c r="G1630" s="2"/>
      <c r="H1630" s="2"/>
      <c r="I1630" s="2"/>
      <c r="J1630" s="2"/>
      <c r="K1630" s="2"/>
      <c r="L1630" s="2"/>
      <c r="M1630" s="27"/>
      <c r="N1630" s="26"/>
      <c r="O1630" s="2"/>
      <c r="P1630" s="24"/>
    </row>
    <row r="1631" spans="1:16" ht="9.75" customHeight="1">
      <c r="A1631" s="32"/>
      <c r="B1631" s="33" t="s">
        <v>38</v>
      </c>
      <c r="C1631" s="33">
        <f t="shared" ref="C1631:M1631" si="313">SUM(C1615:C1630)</f>
        <v>159</v>
      </c>
      <c r="D1631" s="70">
        <f t="shared" si="313"/>
        <v>96</v>
      </c>
      <c r="E1631" s="71">
        <f t="shared" si="313"/>
        <v>76</v>
      </c>
      <c r="F1631" s="71">
        <f t="shared" si="313"/>
        <v>68</v>
      </c>
      <c r="G1631" s="71">
        <f t="shared" si="313"/>
        <v>65</v>
      </c>
      <c r="H1631" s="71">
        <f t="shared" si="313"/>
        <v>61</v>
      </c>
      <c r="I1631" s="71">
        <f t="shared" si="313"/>
        <v>58</v>
      </c>
      <c r="J1631" s="71">
        <f t="shared" si="313"/>
        <v>72</v>
      </c>
      <c r="K1631" s="71">
        <f t="shared" si="313"/>
        <v>73</v>
      </c>
      <c r="L1631" s="71">
        <f t="shared" si="313"/>
        <v>74</v>
      </c>
      <c r="M1631" s="93">
        <f t="shared" si="313"/>
        <v>77</v>
      </c>
      <c r="N1631" s="70">
        <f t="shared" ref="N1631:N1632" si="314">MIN(D1631:M1631)</f>
        <v>58</v>
      </c>
      <c r="O1631" s="71">
        <f t="shared" ref="O1631:O1632" si="315">C1631-N1631</f>
        <v>101</v>
      </c>
      <c r="P1631" s="40">
        <f t="shared" ref="P1631:P1632" si="316">O1631/C1631</f>
        <v>0.63522012578616349</v>
      </c>
    </row>
    <row r="1632" spans="1:16" ht="9.75" customHeight="1">
      <c r="A1632" s="66" t="s">
        <v>271</v>
      </c>
      <c r="B1632" s="66" t="s">
        <v>23</v>
      </c>
      <c r="C1632" s="18">
        <v>153</v>
      </c>
      <c r="D1632" s="26">
        <v>142</v>
      </c>
      <c r="E1632" s="2">
        <v>139</v>
      </c>
      <c r="F1632" s="2">
        <f>C1632-29</f>
        <v>124</v>
      </c>
      <c r="G1632" s="2">
        <f>C1632-37</f>
        <v>116</v>
      </c>
      <c r="H1632" s="2">
        <f>C1632-41</f>
        <v>112</v>
      </c>
      <c r="I1632" s="2">
        <f>C1632-41</f>
        <v>112</v>
      </c>
      <c r="J1632" s="2">
        <f>C1632-47</f>
        <v>106</v>
      </c>
      <c r="K1632" s="2">
        <f>C1632-51</f>
        <v>102</v>
      </c>
      <c r="L1632" s="116">
        <v>120</v>
      </c>
      <c r="M1632" s="147">
        <v>141</v>
      </c>
      <c r="N1632" s="26">
        <f t="shared" si="314"/>
        <v>102</v>
      </c>
      <c r="O1632" s="2">
        <f t="shared" si="315"/>
        <v>51</v>
      </c>
      <c r="P1632" s="24">
        <f t="shared" si="316"/>
        <v>0.33333333333333331</v>
      </c>
    </row>
    <row r="1633" spans="1:16" ht="9.75" customHeight="1">
      <c r="A1633" s="18"/>
      <c r="B1633" s="18" t="s">
        <v>25</v>
      </c>
      <c r="C1633" s="18"/>
      <c r="D1633" s="26"/>
      <c r="E1633" s="2"/>
      <c r="F1633" s="2"/>
      <c r="G1633" s="2"/>
      <c r="H1633" s="2"/>
      <c r="I1633" s="2"/>
      <c r="J1633" s="2"/>
      <c r="K1633" s="2"/>
      <c r="L1633" s="2"/>
      <c r="M1633" s="27"/>
      <c r="N1633" s="26"/>
      <c r="O1633" s="2"/>
      <c r="P1633" s="24"/>
    </row>
    <row r="1634" spans="1:16" ht="9.75" customHeight="1">
      <c r="A1634" s="18"/>
      <c r="B1634" s="18" t="s">
        <v>27</v>
      </c>
      <c r="C1634" s="18"/>
      <c r="D1634" s="26"/>
      <c r="E1634" s="2"/>
      <c r="F1634" s="2"/>
      <c r="G1634" s="2"/>
      <c r="H1634" s="2"/>
      <c r="I1634" s="2"/>
      <c r="J1634" s="2"/>
      <c r="K1634" s="2"/>
      <c r="L1634" s="2"/>
      <c r="M1634" s="27"/>
      <c r="N1634" s="26"/>
      <c r="O1634" s="2"/>
      <c r="P1634" s="24"/>
    </row>
    <row r="1635" spans="1:16" ht="9.75" customHeight="1">
      <c r="A1635" s="18"/>
      <c r="B1635" s="18" t="s">
        <v>99</v>
      </c>
      <c r="C1635" s="18"/>
      <c r="D1635" s="26"/>
      <c r="E1635" s="2"/>
      <c r="F1635" s="2"/>
      <c r="G1635" s="2"/>
      <c r="H1635" s="2"/>
      <c r="I1635" s="2"/>
      <c r="J1635" s="2"/>
      <c r="K1635" s="2"/>
      <c r="L1635" s="2"/>
      <c r="M1635" s="27"/>
      <c r="N1635" s="26"/>
      <c r="O1635" s="2"/>
      <c r="P1635" s="24"/>
    </row>
    <row r="1636" spans="1:16" ht="9.75" customHeight="1">
      <c r="A1636" s="18"/>
      <c r="B1636" s="18" t="s">
        <v>99</v>
      </c>
      <c r="C1636" s="18"/>
      <c r="D1636" s="26"/>
      <c r="E1636" s="2"/>
      <c r="F1636" s="2"/>
      <c r="G1636" s="2"/>
      <c r="H1636" s="2"/>
      <c r="I1636" s="2"/>
      <c r="J1636" s="2"/>
      <c r="K1636" s="2"/>
      <c r="L1636" s="2"/>
      <c r="M1636" s="27"/>
      <c r="N1636" s="26"/>
      <c r="O1636" s="2"/>
      <c r="P1636" s="24"/>
    </row>
    <row r="1637" spans="1:16" ht="9.75" customHeight="1">
      <c r="A1637" s="18"/>
      <c r="B1637" s="18" t="s">
        <v>32</v>
      </c>
      <c r="C1637" s="18"/>
      <c r="D1637" s="26"/>
      <c r="E1637" s="2"/>
      <c r="F1637" s="2"/>
      <c r="G1637" s="2"/>
      <c r="H1637" s="2"/>
      <c r="I1637" s="2"/>
      <c r="J1637" s="2"/>
      <c r="K1637" s="2"/>
      <c r="L1637" s="2"/>
      <c r="M1637" s="27"/>
      <c r="N1637" s="26"/>
      <c r="O1637" s="2"/>
      <c r="P1637" s="24"/>
    </row>
    <row r="1638" spans="1:16" ht="9.75" customHeight="1">
      <c r="A1638" s="18"/>
      <c r="B1638" s="18" t="s">
        <v>174</v>
      </c>
      <c r="C1638" s="18"/>
      <c r="D1638" s="26"/>
      <c r="E1638" s="2"/>
      <c r="F1638" s="2"/>
      <c r="G1638" s="2"/>
      <c r="H1638" s="2"/>
      <c r="I1638" s="2"/>
      <c r="J1638" s="2"/>
      <c r="K1638" s="2"/>
      <c r="L1638" s="2"/>
      <c r="M1638" s="27"/>
      <c r="N1638" s="26"/>
      <c r="O1638" s="2"/>
      <c r="P1638" s="24"/>
    </row>
    <row r="1639" spans="1:16" ht="9.75" customHeight="1">
      <c r="A1639" s="18"/>
      <c r="B1639" s="18" t="s">
        <v>104</v>
      </c>
      <c r="C1639" s="18"/>
      <c r="D1639" s="26"/>
      <c r="E1639" s="2"/>
      <c r="F1639" s="2"/>
      <c r="G1639" s="2"/>
      <c r="H1639" s="2"/>
      <c r="I1639" s="2"/>
      <c r="J1639" s="2"/>
      <c r="K1639" s="2"/>
      <c r="L1639" s="2"/>
      <c r="M1639" s="27"/>
      <c r="N1639" s="26"/>
      <c r="O1639" s="2"/>
      <c r="P1639" s="24"/>
    </row>
    <row r="1640" spans="1:16" ht="9.75" customHeight="1">
      <c r="A1640" s="18"/>
      <c r="B1640" s="18" t="s">
        <v>104</v>
      </c>
      <c r="C1640" s="18"/>
      <c r="D1640" s="26"/>
      <c r="E1640" s="2"/>
      <c r="F1640" s="2"/>
      <c r="G1640" s="2"/>
      <c r="H1640" s="2"/>
      <c r="I1640" s="2"/>
      <c r="J1640" s="2"/>
      <c r="K1640" s="2"/>
      <c r="L1640" s="2"/>
      <c r="M1640" s="27"/>
      <c r="N1640" s="26"/>
      <c r="O1640" s="2"/>
      <c r="P1640" s="24"/>
    </row>
    <row r="1641" spans="1:16" ht="9.75" customHeight="1">
      <c r="A1641" s="18"/>
      <c r="B1641" s="18" t="s">
        <v>104</v>
      </c>
      <c r="C1641" s="18"/>
      <c r="D1641" s="26"/>
      <c r="E1641" s="2"/>
      <c r="F1641" s="2"/>
      <c r="G1641" s="2"/>
      <c r="H1641" s="2"/>
      <c r="I1641" s="2"/>
      <c r="J1641" s="2"/>
      <c r="K1641" s="2"/>
      <c r="L1641" s="2"/>
      <c r="M1641" s="27"/>
      <c r="N1641" s="26"/>
      <c r="O1641" s="2"/>
      <c r="P1641" s="24"/>
    </row>
    <row r="1642" spans="1:16" ht="9.75" customHeight="1">
      <c r="A1642" s="18"/>
      <c r="B1642" s="18" t="s">
        <v>104</v>
      </c>
      <c r="C1642" s="18"/>
      <c r="D1642" s="26"/>
      <c r="E1642" s="2"/>
      <c r="F1642" s="2"/>
      <c r="G1642" s="2"/>
      <c r="H1642" s="2"/>
      <c r="I1642" s="2"/>
      <c r="J1642" s="2"/>
      <c r="K1642" s="2"/>
      <c r="L1642" s="2"/>
      <c r="M1642" s="27"/>
      <c r="N1642" s="26"/>
      <c r="O1642" s="2"/>
      <c r="P1642" s="24"/>
    </row>
    <row r="1643" spans="1:16" ht="9.75" customHeight="1">
      <c r="A1643" s="18"/>
      <c r="B1643" s="18" t="s">
        <v>104</v>
      </c>
      <c r="C1643" s="18"/>
      <c r="D1643" s="26"/>
      <c r="E1643" s="2"/>
      <c r="F1643" s="2"/>
      <c r="G1643" s="2"/>
      <c r="H1643" s="2"/>
      <c r="I1643" s="2"/>
      <c r="J1643" s="2"/>
      <c r="K1643" s="2"/>
      <c r="L1643" s="2"/>
      <c r="M1643" s="27"/>
      <c r="N1643" s="26"/>
      <c r="O1643" s="2"/>
      <c r="P1643" s="24"/>
    </row>
    <row r="1644" spans="1:16" ht="9.75" customHeight="1">
      <c r="A1644" s="18"/>
      <c r="B1644" s="18" t="s">
        <v>34</v>
      </c>
      <c r="C1644" s="18"/>
      <c r="D1644" s="26"/>
      <c r="E1644" s="2"/>
      <c r="F1644" s="2"/>
      <c r="G1644" s="2"/>
      <c r="H1644" s="2"/>
      <c r="I1644" s="2"/>
      <c r="J1644" s="2"/>
      <c r="K1644" s="2"/>
      <c r="L1644" s="2"/>
      <c r="M1644" s="27"/>
      <c r="N1644" s="26"/>
      <c r="O1644" s="2"/>
      <c r="P1644" s="24"/>
    </row>
    <row r="1645" spans="1:16" ht="9.75" customHeight="1">
      <c r="A1645" s="18"/>
      <c r="B1645" s="18" t="s">
        <v>268</v>
      </c>
      <c r="C1645" s="18">
        <v>4</v>
      </c>
      <c r="D1645" s="26">
        <v>3</v>
      </c>
      <c r="E1645" s="2">
        <v>3</v>
      </c>
      <c r="F1645" s="2">
        <v>3</v>
      </c>
      <c r="G1645" s="2">
        <v>3</v>
      </c>
      <c r="H1645" s="2">
        <v>3</v>
      </c>
      <c r="I1645" s="116">
        <v>3</v>
      </c>
      <c r="J1645" s="116">
        <v>3</v>
      </c>
      <c r="K1645" s="116">
        <v>3</v>
      </c>
      <c r="L1645" s="116">
        <v>3</v>
      </c>
      <c r="M1645" s="147">
        <v>3</v>
      </c>
      <c r="N1645" s="26">
        <f>MIN(D1645:M1645)</f>
        <v>3</v>
      </c>
      <c r="O1645" s="2">
        <f>C1645-N1645</f>
        <v>1</v>
      </c>
      <c r="P1645" s="24">
        <f>O1645/C1645</f>
        <v>0.25</v>
      </c>
    </row>
    <row r="1646" spans="1:16" ht="9.75" customHeight="1">
      <c r="A1646" s="18"/>
      <c r="B1646" s="18" t="s">
        <v>36</v>
      </c>
      <c r="C1646" s="18"/>
      <c r="D1646" s="26"/>
      <c r="E1646" s="2"/>
      <c r="F1646" s="2"/>
      <c r="G1646" s="2"/>
      <c r="H1646" s="2"/>
      <c r="I1646" s="2"/>
      <c r="J1646" s="2"/>
      <c r="K1646" s="2"/>
      <c r="L1646" s="2"/>
      <c r="M1646" s="27"/>
      <c r="N1646" s="26"/>
      <c r="O1646" s="2"/>
      <c r="P1646" s="24"/>
    </row>
    <row r="1647" spans="1:16" ht="9.75" customHeight="1">
      <c r="A1647" s="18"/>
      <c r="B1647" s="18" t="s">
        <v>37</v>
      </c>
      <c r="C1647" s="18"/>
      <c r="D1647" s="26"/>
      <c r="E1647" s="2"/>
      <c r="F1647" s="2"/>
      <c r="G1647" s="2"/>
      <c r="H1647" s="2"/>
      <c r="I1647" s="2"/>
      <c r="J1647" s="2"/>
      <c r="K1647" s="2"/>
      <c r="L1647" s="2"/>
      <c r="M1647" s="27"/>
      <c r="N1647" s="26"/>
      <c r="O1647" s="2"/>
      <c r="P1647" s="24"/>
    </row>
    <row r="1648" spans="1:16" ht="9.75" customHeight="1">
      <c r="A1648" s="32"/>
      <c r="B1648" s="33" t="s">
        <v>38</v>
      </c>
      <c r="C1648" s="33">
        <f t="shared" ref="C1648:M1648" si="317">SUM(C1632:C1647)</f>
        <v>157</v>
      </c>
      <c r="D1648" s="70">
        <f t="shared" si="317"/>
        <v>145</v>
      </c>
      <c r="E1648" s="71">
        <f t="shared" si="317"/>
        <v>142</v>
      </c>
      <c r="F1648" s="71">
        <f t="shared" si="317"/>
        <v>127</v>
      </c>
      <c r="G1648" s="71">
        <f t="shared" si="317"/>
        <v>119</v>
      </c>
      <c r="H1648" s="71">
        <f t="shared" si="317"/>
        <v>115</v>
      </c>
      <c r="I1648" s="71">
        <f t="shared" si="317"/>
        <v>115</v>
      </c>
      <c r="J1648" s="71">
        <f t="shared" si="317"/>
        <v>109</v>
      </c>
      <c r="K1648" s="71">
        <f t="shared" si="317"/>
        <v>105</v>
      </c>
      <c r="L1648" s="71">
        <f t="shared" si="317"/>
        <v>123</v>
      </c>
      <c r="M1648" s="93">
        <f t="shared" si="317"/>
        <v>144</v>
      </c>
      <c r="N1648" s="70">
        <f t="shared" ref="N1648:N1649" si="318">MIN(D1648:M1648)</f>
        <v>105</v>
      </c>
      <c r="O1648" s="71">
        <f t="shared" ref="O1648:O1649" si="319">C1648-N1648</f>
        <v>52</v>
      </c>
      <c r="P1648" s="40">
        <f t="shared" ref="P1648:P1649" si="320">O1648/C1648</f>
        <v>0.33121019108280253</v>
      </c>
    </row>
    <row r="1649" spans="1:16" ht="9.75" customHeight="1">
      <c r="A1649" s="66" t="s">
        <v>272</v>
      </c>
      <c r="B1649" s="66" t="s">
        <v>23</v>
      </c>
      <c r="C1649" s="18">
        <v>155</v>
      </c>
      <c r="D1649" s="26">
        <v>154</v>
      </c>
      <c r="E1649" s="2">
        <v>154</v>
      </c>
      <c r="F1649" s="2">
        <v>154</v>
      </c>
      <c r="G1649" s="2">
        <v>154</v>
      </c>
      <c r="H1649" s="2">
        <v>154</v>
      </c>
      <c r="I1649" s="116">
        <v>154</v>
      </c>
      <c r="J1649" s="116">
        <v>154</v>
      </c>
      <c r="K1649" s="116">
        <v>154</v>
      </c>
      <c r="L1649" s="116">
        <v>154</v>
      </c>
      <c r="M1649" s="147">
        <v>154</v>
      </c>
      <c r="N1649" s="26">
        <f t="shared" si="318"/>
        <v>154</v>
      </c>
      <c r="O1649" s="2">
        <f t="shared" si="319"/>
        <v>1</v>
      </c>
      <c r="P1649" s="24">
        <f t="shared" si="320"/>
        <v>6.4516129032258064E-3</v>
      </c>
    </row>
    <row r="1650" spans="1:16" ht="9.75" customHeight="1">
      <c r="A1650" s="18"/>
      <c r="B1650" s="18" t="s">
        <v>25</v>
      </c>
      <c r="C1650" s="18"/>
      <c r="D1650" s="26"/>
      <c r="E1650" s="2"/>
      <c r="F1650" s="2"/>
      <c r="G1650" s="2"/>
      <c r="H1650" s="2"/>
      <c r="I1650" s="2"/>
      <c r="J1650" s="2"/>
      <c r="K1650" s="2"/>
      <c r="L1650" s="2"/>
      <c r="M1650" s="27"/>
      <c r="N1650" s="26"/>
      <c r="O1650" s="2"/>
      <c r="P1650" s="24"/>
    </row>
    <row r="1651" spans="1:16" ht="9.75" customHeight="1">
      <c r="A1651" s="18"/>
      <c r="B1651" s="18" t="s">
        <v>27</v>
      </c>
      <c r="C1651" s="18"/>
      <c r="D1651" s="26"/>
      <c r="E1651" s="2"/>
      <c r="F1651" s="2"/>
      <c r="G1651" s="2"/>
      <c r="H1651" s="2"/>
      <c r="I1651" s="2"/>
      <c r="J1651" s="2"/>
      <c r="K1651" s="2"/>
      <c r="L1651" s="2"/>
      <c r="M1651" s="27"/>
      <c r="N1651" s="26"/>
      <c r="O1651" s="2"/>
      <c r="P1651" s="24"/>
    </row>
    <row r="1652" spans="1:16" ht="9.75" customHeight="1">
      <c r="A1652" s="18"/>
      <c r="B1652" s="18" t="s">
        <v>99</v>
      </c>
      <c r="C1652" s="18"/>
      <c r="D1652" s="26"/>
      <c r="E1652" s="2"/>
      <c r="F1652" s="2"/>
      <c r="G1652" s="2"/>
      <c r="H1652" s="2"/>
      <c r="I1652" s="2"/>
      <c r="J1652" s="2"/>
      <c r="K1652" s="2"/>
      <c r="L1652" s="2"/>
      <c r="M1652" s="27"/>
      <c r="N1652" s="26"/>
      <c r="O1652" s="2"/>
      <c r="P1652" s="24"/>
    </row>
    <row r="1653" spans="1:16" ht="9.75" customHeight="1">
      <c r="A1653" s="18"/>
      <c r="B1653" s="18" t="s">
        <v>99</v>
      </c>
      <c r="C1653" s="18"/>
      <c r="D1653" s="26"/>
      <c r="E1653" s="2"/>
      <c r="F1653" s="2"/>
      <c r="G1653" s="2"/>
      <c r="H1653" s="2"/>
      <c r="I1653" s="2"/>
      <c r="J1653" s="2"/>
      <c r="K1653" s="2"/>
      <c r="L1653" s="2"/>
      <c r="M1653" s="27"/>
      <c r="N1653" s="26"/>
      <c r="O1653" s="2"/>
      <c r="P1653" s="24"/>
    </row>
    <row r="1654" spans="1:16" ht="9.75" customHeight="1">
      <c r="A1654" s="18"/>
      <c r="B1654" s="18" t="s">
        <v>32</v>
      </c>
      <c r="C1654" s="18"/>
      <c r="D1654" s="26"/>
      <c r="E1654" s="2"/>
      <c r="F1654" s="2"/>
      <c r="G1654" s="2"/>
      <c r="H1654" s="2"/>
      <c r="I1654" s="2"/>
      <c r="J1654" s="2"/>
      <c r="K1654" s="2"/>
      <c r="L1654" s="2"/>
      <c r="M1654" s="27"/>
      <c r="N1654" s="26"/>
      <c r="O1654" s="2"/>
      <c r="P1654" s="24"/>
    </row>
    <row r="1655" spans="1:16" ht="9.75" customHeight="1">
      <c r="A1655" s="18"/>
      <c r="B1655" s="18" t="s">
        <v>174</v>
      </c>
      <c r="C1655" s="18"/>
      <c r="D1655" s="26"/>
      <c r="E1655" s="2"/>
      <c r="F1655" s="2"/>
      <c r="G1655" s="2"/>
      <c r="H1655" s="2"/>
      <c r="I1655" s="2"/>
      <c r="J1655" s="2"/>
      <c r="K1655" s="2"/>
      <c r="L1655" s="2"/>
      <c r="M1655" s="27"/>
      <c r="N1655" s="26"/>
      <c r="O1655" s="2"/>
      <c r="P1655" s="24"/>
    </row>
    <row r="1656" spans="1:16" ht="9.75" customHeight="1">
      <c r="A1656" s="18"/>
      <c r="B1656" s="18" t="s">
        <v>104</v>
      </c>
      <c r="C1656" s="18"/>
      <c r="D1656" s="26"/>
      <c r="E1656" s="2"/>
      <c r="F1656" s="2"/>
      <c r="G1656" s="2"/>
      <c r="H1656" s="2"/>
      <c r="I1656" s="2"/>
      <c r="J1656" s="2"/>
      <c r="K1656" s="2"/>
      <c r="L1656" s="2"/>
      <c r="M1656" s="27"/>
      <c r="N1656" s="26"/>
      <c r="O1656" s="2"/>
      <c r="P1656" s="24"/>
    </row>
    <row r="1657" spans="1:16" ht="9.75" customHeight="1">
      <c r="A1657" s="18"/>
      <c r="B1657" s="18" t="s">
        <v>104</v>
      </c>
      <c r="C1657" s="18"/>
      <c r="D1657" s="26"/>
      <c r="E1657" s="2"/>
      <c r="F1657" s="2"/>
      <c r="G1657" s="2"/>
      <c r="H1657" s="2"/>
      <c r="I1657" s="2"/>
      <c r="J1657" s="2"/>
      <c r="K1657" s="2"/>
      <c r="L1657" s="2"/>
      <c r="M1657" s="27"/>
      <c r="N1657" s="26"/>
      <c r="O1657" s="2"/>
      <c r="P1657" s="24"/>
    </row>
    <row r="1658" spans="1:16" ht="9.75" customHeight="1">
      <c r="A1658" s="18"/>
      <c r="B1658" s="18" t="s">
        <v>104</v>
      </c>
      <c r="C1658" s="18"/>
      <c r="D1658" s="26"/>
      <c r="E1658" s="2"/>
      <c r="F1658" s="2"/>
      <c r="G1658" s="2"/>
      <c r="H1658" s="2"/>
      <c r="I1658" s="2"/>
      <c r="J1658" s="2"/>
      <c r="K1658" s="2"/>
      <c r="L1658" s="2"/>
      <c r="M1658" s="27"/>
      <c r="N1658" s="26"/>
      <c r="O1658" s="2"/>
      <c r="P1658" s="24"/>
    </row>
    <row r="1659" spans="1:16" ht="9.75" customHeight="1">
      <c r="A1659" s="18"/>
      <c r="B1659" s="18" t="s">
        <v>104</v>
      </c>
      <c r="C1659" s="18"/>
      <c r="D1659" s="26"/>
      <c r="E1659" s="2"/>
      <c r="F1659" s="2"/>
      <c r="G1659" s="2"/>
      <c r="H1659" s="2"/>
      <c r="I1659" s="2"/>
      <c r="J1659" s="2"/>
      <c r="K1659" s="2"/>
      <c r="L1659" s="2"/>
      <c r="M1659" s="27"/>
      <c r="N1659" s="26"/>
      <c r="O1659" s="2"/>
      <c r="P1659" s="24"/>
    </row>
    <row r="1660" spans="1:16" ht="9.75" customHeight="1">
      <c r="A1660" s="18"/>
      <c r="B1660" s="18" t="s">
        <v>104</v>
      </c>
      <c r="C1660" s="18"/>
      <c r="D1660" s="26"/>
      <c r="E1660" s="2"/>
      <c r="F1660" s="2"/>
      <c r="G1660" s="2"/>
      <c r="H1660" s="2"/>
      <c r="I1660" s="2"/>
      <c r="J1660" s="2"/>
      <c r="K1660" s="2"/>
      <c r="L1660" s="2"/>
      <c r="M1660" s="27"/>
      <c r="N1660" s="26"/>
      <c r="O1660" s="2"/>
      <c r="P1660" s="24"/>
    </row>
    <row r="1661" spans="1:16" ht="9.75" customHeight="1">
      <c r="A1661" s="18"/>
      <c r="B1661" s="18" t="s">
        <v>34</v>
      </c>
      <c r="C1661" s="18"/>
      <c r="D1661" s="26"/>
      <c r="E1661" s="2"/>
      <c r="F1661" s="2"/>
      <c r="G1661" s="2"/>
      <c r="H1661" s="2"/>
      <c r="I1661" s="2"/>
      <c r="J1661" s="2"/>
      <c r="K1661" s="2"/>
      <c r="L1661" s="2"/>
      <c r="M1661" s="27"/>
      <c r="N1661" s="26"/>
      <c r="O1661" s="2"/>
      <c r="P1661" s="24"/>
    </row>
    <row r="1662" spans="1:16" ht="9.75" customHeight="1">
      <c r="A1662" s="18"/>
      <c r="B1662" s="18" t="s">
        <v>268</v>
      </c>
      <c r="C1662" s="18">
        <v>3</v>
      </c>
      <c r="D1662" s="26">
        <v>3</v>
      </c>
      <c r="E1662" s="2">
        <v>3</v>
      </c>
      <c r="F1662" s="2">
        <v>3</v>
      </c>
      <c r="G1662" s="2">
        <v>3</v>
      </c>
      <c r="H1662" s="2">
        <v>3</v>
      </c>
      <c r="I1662" s="116">
        <v>3</v>
      </c>
      <c r="J1662" s="116">
        <v>3</v>
      </c>
      <c r="K1662" s="116">
        <v>3</v>
      </c>
      <c r="L1662" s="116">
        <v>3</v>
      </c>
      <c r="M1662" s="147">
        <v>3</v>
      </c>
      <c r="N1662" s="26">
        <f>MIN(D1662:M1662)</f>
        <v>3</v>
      </c>
      <c r="O1662" s="2">
        <f>C1662-N1662</f>
        <v>0</v>
      </c>
      <c r="P1662" s="24">
        <f>O1662/C1662</f>
        <v>0</v>
      </c>
    </row>
    <row r="1663" spans="1:16" ht="9.75" customHeight="1">
      <c r="A1663" s="18"/>
      <c r="B1663" s="18" t="s">
        <v>36</v>
      </c>
      <c r="C1663" s="18"/>
      <c r="D1663" s="26"/>
      <c r="E1663" s="2"/>
      <c r="F1663" s="2"/>
      <c r="G1663" s="2"/>
      <c r="H1663" s="2"/>
      <c r="I1663" s="2"/>
      <c r="J1663" s="2"/>
      <c r="K1663" s="2"/>
      <c r="L1663" s="2"/>
      <c r="M1663" s="27"/>
      <c r="N1663" s="26"/>
      <c r="O1663" s="2"/>
      <c r="P1663" s="24"/>
    </row>
    <row r="1664" spans="1:16" ht="9.75" customHeight="1">
      <c r="A1664" s="18"/>
      <c r="B1664" s="18" t="s">
        <v>37</v>
      </c>
      <c r="C1664" s="18"/>
      <c r="D1664" s="26"/>
      <c r="E1664" s="2"/>
      <c r="F1664" s="2"/>
      <c r="G1664" s="2"/>
      <c r="H1664" s="2"/>
      <c r="I1664" s="2"/>
      <c r="J1664" s="2"/>
      <c r="K1664" s="2"/>
      <c r="L1664" s="2"/>
      <c r="M1664" s="27"/>
      <c r="N1664" s="26"/>
      <c r="O1664" s="2"/>
      <c r="P1664" s="24"/>
    </row>
    <row r="1665" spans="1:16" ht="9.75" customHeight="1">
      <c r="A1665" s="32"/>
      <c r="B1665" s="33" t="s">
        <v>38</v>
      </c>
      <c r="C1665" s="33">
        <f t="shared" ref="C1665:M1665" si="321">SUM(C1649:C1664)</f>
        <v>158</v>
      </c>
      <c r="D1665" s="70">
        <f t="shared" si="321"/>
        <v>157</v>
      </c>
      <c r="E1665" s="71">
        <f t="shared" si="321"/>
        <v>157</v>
      </c>
      <c r="F1665" s="71">
        <f t="shared" si="321"/>
        <v>157</v>
      </c>
      <c r="G1665" s="71">
        <f t="shared" si="321"/>
        <v>157</v>
      </c>
      <c r="H1665" s="71">
        <f t="shared" si="321"/>
        <v>157</v>
      </c>
      <c r="I1665" s="71">
        <f t="shared" si="321"/>
        <v>157</v>
      </c>
      <c r="J1665" s="71">
        <f t="shared" si="321"/>
        <v>157</v>
      </c>
      <c r="K1665" s="71">
        <f t="shared" si="321"/>
        <v>157</v>
      </c>
      <c r="L1665" s="71">
        <f t="shared" si="321"/>
        <v>157</v>
      </c>
      <c r="M1665" s="93">
        <f t="shared" si="321"/>
        <v>157</v>
      </c>
      <c r="N1665" s="70">
        <f>MIN(D1665:M1665)</f>
        <v>157</v>
      </c>
      <c r="O1665" s="71">
        <f>C1665-N1665</f>
        <v>1</v>
      </c>
      <c r="P1665" s="40">
        <f>O1665/C1665</f>
        <v>6.3291139240506328E-3</v>
      </c>
    </row>
    <row r="1666" spans="1:16" ht="9.75" customHeight="1">
      <c r="A1666" s="66" t="s">
        <v>273</v>
      </c>
      <c r="B1666" s="66" t="s">
        <v>23</v>
      </c>
      <c r="C1666" s="66"/>
      <c r="D1666" s="41"/>
      <c r="E1666" s="72"/>
      <c r="F1666" s="72"/>
      <c r="G1666" s="72"/>
      <c r="H1666" s="72"/>
      <c r="I1666" s="72"/>
      <c r="J1666" s="72"/>
      <c r="K1666" s="72"/>
      <c r="L1666" s="72"/>
      <c r="M1666" s="73"/>
      <c r="N1666" s="41"/>
      <c r="O1666" s="72"/>
      <c r="P1666" s="99"/>
    </row>
    <row r="1667" spans="1:16" ht="9.75" customHeight="1">
      <c r="A1667" s="18"/>
      <c r="B1667" s="18" t="s">
        <v>25</v>
      </c>
      <c r="C1667" s="18">
        <v>123</v>
      </c>
      <c r="D1667" s="26">
        <v>121</v>
      </c>
      <c r="E1667" s="2">
        <v>120</v>
      </c>
      <c r="F1667" s="2">
        <v>115</v>
      </c>
      <c r="G1667" s="2">
        <v>114</v>
      </c>
      <c r="H1667" s="2">
        <v>114</v>
      </c>
      <c r="I1667" s="2">
        <f>C1667-8</f>
        <v>115</v>
      </c>
      <c r="J1667" s="2">
        <f>C1667-7</f>
        <v>116</v>
      </c>
      <c r="K1667" s="2">
        <f>C1667-10</f>
        <v>113</v>
      </c>
      <c r="L1667" s="2">
        <f>C1667-5</f>
        <v>118</v>
      </c>
      <c r="M1667" s="2">
        <f>C1667-3</f>
        <v>120</v>
      </c>
      <c r="N1667" s="26">
        <f>MIN(D1667:M1667)</f>
        <v>113</v>
      </c>
      <c r="O1667" s="2">
        <f>C1667-N1667</f>
        <v>10</v>
      </c>
      <c r="P1667" s="24">
        <f>O1667/C1667</f>
        <v>8.1300813008130079E-2</v>
      </c>
    </row>
    <row r="1668" spans="1:16" ht="9.75" customHeight="1">
      <c r="A1668" s="18"/>
      <c r="B1668" s="18" t="s">
        <v>27</v>
      </c>
      <c r="C1668" s="18"/>
      <c r="D1668" s="26"/>
      <c r="E1668" s="2"/>
      <c r="F1668" s="2"/>
      <c r="G1668" s="2"/>
      <c r="H1668" s="2"/>
      <c r="I1668" s="2"/>
      <c r="J1668" s="2"/>
      <c r="K1668" s="2"/>
      <c r="L1668" s="2"/>
      <c r="M1668" s="27"/>
      <c r="N1668" s="26"/>
      <c r="O1668" s="2"/>
      <c r="P1668" s="24"/>
    </row>
    <row r="1669" spans="1:16" ht="9.75" customHeight="1">
      <c r="A1669" s="18"/>
      <c r="B1669" s="18" t="s">
        <v>99</v>
      </c>
      <c r="C1669" s="18"/>
      <c r="D1669" s="26"/>
      <c r="E1669" s="2"/>
      <c r="F1669" s="2"/>
      <c r="G1669" s="2"/>
      <c r="H1669" s="2"/>
      <c r="I1669" s="2"/>
      <c r="J1669" s="2"/>
      <c r="K1669" s="2"/>
      <c r="L1669" s="2"/>
      <c r="M1669" s="27"/>
      <c r="N1669" s="26"/>
      <c r="O1669" s="2"/>
      <c r="P1669" s="24"/>
    </row>
    <row r="1670" spans="1:16" ht="9.75" customHeight="1">
      <c r="A1670" s="18"/>
      <c r="B1670" s="18" t="s">
        <v>99</v>
      </c>
      <c r="C1670" s="18"/>
      <c r="D1670" s="26"/>
      <c r="E1670" s="2"/>
      <c r="F1670" s="2"/>
      <c r="G1670" s="2"/>
      <c r="H1670" s="2"/>
      <c r="I1670" s="2"/>
      <c r="J1670" s="2"/>
      <c r="K1670" s="2"/>
      <c r="L1670" s="2"/>
      <c r="M1670" s="27"/>
      <c r="N1670" s="26"/>
      <c r="O1670" s="2"/>
      <c r="P1670" s="24"/>
    </row>
    <row r="1671" spans="1:16" ht="9.75" customHeight="1">
      <c r="A1671" s="18"/>
      <c r="B1671" s="18" t="s">
        <v>32</v>
      </c>
      <c r="C1671" s="18"/>
      <c r="D1671" s="26"/>
      <c r="E1671" s="2"/>
      <c r="F1671" s="2"/>
      <c r="G1671" s="2"/>
      <c r="H1671" s="2"/>
      <c r="I1671" s="2"/>
      <c r="J1671" s="2"/>
      <c r="K1671" s="2"/>
      <c r="L1671" s="2"/>
      <c r="M1671" s="27"/>
      <c r="N1671" s="26"/>
      <c r="O1671" s="2"/>
      <c r="P1671" s="24"/>
    </row>
    <row r="1672" spans="1:16" ht="9.75" customHeight="1">
      <c r="A1672" s="18"/>
      <c r="B1672" s="18" t="s">
        <v>104</v>
      </c>
      <c r="C1672" s="18"/>
      <c r="D1672" s="26"/>
      <c r="E1672" s="2"/>
      <c r="F1672" s="2"/>
      <c r="G1672" s="2"/>
      <c r="H1672" s="2"/>
      <c r="I1672" s="2"/>
      <c r="J1672" s="2"/>
      <c r="K1672" s="2"/>
      <c r="L1672" s="2"/>
      <c r="M1672" s="27"/>
      <c r="N1672" s="26"/>
      <c r="O1672" s="2"/>
      <c r="P1672" s="24"/>
    </row>
    <row r="1673" spans="1:16" ht="9.75" customHeight="1">
      <c r="A1673" s="18"/>
      <c r="B1673" s="18" t="s">
        <v>104</v>
      </c>
      <c r="C1673" s="18"/>
      <c r="D1673" s="26"/>
      <c r="E1673" s="2"/>
      <c r="F1673" s="2"/>
      <c r="G1673" s="2"/>
      <c r="H1673" s="2"/>
      <c r="I1673" s="2"/>
      <c r="J1673" s="2"/>
      <c r="K1673" s="2"/>
      <c r="L1673" s="2"/>
      <c r="M1673" s="27"/>
      <c r="N1673" s="26"/>
      <c r="O1673" s="2"/>
      <c r="P1673" s="24"/>
    </row>
    <row r="1674" spans="1:16" ht="9.75" customHeight="1">
      <c r="A1674" s="18"/>
      <c r="B1674" s="18" t="s">
        <v>104</v>
      </c>
      <c r="C1674" s="18"/>
      <c r="D1674" s="26"/>
      <c r="E1674" s="2"/>
      <c r="F1674" s="2"/>
      <c r="G1674" s="2"/>
      <c r="H1674" s="2"/>
      <c r="I1674" s="2"/>
      <c r="J1674" s="2"/>
      <c r="K1674" s="2"/>
      <c r="L1674" s="2"/>
      <c r="M1674" s="27"/>
      <c r="N1674" s="26"/>
      <c r="O1674" s="2"/>
      <c r="P1674" s="24"/>
    </row>
    <row r="1675" spans="1:16" ht="9.75" customHeight="1">
      <c r="A1675" s="18"/>
      <c r="B1675" s="18" t="s">
        <v>104</v>
      </c>
      <c r="C1675" s="18"/>
      <c r="D1675" s="26"/>
      <c r="E1675" s="2"/>
      <c r="F1675" s="2"/>
      <c r="G1675" s="2"/>
      <c r="H1675" s="2"/>
      <c r="I1675" s="2"/>
      <c r="J1675" s="2"/>
      <c r="K1675" s="2"/>
      <c r="L1675" s="2"/>
      <c r="M1675" s="27"/>
      <c r="N1675" s="26"/>
      <c r="O1675" s="2"/>
      <c r="P1675" s="24"/>
    </row>
    <row r="1676" spans="1:16" ht="9.75" customHeight="1">
      <c r="A1676" s="18"/>
      <c r="B1676" s="18" t="s">
        <v>104</v>
      </c>
      <c r="C1676" s="18"/>
      <c r="D1676" s="26"/>
      <c r="E1676" s="2"/>
      <c r="F1676" s="2"/>
      <c r="G1676" s="2"/>
      <c r="H1676" s="2"/>
      <c r="I1676" s="2"/>
      <c r="J1676" s="2"/>
      <c r="K1676" s="2"/>
      <c r="L1676" s="2"/>
      <c r="M1676" s="27"/>
      <c r="N1676" s="26"/>
      <c r="O1676" s="2"/>
      <c r="P1676" s="24"/>
    </row>
    <row r="1677" spans="1:16" ht="9.75" customHeight="1">
      <c r="A1677" s="18"/>
      <c r="B1677" s="18" t="s">
        <v>104</v>
      </c>
      <c r="C1677" s="18"/>
      <c r="D1677" s="26"/>
      <c r="E1677" s="2"/>
      <c r="F1677" s="2"/>
      <c r="G1677" s="2"/>
      <c r="H1677" s="2"/>
      <c r="I1677" s="2"/>
      <c r="J1677" s="2"/>
      <c r="K1677" s="2"/>
      <c r="L1677" s="2"/>
      <c r="M1677" s="27"/>
      <c r="N1677" s="26"/>
      <c r="O1677" s="2"/>
      <c r="P1677" s="24"/>
    </row>
    <row r="1678" spans="1:16" ht="9.75" customHeight="1">
      <c r="A1678" s="18"/>
      <c r="B1678" s="18" t="s">
        <v>34</v>
      </c>
      <c r="C1678" s="18"/>
      <c r="D1678" s="26"/>
      <c r="E1678" s="2"/>
      <c r="F1678" s="2"/>
      <c r="G1678" s="2"/>
      <c r="H1678" s="2"/>
      <c r="I1678" s="2"/>
      <c r="J1678" s="2"/>
      <c r="K1678" s="2"/>
      <c r="L1678" s="2"/>
      <c r="M1678" s="27"/>
      <c r="N1678" s="26"/>
      <c r="O1678" s="2"/>
      <c r="P1678" s="24"/>
    </row>
    <row r="1679" spans="1:16" ht="9.75" customHeight="1">
      <c r="A1679" s="18"/>
      <c r="B1679" s="18" t="s">
        <v>35</v>
      </c>
      <c r="C1679" s="18"/>
      <c r="D1679" s="26"/>
      <c r="E1679" s="2"/>
      <c r="F1679" s="2"/>
      <c r="G1679" s="2"/>
      <c r="H1679" s="2"/>
      <c r="I1679" s="2"/>
      <c r="J1679" s="2"/>
      <c r="K1679" s="2"/>
      <c r="L1679" s="2"/>
      <c r="M1679" s="27"/>
      <c r="N1679" s="26"/>
      <c r="O1679" s="2"/>
      <c r="P1679" s="24"/>
    </row>
    <row r="1680" spans="1:16" ht="9.75" customHeight="1">
      <c r="A1680" s="18"/>
      <c r="B1680" s="18" t="s">
        <v>36</v>
      </c>
      <c r="C1680" s="18"/>
      <c r="D1680" s="26"/>
      <c r="E1680" s="2"/>
      <c r="F1680" s="2"/>
      <c r="G1680" s="2"/>
      <c r="H1680" s="2"/>
      <c r="I1680" s="2"/>
      <c r="J1680" s="2"/>
      <c r="K1680" s="2"/>
      <c r="L1680" s="2"/>
      <c r="M1680" s="27"/>
      <c r="N1680" s="26"/>
      <c r="O1680" s="2"/>
      <c r="P1680" s="24"/>
    </row>
    <row r="1681" spans="1:16" ht="9.75" customHeight="1">
      <c r="A1681" s="18"/>
      <c r="B1681" s="18" t="s">
        <v>37</v>
      </c>
      <c r="C1681" s="18"/>
      <c r="D1681" s="26"/>
      <c r="E1681" s="2"/>
      <c r="F1681" s="2"/>
      <c r="G1681" s="2"/>
      <c r="H1681" s="2"/>
      <c r="I1681" s="2"/>
      <c r="J1681" s="2"/>
      <c r="K1681" s="2"/>
      <c r="L1681" s="2"/>
      <c r="M1681" s="27"/>
      <c r="N1681" s="26"/>
      <c r="O1681" s="2"/>
      <c r="P1681" s="24"/>
    </row>
    <row r="1682" spans="1:16" ht="9.75" customHeight="1">
      <c r="A1682" s="32"/>
      <c r="B1682" s="33" t="s">
        <v>38</v>
      </c>
      <c r="C1682" s="33">
        <f t="shared" ref="C1682:M1682" si="322">SUM(C1666:C1681)</f>
        <v>123</v>
      </c>
      <c r="D1682" s="70">
        <f t="shared" si="322"/>
        <v>121</v>
      </c>
      <c r="E1682" s="71">
        <f t="shared" si="322"/>
        <v>120</v>
      </c>
      <c r="F1682" s="71">
        <f t="shared" si="322"/>
        <v>115</v>
      </c>
      <c r="G1682" s="71">
        <f t="shared" si="322"/>
        <v>114</v>
      </c>
      <c r="H1682" s="71">
        <f t="shared" si="322"/>
        <v>114</v>
      </c>
      <c r="I1682" s="71">
        <f t="shared" si="322"/>
        <v>115</v>
      </c>
      <c r="J1682" s="71">
        <f t="shared" si="322"/>
        <v>116</v>
      </c>
      <c r="K1682" s="71">
        <f t="shared" si="322"/>
        <v>113</v>
      </c>
      <c r="L1682" s="71">
        <f t="shared" si="322"/>
        <v>118</v>
      </c>
      <c r="M1682" s="93">
        <f t="shared" si="322"/>
        <v>120</v>
      </c>
      <c r="N1682" s="70">
        <f>MIN(D1682:M1682)</f>
        <v>113</v>
      </c>
      <c r="O1682" s="71">
        <f>C1682-N1682</f>
        <v>10</v>
      </c>
      <c r="P1682" s="40">
        <f>O1682/C1682</f>
        <v>8.1300813008130079E-2</v>
      </c>
    </row>
    <row r="1683" spans="1:16" ht="9.75" customHeight="1">
      <c r="A1683" s="66" t="s">
        <v>274</v>
      </c>
      <c r="B1683" s="66" t="s">
        <v>23</v>
      </c>
      <c r="C1683" s="66"/>
      <c r="D1683" s="41"/>
      <c r="E1683" s="72"/>
      <c r="F1683" s="72"/>
      <c r="G1683" s="72"/>
      <c r="H1683" s="72"/>
      <c r="I1683" s="72"/>
      <c r="J1683" s="72"/>
      <c r="K1683" s="72"/>
      <c r="L1683" s="72"/>
      <c r="M1683" s="73"/>
      <c r="N1683" s="41"/>
      <c r="O1683" s="72"/>
      <c r="P1683" s="99"/>
    </row>
    <row r="1684" spans="1:16" ht="9.75" customHeight="1">
      <c r="A1684" s="18"/>
      <c r="B1684" s="18" t="s">
        <v>25</v>
      </c>
      <c r="C1684" s="18"/>
      <c r="D1684" s="26"/>
      <c r="E1684" s="2"/>
      <c r="F1684" s="2"/>
      <c r="G1684" s="2"/>
      <c r="H1684" s="2"/>
      <c r="I1684" s="2"/>
      <c r="J1684" s="2"/>
      <c r="K1684" s="2"/>
      <c r="L1684" s="2"/>
      <c r="M1684" s="27"/>
      <c r="N1684" s="26"/>
      <c r="O1684" s="2"/>
      <c r="P1684" s="24"/>
    </row>
    <row r="1685" spans="1:16" ht="9.75" customHeight="1">
      <c r="A1685" s="18"/>
      <c r="B1685" s="18" t="s">
        <v>27</v>
      </c>
      <c r="C1685" s="18"/>
      <c r="D1685" s="26"/>
      <c r="E1685" s="2"/>
      <c r="F1685" s="2"/>
      <c r="G1685" s="2"/>
      <c r="H1685" s="2"/>
      <c r="I1685" s="2"/>
      <c r="J1685" s="2"/>
      <c r="K1685" s="2"/>
      <c r="L1685" s="2"/>
      <c r="M1685" s="27"/>
      <c r="N1685" s="26"/>
      <c r="O1685" s="2"/>
      <c r="P1685" s="24"/>
    </row>
    <row r="1686" spans="1:16" ht="9.75" customHeight="1">
      <c r="A1686" s="18"/>
      <c r="B1686" s="18" t="s">
        <v>99</v>
      </c>
      <c r="C1686" s="18"/>
      <c r="D1686" s="26"/>
      <c r="E1686" s="2"/>
      <c r="F1686" s="2"/>
      <c r="G1686" s="2"/>
      <c r="H1686" s="2"/>
      <c r="I1686" s="2"/>
      <c r="J1686" s="2"/>
      <c r="K1686" s="2"/>
      <c r="L1686" s="2"/>
      <c r="M1686" s="27"/>
      <c r="N1686" s="26"/>
      <c r="O1686" s="2"/>
      <c r="P1686" s="24"/>
    </row>
    <row r="1687" spans="1:16" ht="9.75" customHeight="1">
      <c r="A1687" s="18"/>
      <c r="B1687" s="18" t="s">
        <v>99</v>
      </c>
      <c r="C1687" s="18"/>
      <c r="D1687" s="26"/>
      <c r="E1687" s="2"/>
      <c r="F1687" s="2"/>
      <c r="G1687" s="2"/>
      <c r="H1687" s="2"/>
      <c r="I1687" s="2"/>
      <c r="J1687" s="2"/>
      <c r="K1687" s="2"/>
      <c r="L1687" s="2"/>
      <c r="M1687" s="27"/>
      <c r="N1687" s="26"/>
      <c r="O1687" s="2"/>
      <c r="P1687" s="24"/>
    </row>
    <row r="1688" spans="1:16" ht="9.75" customHeight="1">
      <c r="A1688" s="18"/>
      <c r="B1688" s="18" t="s">
        <v>32</v>
      </c>
      <c r="C1688" s="18"/>
      <c r="D1688" s="26"/>
      <c r="E1688" s="2"/>
      <c r="F1688" s="2"/>
      <c r="G1688" s="2"/>
      <c r="H1688" s="2"/>
      <c r="I1688" s="2"/>
      <c r="J1688" s="2"/>
      <c r="K1688" s="2"/>
      <c r="L1688" s="2"/>
      <c r="M1688" s="27"/>
      <c r="N1688" s="26"/>
      <c r="O1688" s="2"/>
      <c r="P1688" s="24"/>
    </row>
    <row r="1689" spans="1:16" ht="9.75" customHeight="1">
      <c r="A1689" s="18"/>
      <c r="B1689" s="18" t="s">
        <v>104</v>
      </c>
      <c r="C1689" s="18"/>
      <c r="D1689" s="26"/>
      <c r="E1689" s="2"/>
      <c r="F1689" s="2"/>
      <c r="G1689" s="2"/>
      <c r="H1689" s="2"/>
      <c r="I1689" s="2"/>
      <c r="J1689" s="2"/>
      <c r="K1689" s="2"/>
      <c r="L1689" s="2"/>
      <c r="M1689" s="27"/>
      <c r="N1689" s="26"/>
      <c r="O1689" s="2"/>
      <c r="P1689" s="24"/>
    </row>
    <row r="1690" spans="1:16" ht="9.75" customHeight="1">
      <c r="A1690" s="18"/>
      <c r="B1690" s="18" t="s">
        <v>104</v>
      </c>
      <c r="C1690" s="18"/>
      <c r="D1690" s="26"/>
      <c r="E1690" s="2"/>
      <c r="F1690" s="2"/>
      <c r="G1690" s="2"/>
      <c r="H1690" s="2"/>
      <c r="I1690" s="2"/>
      <c r="J1690" s="2"/>
      <c r="K1690" s="2"/>
      <c r="L1690" s="2"/>
      <c r="M1690" s="27"/>
      <c r="N1690" s="26"/>
      <c r="O1690" s="2"/>
      <c r="P1690" s="24"/>
    </row>
    <row r="1691" spans="1:16" ht="9.75" customHeight="1">
      <c r="A1691" s="18"/>
      <c r="B1691" s="18" t="s">
        <v>104</v>
      </c>
      <c r="C1691" s="18"/>
      <c r="D1691" s="26"/>
      <c r="E1691" s="2"/>
      <c r="F1691" s="2"/>
      <c r="G1691" s="2"/>
      <c r="H1691" s="2"/>
      <c r="I1691" s="2"/>
      <c r="J1691" s="2"/>
      <c r="K1691" s="2"/>
      <c r="L1691" s="2"/>
      <c r="M1691" s="27"/>
      <c r="N1691" s="26"/>
      <c r="O1691" s="2"/>
      <c r="P1691" s="24"/>
    </row>
    <row r="1692" spans="1:16" ht="9.75" customHeight="1">
      <c r="A1692" s="18"/>
      <c r="B1692" s="18" t="s">
        <v>104</v>
      </c>
      <c r="C1692" s="18"/>
      <c r="D1692" s="26"/>
      <c r="E1692" s="2"/>
      <c r="F1692" s="2"/>
      <c r="G1692" s="2"/>
      <c r="H1692" s="2"/>
      <c r="I1692" s="2"/>
      <c r="J1692" s="2"/>
      <c r="K1692" s="2"/>
      <c r="L1692" s="2"/>
      <c r="M1692" s="27"/>
      <c r="N1692" s="26"/>
      <c r="O1692" s="2"/>
      <c r="P1692" s="24"/>
    </row>
    <row r="1693" spans="1:16" ht="9.75" customHeight="1">
      <c r="A1693" s="18"/>
      <c r="B1693" s="18" t="s">
        <v>104</v>
      </c>
      <c r="C1693" s="18"/>
      <c r="D1693" s="26"/>
      <c r="E1693" s="2"/>
      <c r="F1693" s="2"/>
      <c r="G1693" s="2"/>
      <c r="H1693" s="2"/>
      <c r="I1693" s="2"/>
      <c r="J1693" s="2"/>
      <c r="K1693" s="2"/>
      <c r="L1693" s="2"/>
      <c r="M1693" s="27"/>
      <c r="N1693" s="26"/>
      <c r="O1693" s="2"/>
      <c r="P1693" s="24"/>
    </row>
    <row r="1694" spans="1:16" ht="9.75" customHeight="1">
      <c r="A1694" s="18"/>
      <c r="B1694" s="18" t="s">
        <v>104</v>
      </c>
      <c r="C1694" s="18"/>
      <c r="D1694" s="26"/>
      <c r="E1694" s="2"/>
      <c r="F1694" s="2"/>
      <c r="G1694" s="2"/>
      <c r="H1694" s="2"/>
      <c r="I1694" s="2"/>
      <c r="J1694" s="2"/>
      <c r="K1694" s="2"/>
      <c r="L1694" s="2"/>
      <c r="M1694" s="27"/>
      <c r="N1694" s="26"/>
      <c r="O1694" s="2"/>
      <c r="P1694" s="24"/>
    </row>
    <row r="1695" spans="1:16" ht="9.75" customHeight="1">
      <c r="A1695" s="18"/>
      <c r="B1695" s="18" t="s">
        <v>34</v>
      </c>
      <c r="C1695" s="18">
        <v>5</v>
      </c>
      <c r="D1695" s="26">
        <v>5</v>
      </c>
      <c r="E1695" s="2">
        <v>5</v>
      </c>
      <c r="F1695" s="2">
        <v>5</v>
      </c>
      <c r="G1695" s="2">
        <v>4</v>
      </c>
      <c r="H1695" s="2">
        <v>4</v>
      </c>
      <c r="I1695" s="116">
        <v>4</v>
      </c>
      <c r="J1695" s="116">
        <v>4</v>
      </c>
      <c r="K1695" s="116">
        <v>4</v>
      </c>
      <c r="L1695" s="116">
        <v>5</v>
      </c>
      <c r="M1695" s="147">
        <v>5</v>
      </c>
      <c r="N1695" s="26">
        <f>MIN(D1695:M1695)</f>
        <v>4</v>
      </c>
      <c r="O1695" s="2">
        <f>C1695-N1695</f>
        <v>1</v>
      </c>
      <c r="P1695" s="24">
        <f>O1695/C1695</f>
        <v>0.2</v>
      </c>
    </row>
    <row r="1696" spans="1:16" ht="9.75" customHeight="1">
      <c r="A1696" s="18"/>
      <c r="B1696" s="18" t="s">
        <v>35</v>
      </c>
      <c r="C1696" s="18"/>
      <c r="D1696" s="26"/>
      <c r="E1696" s="2"/>
      <c r="F1696" s="2"/>
      <c r="G1696" s="2"/>
      <c r="H1696" s="2"/>
      <c r="I1696" s="2"/>
      <c r="J1696" s="2"/>
      <c r="K1696" s="2"/>
      <c r="L1696" s="2"/>
      <c r="M1696" s="27"/>
      <c r="N1696" s="26"/>
      <c r="O1696" s="2"/>
      <c r="P1696" s="24"/>
    </row>
    <row r="1697" spans="1:16" ht="9.75" customHeight="1">
      <c r="A1697" s="18"/>
      <c r="B1697" s="18" t="s">
        <v>36</v>
      </c>
      <c r="C1697" s="18">
        <v>6</v>
      </c>
      <c r="D1697" s="26">
        <v>1</v>
      </c>
      <c r="E1697" s="2">
        <v>1</v>
      </c>
      <c r="F1697" s="2">
        <v>4</v>
      </c>
      <c r="G1697" s="2">
        <v>3</v>
      </c>
      <c r="H1697" s="2">
        <v>0</v>
      </c>
      <c r="I1697" s="116">
        <v>3</v>
      </c>
      <c r="J1697" s="116">
        <v>5</v>
      </c>
      <c r="K1697" s="116">
        <v>5</v>
      </c>
      <c r="L1697" s="116">
        <v>5</v>
      </c>
      <c r="M1697" s="147">
        <v>5</v>
      </c>
      <c r="N1697" s="26">
        <f>MIN(D1697:M1697)</f>
        <v>0</v>
      </c>
      <c r="O1697" s="2">
        <f>C1697-N1697</f>
        <v>6</v>
      </c>
      <c r="P1697" s="24">
        <f>O1697/C1697</f>
        <v>1</v>
      </c>
    </row>
    <row r="1698" spans="1:16" ht="9.75" customHeight="1">
      <c r="A1698" s="18"/>
      <c r="B1698" s="18" t="s">
        <v>37</v>
      </c>
      <c r="C1698" s="18"/>
      <c r="D1698" s="26"/>
      <c r="E1698" s="2"/>
      <c r="F1698" s="2"/>
      <c r="G1698" s="2"/>
      <c r="H1698" s="2"/>
      <c r="I1698" s="2"/>
      <c r="J1698" s="2"/>
      <c r="K1698" s="2"/>
      <c r="L1698" s="2"/>
      <c r="M1698" s="27"/>
      <c r="N1698" s="26"/>
      <c r="O1698" s="2"/>
      <c r="P1698" s="24"/>
    </row>
    <row r="1699" spans="1:16" ht="9.75" customHeight="1">
      <c r="A1699" s="32"/>
      <c r="B1699" s="33" t="s">
        <v>38</v>
      </c>
      <c r="C1699" s="33">
        <f t="shared" ref="C1699:M1699" si="323">SUM(C1683:C1698)</f>
        <v>11</v>
      </c>
      <c r="D1699" s="70">
        <f t="shared" si="323"/>
        <v>6</v>
      </c>
      <c r="E1699" s="71">
        <f t="shared" si="323"/>
        <v>6</v>
      </c>
      <c r="F1699" s="71">
        <f t="shared" si="323"/>
        <v>9</v>
      </c>
      <c r="G1699" s="71">
        <f t="shared" si="323"/>
        <v>7</v>
      </c>
      <c r="H1699" s="71">
        <f t="shared" si="323"/>
        <v>4</v>
      </c>
      <c r="I1699" s="71">
        <f t="shared" si="323"/>
        <v>7</v>
      </c>
      <c r="J1699" s="71">
        <f t="shared" si="323"/>
        <v>9</v>
      </c>
      <c r="K1699" s="71">
        <f t="shared" si="323"/>
        <v>9</v>
      </c>
      <c r="L1699" s="71">
        <f t="shared" si="323"/>
        <v>10</v>
      </c>
      <c r="M1699" s="93">
        <f t="shared" si="323"/>
        <v>10</v>
      </c>
      <c r="N1699" s="70">
        <f>MIN(D1699:M1699)</f>
        <v>4</v>
      </c>
      <c r="O1699" s="71">
        <f>C1699-N1699</f>
        <v>7</v>
      </c>
      <c r="P1699" s="40">
        <f>O1699/C1699</f>
        <v>0.63636363636363635</v>
      </c>
    </row>
    <row r="1700" spans="1:16" ht="9.75" customHeight="1">
      <c r="A1700" s="117" t="s">
        <v>275</v>
      </c>
      <c r="B1700" s="117" t="s">
        <v>23</v>
      </c>
      <c r="C1700" s="117"/>
      <c r="D1700" s="119"/>
      <c r="E1700" s="120"/>
      <c r="F1700" s="120"/>
      <c r="G1700" s="120"/>
      <c r="H1700" s="120"/>
      <c r="I1700" s="120"/>
      <c r="J1700" s="120"/>
      <c r="K1700" s="120"/>
      <c r="L1700" s="120"/>
      <c r="M1700" s="121"/>
      <c r="N1700" s="119"/>
      <c r="O1700" s="120"/>
      <c r="P1700" s="122"/>
    </row>
    <row r="1701" spans="1:16" ht="9.75" customHeight="1">
      <c r="A1701" s="179" t="s">
        <v>241</v>
      </c>
      <c r="B1701" s="118" t="s">
        <v>25</v>
      </c>
      <c r="C1701" s="118"/>
      <c r="D1701" s="123"/>
      <c r="E1701" s="124"/>
      <c r="F1701" s="124"/>
      <c r="G1701" s="124"/>
      <c r="H1701" s="124"/>
      <c r="I1701" s="124"/>
      <c r="J1701" s="124"/>
      <c r="K1701" s="124"/>
      <c r="L1701" s="124"/>
      <c r="M1701" s="125"/>
      <c r="N1701" s="123"/>
      <c r="O1701" s="124"/>
      <c r="P1701" s="126"/>
    </row>
    <row r="1702" spans="1:16" ht="9.75" customHeight="1">
      <c r="A1702" s="179" t="s">
        <v>276</v>
      </c>
      <c r="B1702" s="118" t="s">
        <v>27</v>
      </c>
      <c r="C1702" s="118"/>
      <c r="D1702" s="123"/>
      <c r="E1702" s="124"/>
      <c r="F1702" s="124"/>
      <c r="G1702" s="124"/>
      <c r="H1702" s="124"/>
      <c r="I1702" s="124"/>
      <c r="J1702" s="124"/>
      <c r="K1702" s="124"/>
      <c r="L1702" s="124"/>
      <c r="M1702" s="125"/>
      <c r="N1702" s="123"/>
      <c r="O1702" s="124"/>
      <c r="P1702" s="126"/>
    </row>
    <row r="1703" spans="1:16" ht="9.75" customHeight="1">
      <c r="A1703" s="179" t="s">
        <v>243</v>
      </c>
      <c r="B1703" s="118" t="s">
        <v>177</v>
      </c>
      <c r="C1703" s="118"/>
      <c r="D1703" s="123"/>
      <c r="E1703" s="124"/>
      <c r="F1703" s="124"/>
      <c r="G1703" s="124"/>
      <c r="H1703" s="124"/>
      <c r="I1703" s="124"/>
      <c r="J1703" s="124"/>
      <c r="K1703" s="124"/>
      <c r="L1703" s="124"/>
      <c r="M1703" s="125"/>
      <c r="N1703" s="123"/>
      <c r="O1703" s="124"/>
      <c r="P1703" s="126"/>
    </row>
    <row r="1704" spans="1:16" ht="9.75" customHeight="1">
      <c r="A1704" s="118"/>
      <c r="B1704" s="118" t="s">
        <v>99</v>
      </c>
      <c r="C1704" s="118"/>
      <c r="D1704" s="123"/>
      <c r="E1704" s="124"/>
      <c r="F1704" s="124"/>
      <c r="G1704" s="124"/>
      <c r="H1704" s="124"/>
      <c r="I1704" s="124"/>
      <c r="J1704" s="124"/>
      <c r="K1704" s="124"/>
      <c r="L1704" s="124"/>
      <c r="M1704" s="125"/>
      <c r="N1704" s="123"/>
      <c r="O1704" s="124"/>
      <c r="P1704" s="126"/>
    </row>
    <row r="1705" spans="1:16" ht="9.75" customHeight="1">
      <c r="A1705" s="118"/>
      <c r="B1705" s="118" t="s">
        <v>32</v>
      </c>
      <c r="C1705" s="118"/>
      <c r="D1705" s="123"/>
      <c r="E1705" s="124"/>
      <c r="F1705" s="124"/>
      <c r="G1705" s="124"/>
      <c r="H1705" s="124"/>
      <c r="I1705" s="124"/>
      <c r="J1705" s="124"/>
      <c r="K1705" s="124"/>
      <c r="L1705" s="124"/>
      <c r="M1705" s="125"/>
      <c r="N1705" s="123"/>
      <c r="O1705" s="124"/>
      <c r="P1705" s="126"/>
    </row>
    <row r="1706" spans="1:16" ht="9.75" customHeight="1">
      <c r="A1706" s="118"/>
      <c r="B1706" s="118" t="s">
        <v>104</v>
      </c>
      <c r="C1706" s="118"/>
      <c r="D1706" s="123"/>
      <c r="E1706" s="124"/>
      <c r="F1706" s="124"/>
      <c r="G1706" s="124"/>
      <c r="H1706" s="124"/>
      <c r="I1706" s="124"/>
      <c r="J1706" s="124"/>
      <c r="K1706" s="124"/>
      <c r="L1706" s="124"/>
      <c r="M1706" s="125"/>
      <c r="N1706" s="123"/>
      <c r="O1706" s="124"/>
      <c r="P1706" s="126"/>
    </row>
    <row r="1707" spans="1:16" ht="9.75" customHeight="1">
      <c r="A1707" s="118"/>
      <c r="B1707" s="118" t="s">
        <v>104</v>
      </c>
      <c r="C1707" s="118"/>
      <c r="D1707" s="123"/>
      <c r="E1707" s="124"/>
      <c r="F1707" s="124"/>
      <c r="G1707" s="124"/>
      <c r="H1707" s="124"/>
      <c r="I1707" s="124"/>
      <c r="J1707" s="124"/>
      <c r="K1707" s="124"/>
      <c r="L1707" s="124"/>
      <c r="M1707" s="125"/>
      <c r="N1707" s="123"/>
      <c r="O1707" s="124"/>
      <c r="P1707" s="126"/>
    </row>
    <row r="1708" spans="1:16" ht="9.75" customHeight="1">
      <c r="A1708" s="118"/>
      <c r="B1708" s="118" t="s">
        <v>104</v>
      </c>
      <c r="C1708" s="118"/>
      <c r="D1708" s="123"/>
      <c r="E1708" s="124"/>
      <c r="F1708" s="124"/>
      <c r="G1708" s="124"/>
      <c r="H1708" s="124"/>
      <c r="I1708" s="124"/>
      <c r="J1708" s="124"/>
      <c r="K1708" s="124"/>
      <c r="L1708" s="124"/>
      <c r="M1708" s="125"/>
      <c r="N1708" s="123"/>
      <c r="O1708" s="124"/>
      <c r="P1708" s="126"/>
    </row>
    <row r="1709" spans="1:16" ht="9.75" customHeight="1">
      <c r="A1709" s="118"/>
      <c r="B1709" s="118" t="s">
        <v>104</v>
      </c>
      <c r="C1709" s="118"/>
      <c r="D1709" s="123"/>
      <c r="E1709" s="124"/>
      <c r="F1709" s="124"/>
      <c r="G1709" s="124"/>
      <c r="H1709" s="124"/>
      <c r="I1709" s="124"/>
      <c r="J1709" s="124"/>
      <c r="K1709" s="124"/>
      <c r="L1709" s="124"/>
      <c r="M1709" s="125"/>
      <c r="N1709" s="123"/>
      <c r="O1709" s="124"/>
      <c r="P1709" s="126"/>
    </row>
    <row r="1710" spans="1:16" ht="9.75" customHeight="1">
      <c r="A1710" s="118"/>
      <c r="B1710" s="118" t="s">
        <v>104</v>
      </c>
      <c r="C1710" s="118"/>
      <c r="D1710" s="123"/>
      <c r="E1710" s="124"/>
      <c r="F1710" s="124"/>
      <c r="G1710" s="124"/>
      <c r="H1710" s="124"/>
      <c r="I1710" s="124"/>
      <c r="J1710" s="124"/>
      <c r="K1710" s="124"/>
      <c r="L1710" s="124"/>
      <c r="M1710" s="125"/>
      <c r="N1710" s="123"/>
      <c r="O1710" s="124"/>
      <c r="P1710" s="126"/>
    </row>
    <row r="1711" spans="1:16" ht="9.75" customHeight="1">
      <c r="A1711" s="118"/>
      <c r="B1711" s="118" t="s">
        <v>104</v>
      </c>
      <c r="C1711" s="118"/>
      <c r="D1711" s="123"/>
      <c r="E1711" s="124"/>
      <c r="F1711" s="124"/>
      <c r="G1711" s="124"/>
      <c r="H1711" s="124"/>
      <c r="I1711" s="124"/>
      <c r="J1711" s="124"/>
      <c r="K1711" s="124"/>
      <c r="L1711" s="124"/>
      <c r="M1711" s="125"/>
      <c r="N1711" s="123"/>
      <c r="O1711" s="124"/>
      <c r="P1711" s="126"/>
    </row>
    <row r="1712" spans="1:16" ht="9.75" customHeight="1">
      <c r="A1712" s="118"/>
      <c r="B1712" s="118" t="s">
        <v>34</v>
      </c>
      <c r="C1712" s="118"/>
      <c r="D1712" s="123"/>
      <c r="E1712" s="124"/>
      <c r="F1712" s="124"/>
      <c r="G1712" s="124"/>
      <c r="H1712" s="124"/>
      <c r="I1712" s="124"/>
      <c r="J1712" s="124"/>
      <c r="K1712" s="124"/>
      <c r="L1712" s="124"/>
      <c r="M1712" s="125"/>
      <c r="N1712" s="123"/>
      <c r="O1712" s="124"/>
      <c r="P1712" s="126"/>
    </row>
    <row r="1713" spans="1:16" ht="9.75" customHeight="1">
      <c r="A1713" s="118"/>
      <c r="B1713" s="118" t="s">
        <v>35</v>
      </c>
      <c r="C1713" s="118"/>
      <c r="D1713" s="123"/>
      <c r="E1713" s="124"/>
      <c r="F1713" s="124"/>
      <c r="G1713" s="124"/>
      <c r="H1713" s="124"/>
      <c r="I1713" s="124"/>
      <c r="J1713" s="124"/>
      <c r="K1713" s="124"/>
      <c r="L1713" s="124"/>
      <c r="M1713" s="125"/>
      <c r="N1713" s="123"/>
      <c r="O1713" s="124"/>
      <c r="P1713" s="126"/>
    </row>
    <row r="1714" spans="1:16" ht="9.75" customHeight="1">
      <c r="A1714" s="118"/>
      <c r="B1714" s="118" t="s">
        <v>36</v>
      </c>
      <c r="C1714" s="118"/>
      <c r="D1714" s="123"/>
      <c r="E1714" s="124"/>
      <c r="F1714" s="124"/>
      <c r="G1714" s="124"/>
      <c r="H1714" s="124"/>
      <c r="I1714" s="124"/>
      <c r="J1714" s="124"/>
      <c r="K1714" s="124"/>
      <c r="L1714" s="124"/>
      <c r="M1714" s="125"/>
      <c r="N1714" s="123"/>
      <c r="O1714" s="124"/>
      <c r="P1714" s="126"/>
    </row>
    <row r="1715" spans="1:16" ht="9.75" customHeight="1">
      <c r="A1715" s="118"/>
      <c r="B1715" s="118" t="s">
        <v>37</v>
      </c>
      <c r="C1715" s="118"/>
      <c r="D1715" s="123"/>
      <c r="E1715" s="124"/>
      <c r="F1715" s="124"/>
      <c r="G1715" s="124"/>
      <c r="H1715" s="124"/>
      <c r="I1715" s="124"/>
      <c r="J1715" s="124"/>
      <c r="K1715" s="124"/>
      <c r="L1715" s="124"/>
      <c r="M1715" s="125"/>
      <c r="N1715" s="123"/>
      <c r="O1715" s="124"/>
      <c r="P1715" s="126"/>
    </row>
    <row r="1716" spans="1:16" ht="9.75" customHeight="1">
      <c r="A1716" s="32"/>
      <c r="B1716" s="33" t="s">
        <v>38</v>
      </c>
      <c r="C1716" s="33"/>
      <c r="D1716" s="70"/>
      <c r="E1716" s="71"/>
      <c r="F1716" s="71"/>
      <c r="G1716" s="71"/>
      <c r="H1716" s="71"/>
      <c r="I1716" s="71"/>
      <c r="J1716" s="71"/>
      <c r="K1716" s="71"/>
      <c r="L1716" s="71"/>
      <c r="M1716" s="93"/>
      <c r="N1716" s="70"/>
      <c r="O1716" s="71"/>
      <c r="P1716" s="40"/>
    </row>
    <row r="1717" spans="1:16" ht="9.75" customHeight="1">
      <c r="A1717" s="66" t="s">
        <v>277</v>
      </c>
      <c r="B1717" s="66" t="s">
        <v>278</v>
      </c>
      <c r="C1717" s="66">
        <v>8</v>
      </c>
      <c r="D1717" s="41">
        <v>7</v>
      </c>
      <c r="E1717" s="72">
        <v>7</v>
      </c>
      <c r="F1717" s="72">
        <v>6</v>
      </c>
      <c r="G1717" s="72">
        <v>3</v>
      </c>
      <c r="H1717" s="72">
        <v>3</v>
      </c>
      <c r="I1717" s="159">
        <v>3</v>
      </c>
      <c r="J1717" s="159">
        <v>3</v>
      </c>
      <c r="K1717" s="159">
        <v>3</v>
      </c>
      <c r="L1717" s="159">
        <v>5</v>
      </c>
      <c r="M1717" s="175">
        <v>4</v>
      </c>
      <c r="N1717" s="41">
        <f>MIN(D1717:M1717)</f>
        <v>3</v>
      </c>
      <c r="O1717" s="72">
        <f>C1717-N1717</f>
        <v>5</v>
      </c>
      <c r="P1717" s="99">
        <f>O1717/C1717</f>
        <v>0.625</v>
      </c>
    </row>
    <row r="1718" spans="1:16" ht="9.75" customHeight="1">
      <c r="A1718" s="18"/>
      <c r="B1718" s="18" t="s">
        <v>279</v>
      </c>
      <c r="C1718" s="18">
        <v>2</v>
      </c>
      <c r="D1718" s="26">
        <v>2</v>
      </c>
      <c r="E1718" s="2">
        <v>1</v>
      </c>
      <c r="F1718" s="2">
        <v>1</v>
      </c>
      <c r="G1718" s="2">
        <v>1</v>
      </c>
      <c r="H1718" s="2">
        <v>2</v>
      </c>
      <c r="I1718" s="116">
        <v>1</v>
      </c>
      <c r="J1718" s="116">
        <v>1</v>
      </c>
      <c r="K1718" s="116">
        <v>1</v>
      </c>
      <c r="L1718" s="116">
        <v>1</v>
      </c>
      <c r="M1718" s="147">
        <v>1</v>
      </c>
      <c r="N1718" s="26"/>
      <c r="O1718" s="2"/>
      <c r="P1718" s="24"/>
    </row>
    <row r="1719" spans="1:16" ht="9.75" customHeight="1">
      <c r="A1719" s="18"/>
      <c r="B1719" s="18" t="s">
        <v>27</v>
      </c>
      <c r="C1719" s="18"/>
      <c r="D1719" s="26"/>
      <c r="E1719" s="2"/>
      <c r="F1719" s="2"/>
      <c r="G1719" s="2"/>
      <c r="H1719" s="2"/>
      <c r="I1719" s="2"/>
      <c r="J1719" s="2"/>
      <c r="K1719" s="2"/>
      <c r="L1719" s="2"/>
      <c r="M1719" s="27"/>
      <c r="N1719" s="26"/>
      <c r="O1719" s="2"/>
      <c r="P1719" s="24"/>
    </row>
    <row r="1720" spans="1:16" ht="9.75" customHeight="1">
      <c r="A1720" s="18"/>
      <c r="B1720" s="18" t="s">
        <v>222</v>
      </c>
      <c r="C1720" s="18">
        <v>10</v>
      </c>
      <c r="D1720" s="26">
        <v>3</v>
      </c>
      <c r="E1720" s="2">
        <v>2</v>
      </c>
      <c r="F1720" s="2">
        <v>2</v>
      </c>
      <c r="G1720" s="2">
        <v>1</v>
      </c>
      <c r="H1720" s="2">
        <v>4</v>
      </c>
      <c r="I1720" s="116">
        <v>5</v>
      </c>
      <c r="J1720" s="116">
        <v>3</v>
      </c>
      <c r="K1720" s="116">
        <v>4</v>
      </c>
      <c r="L1720" s="116">
        <v>5</v>
      </c>
      <c r="M1720" s="147">
        <v>3</v>
      </c>
      <c r="N1720" s="26">
        <f>MIN(D1720:M1720)</f>
        <v>1</v>
      </c>
      <c r="O1720" s="2">
        <f>C1720-N1720</f>
        <v>9</v>
      </c>
      <c r="P1720" s="24">
        <f>O1720/C1720</f>
        <v>0.9</v>
      </c>
    </row>
    <row r="1721" spans="1:16" ht="9.75" customHeight="1">
      <c r="A1721" s="18"/>
      <c r="B1721" s="18" t="s">
        <v>99</v>
      </c>
      <c r="C1721" s="18"/>
      <c r="D1721" s="26"/>
      <c r="E1721" s="2"/>
      <c r="F1721" s="2"/>
      <c r="G1721" s="2"/>
      <c r="H1721" s="2"/>
      <c r="I1721" s="2"/>
      <c r="J1721" s="2"/>
      <c r="K1721" s="2"/>
      <c r="L1721" s="2"/>
      <c r="M1721" s="27"/>
      <c r="N1721" s="26"/>
      <c r="O1721" s="2"/>
      <c r="P1721" s="24"/>
    </row>
    <row r="1722" spans="1:16" ht="9.75" customHeight="1">
      <c r="A1722" s="18"/>
      <c r="B1722" s="18" t="s">
        <v>32</v>
      </c>
      <c r="C1722" s="26">
        <v>23</v>
      </c>
      <c r="D1722" s="26">
        <v>20</v>
      </c>
      <c r="E1722" s="2">
        <v>19</v>
      </c>
      <c r="F1722" s="2">
        <v>19</v>
      </c>
      <c r="G1722" s="2">
        <v>17</v>
      </c>
      <c r="H1722" s="2">
        <v>17</v>
      </c>
      <c r="I1722" s="2">
        <f>23-8</f>
        <v>15</v>
      </c>
      <c r="J1722" s="116">
        <v>15</v>
      </c>
      <c r="K1722" s="116">
        <v>15</v>
      </c>
      <c r="L1722" s="116">
        <v>13</v>
      </c>
      <c r="M1722" s="147">
        <v>16</v>
      </c>
      <c r="N1722" s="2">
        <f>MIN(D1722:M1722)</f>
        <v>13</v>
      </c>
      <c r="O1722" s="2">
        <f>C1722-N1722</f>
        <v>10</v>
      </c>
      <c r="P1722" s="24">
        <f>O1722/C1722</f>
        <v>0.43478260869565216</v>
      </c>
    </row>
    <row r="1723" spans="1:16" ht="9.75" customHeight="1">
      <c r="A1723" s="18"/>
      <c r="B1723" s="18" t="s">
        <v>104</v>
      </c>
      <c r="C1723" s="18"/>
      <c r="D1723" s="26"/>
      <c r="E1723" s="2"/>
      <c r="F1723" s="2"/>
      <c r="G1723" s="2"/>
      <c r="H1723" s="2"/>
      <c r="I1723" s="2"/>
      <c r="J1723" s="2"/>
      <c r="K1723" s="2"/>
      <c r="L1723" s="2"/>
      <c r="M1723" s="27"/>
      <c r="N1723" s="26"/>
      <c r="O1723" s="2"/>
      <c r="P1723" s="24"/>
    </row>
    <row r="1724" spans="1:16" ht="9.75" customHeight="1">
      <c r="A1724" s="18"/>
      <c r="B1724" s="18" t="s">
        <v>104</v>
      </c>
      <c r="C1724" s="18"/>
      <c r="D1724" s="26"/>
      <c r="E1724" s="2"/>
      <c r="F1724" s="2"/>
      <c r="G1724" s="2"/>
      <c r="H1724" s="2"/>
      <c r="I1724" s="2"/>
      <c r="J1724" s="2"/>
      <c r="K1724" s="2"/>
      <c r="L1724" s="2"/>
      <c r="M1724" s="27"/>
      <c r="N1724" s="26"/>
      <c r="O1724" s="2"/>
      <c r="P1724" s="24"/>
    </row>
    <row r="1725" spans="1:16" ht="9.75" customHeight="1">
      <c r="A1725" s="18"/>
      <c r="B1725" s="18" t="s">
        <v>104</v>
      </c>
      <c r="C1725" s="18"/>
      <c r="D1725" s="26"/>
      <c r="E1725" s="2"/>
      <c r="F1725" s="2"/>
      <c r="G1725" s="2"/>
      <c r="H1725" s="2"/>
      <c r="I1725" s="2"/>
      <c r="J1725" s="2"/>
      <c r="K1725" s="2"/>
      <c r="L1725" s="2"/>
      <c r="M1725" s="27"/>
      <c r="N1725" s="26"/>
      <c r="O1725" s="2"/>
      <c r="P1725" s="24"/>
    </row>
    <row r="1726" spans="1:16" ht="9.75" customHeight="1">
      <c r="A1726" s="18"/>
      <c r="B1726" s="18" t="s">
        <v>104</v>
      </c>
      <c r="C1726" s="18"/>
      <c r="D1726" s="26"/>
      <c r="E1726" s="2"/>
      <c r="F1726" s="2"/>
      <c r="G1726" s="2"/>
      <c r="H1726" s="2"/>
      <c r="I1726" s="2"/>
      <c r="J1726" s="2"/>
      <c r="K1726" s="2"/>
      <c r="L1726" s="2"/>
      <c r="M1726" s="27"/>
      <c r="N1726" s="26"/>
      <c r="O1726" s="2"/>
      <c r="P1726" s="24"/>
    </row>
    <row r="1727" spans="1:16" ht="9.75" customHeight="1">
      <c r="A1727" s="18"/>
      <c r="B1727" s="18" t="s">
        <v>104</v>
      </c>
      <c r="C1727" s="18"/>
      <c r="D1727" s="26"/>
      <c r="E1727" s="2"/>
      <c r="F1727" s="2"/>
      <c r="G1727" s="2"/>
      <c r="H1727" s="2"/>
      <c r="I1727" s="2"/>
      <c r="J1727" s="2"/>
      <c r="K1727" s="2"/>
      <c r="L1727" s="2"/>
      <c r="M1727" s="27"/>
      <c r="N1727" s="26"/>
      <c r="O1727" s="2"/>
      <c r="P1727" s="24"/>
    </row>
    <row r="1728" spans="1:16" ht="9.75" customHeight="1">
      <c r="A1728" s="18"/>
      <c r="B1728" s="18" t="s">
        <v>104</v>
      </c>
      <c r="C1728" s="18"/>
      <c r="D1728" s="26"/>
      <c r="E1728" s="2"/>
      <c r="F1728" s="2"/>
      <c r="G1728" s="2"/>
      <c r="H1728" s="2"/>
      <c r="I1728" s="2"/>
      <c r="J1728" s="2"/>
      <c r="K1728" s="2"/>
      <c r="L1728" s="2"/>
      <c r="M1728" s="27"/>
      <c r="N1728" s="26"/>
      <c r="O1728" s="2"/>
      <c r="P1728" s="24"/>
    </row>
    <row r="1729" spans="1:16" ht="9.75" customHeight="1">
      <c r="A1729" s="18"/>
      <c r="B1729" s="18" t="s">
        <v>34</v>
      </c>
      <c r="C1729" s="18">
        <v>6</v>
      </c>
      <c r="D1729" s="26">
        <v>3</v>
      </c>
      <c r="E1729" s="2">
        <v>3</v>
      </c>
      <c r="F1729" s="2">
        <v>3</v>
      </c>
      <c r="G1729" s="2">
        <v>3</v>
      </c>
      <c r="H1729" s="2">
        <v>3</v>
      </c>
      <c r="I1729" s="116">
        <v>5</v>
      </c>
      <c r="J1729" s="116">
        <v>5</v>
      </c>
      <c r="K1729" s="116">
        <v>5</v>
      </c>
      <c r="L1729" s="116">
        <v>3</v>
      </c>
      <c r="M1729" s="147">
        <v>3</v>
      </c>
      <c r="N1729" s="26">
        <f>MIN(D1729:M1729)</f>
        <v>3</v>
      </c>
      <c r="O1729" s="2">
        <f>C1729-N1729</f>
        <v>3</v>
      </c>
      <c r="P1729" s="24">
        <f>O1729/C1729</f>
        <v>0.5</v>
      </c>
    </row>
    <row r="1730" spans="1:16" ht="9.75" customHeight="1">
      <c r="A1730" s="18"/>
      <c r="B1730" s="18" t="s">
        <v>35</v>
      </c>
      <c r="C1730" s="18"/>
      <c r="D1730" s="26"/>
      <c r="E1730" s="2"/>
      <c r="F1730" s="2"/>
      <c r="G1730" s="2"/>
      <c r="H1730" s="2"/>
      <c r="I1730" s="2"/>
      <c r="J1730" s="2"/>
      <c r="K1730" s="2"/>
      <c r="L1730" s="2"/>
      <c r="M1730" s="27"/>
      <c r="N1730" s="26"/>
      <c r="O1730" s="2"/>
      <c r="P1730" s="24"/>
    </row>
    <row r="1731" spans="1:16" ht="9.75" customHeight="1">
      <c r="A1731" s="18"/>
      <c r="B1731" s="18" t="s">
        <v>36</v>
      </c>
      <c r="C1731" s="18"/>
      <c r="D1731" s="26"/>
      <c r="E1731" s="2"/>
      <c r="F1731" s="2"/>
      <c r="G1731" s="2"/>
      <c r="H1731" s="2"/>
      <c r="I1731" s="2"/>
      <c r="J1731" s="2"/>
      <c r="K1731" s="2"/>
      <c r="L1731" s="2"/>
      <c r="M1731" s="27"/>
      <c r="N1731" s="26"/>
      <c r="O1731" s="2"/>
      <c r="P1731" s="24"/>
    </row>
    <row r="1732" spans="1:16" ht="9.75" customHeight="1">
      <c r="A1732" s="18"/>
      <c r="B1732" s="18" t="s">
        <v>37</v>
      </c>
      <c r="C1732" s="18"/>
      <c r="D1732" s="26"/>
      <c r="E1732" s="2"/>
      <c r="F1732" s="2"/>
      <c r="G1732" s="2"/>
      <c r="H1732" s="2"/>
      <c r="I1732" s="2"/>
      <c r="J1732" s="2"/>
      <c r="K1732" s="2"/>
      <c r="L1732" s="2"/>
      <c r="M1732" s="27"/>
      <c r="N1732" s="26"/>
      <c r="O1732" s="2"/>
      <c r="P1732" s="24"/>
    </row>
    <row r="1733" spans="1:16" ht="9.75" customHeight="1">
      <c r="A1733" s="32"/>
      <c r="B1733" s="33" t="s">
        <v>38</v>
      </c>
      <c r="C1733" s="33">
        <f t="shared" ref="C1733:M1733" si="324">SUM(C1717:C1732)</f>
        <v>49</v>
      </c>
      <c r="D1733" s="70">
        <f t="shared" si="324"/>
        <v>35</v>
      </c>
      <c r="E1733" s="71">
        <f t="shared" si="324"/>
        <v>32</v>
      </c>
      <c r="F1733" s="71">
        <f t="shared" si="324"/>
        <v>31</v>
      </c>
      <c r="G1733" s="71">
        <f t="shared" si="324"/>
        <v>25</v>
      </c>
      <c r="H1733" s="71">
        <f t="shared" si="324"/>
        <v>29</v>
      </c>
      <c r="I1733" s="71">
        <f t="shared" si="324"/>
        <v>29</v>
      </c>
      <c r="J1733" s="71">
        <f t="shared" si="324"/>
        <v>27</v>
      </c>
      <c r="K1733" s="71">
        <f t="shared" si="324"/>
        <v>28</v>
      </c>
      <c r="L1733" s="71">
        <f t="shared" si="324"/>
        <v>27</v>
      </c>
      <c r="M1733" s="93">
        <f t="shared" si="324"/>
        <v>27</v>
      </c>
      <c r="N1733" s="70">
        <f>MIN(D1733:M1733)</f>
        <v>25</v>
      </c>
      <c r="O1733" s="71">
        <f>C1733-N1733</f>
        <v>24</v>
      </c>
      <c r="P1733" s="40">
        <f>O1733/C1733</f>
        <v>0.48979591836734693</v>
      </c>
    </row>
    <row r="1734" spans="1:16" ht="9.75" customHeight="1">
      <c r="A1734" s="66" t="s">
        <v>280</v>
      </c>
      <c r="B1734" s="66" t="s">
        <v>23</v>
      </c>
      <c r="C1734" s="66"/>
      <c r="D1734" s="41"/>
      <c r="E1734" s="72"/>
      <c r="F1734" s="72"/>
      <c r="G1734" s="72"/>
      <c r="H1734" s="72"/>
      <c r="I1734" s="72"/>
      <c r="J1734" s="72"/>
      <c r="K1734" s="72"/>
      <c r="L1734" s="72"/>
      <c r="M1734" s="73"/>
      <c r="N1734" s="41"/>
      <c r="O1734" s="72"/>
      <c r="P1734" s="99"/>
    </row>
    <row r="1735" spans="1:16" ht="9.75" customHeight="1">
      <c r="A1735" s="18"/>
      <c r="B1735" s="18" t="s">
        <v>25</v>
      </c>
      <c r="C1735" s="18"/>
      <c r="D1735" s="26"/>
      <c r="E1735" s="2"/>
      <c r="F1735" s="2"/>
      <c r="G1735" s="2"/>
      <c r="H1735" s="2"/>
      <c r="I1735" s="2"/>
      <c r="J1735" s="2"/>
      <c r="K1735" s="2"/>
      <c r="L1735" s="2"/>
      <c r="M1735" s="27"/>
      <c r="N1735" s="26"/>
      <c r="O1735" s="2"/>
      <c r="P1735" s="24"/>
    </row>
    <row r="1736" spans="1:16" ht="9.75" customHeight="1">
      <c r="A1736" s="18"/>
      <c r="B1736" s="18" t="s">
        <v>27</v>
      </c>
      <c r="C1736" s="18">
        <v>28</v>
      </c>
      <c r="D1736" s="180">
        <v>9</v>
      </c>
      <c r="E1736" s="2">
        <v>6</v>
      </c>
      <c r="F1736" s="2">
        <v>7</v>
      </c>
      <c r="G1736" s="2">
        <v>5</v>
      </c>
      <c r="H1736" s="2">
        <v>4</v>
      </c>
      <c r="I1736" s="116">
        <v>5</v>
      </c>
      <c r="J1736" s="116">
        <v>6</v>
      </c>
      <c r="K1736" s="116">
        <v>7</v>
      </c>
      <c r="L1736" s="116">
        <v>7</v>
      </c>
      <c r="M1736" s="147">
        <v>10</v>
      </c>
      <c r="N1736" s="26">
        <f t="shared" ref="N1736:N1737" si="325">MIN(D1736:M1736)</f>
        <v>4</v>
      </c>
      <c r="O1736" s="2">
        <f t="shared" ref="O1736:O1737" si="326">C1736-N1736</f>
        <v>24</v>
      </c>
      <c r="P1736" s="24">
        <f t="shared" ref="P1736:P1737" si="327">O1736/C1736</f>
        <v>0.8571428571428571</v>
      </c>
    </row>
    <row r="1737" spans="1:16" ht="9.75" customHeight="1">
      <c r="A1737" s="18"/>
      <c r="B1737" s="18" t="s">
        <v>177</v>
      </c>
      <c r="C1737" s="18">
        <v>6</v>
      </c>
      <c r="D1737" s="178">
        <v>0</v>
      </c>
      <c r="E1737" s="2">
        <v>0</v>
      </c>
      <c r="F1737" s="2">
        <v>5</v>
      </c>
      <c r="G1737" s="2">
        <v>0</v>
      </c>
      <c r="H1737" s="2">
        <v>1</v>
      </c>
      <c r="I1737" s="116">
        <v>2</v>
      </c>
      <c r="J1737" s="116">
        <v>2</v>
      </c>
      <c r="K1737" s="116">
        <v>2</v>
      </c>
      <c r="L1737" s="116">
        <v>3</v>
      </c>
      <c r="M1737" s="147">
        <v>5</v>
      </c>
      <c r="N1737" s="26">
        <f t="shared" si="325"/>
        <v>0</v>
      </c>
      <c r="O1737" s="2">
        <f t="shared" si="326"/>
        <v>6</v>
      </c>
      <c r="P1737" s="24">
        <f t="shared" si="327"/>
        <v>1</v>
      </c>
    </row>
    <row r="1738" spans="1:16" ht="9.75" customHeight="1">
      <c r="A1738" s="18"/>
      <c r="B1738" s="18" t="s">
        <v>99</v>
      </c>
      <c r="C1738" s="18"/>
      <c r="D1738" s="178"/>
      <c r="E1738" s="2"/>
      <c r="F1738" s="2"/>
      <c r="G1738" s="2"/>
      <c r="H1738" s="2"/>
      <c r="I1738" s="2"/>
      <c r="J1738" s="2"/>
      <c r="K1738" s="2"/>
      <c r="L1738" s="2"/>
      <c r="M1738" s="27"/>
      <c r="N1738" s="26"/>
      <c r="O1738" s="2"/>
      <c r="P1738" s="24"/>
    </row>
    <row r="1739" spans="1:16" ht="9.75" customHeight="1">
      <c r="A1739" s="18"/>
      <c r="B1739" s="18" t="s">
        <v>32</v>
      </c>
      <c r="C1739" s="18">
        <v>12</v>
      </c>
      <c r="D1739" s="178">
        <v>8</v>
      </c>
      <c r="E1739" s="2">
        <v>9</v>
      </c>
      <c r="F1739" s="2">
        <v>8</v>
      </c>
      <c r="G1739" s="2">
        <v>8</v>
      </c>
      <c r="H1739" s="2">
        <v>9</v>
      </c>
      <c r="I1739" s="116">
        <v>7</v>
      </c>
      <c r="J1739" s="116">
        <v>7</v>
      </c>
      <c r="K1739" s="116">
        <v>7</v>
      </c>
      <c r="L1739" s="116">
        <v>7</v>
      </c>
      <c r="M1739" s="147">
        <v>7</v>
      </c>
      <c r="N1739" s="26">
        <f>MIN(D1739:M1739)</f>
        <v>7</v>
      </c>
      <c r="O1739" s="2">
        <f>C1739-N1739</f>
        <v>5</v>
      </c>
      <c r="P1739" s="24">
        <f>O1739/C1739</f>
        <v>0.41666666666666669</v>
      </c>
    </row>
    <row r="1740" spans="1:16" ht="9.75" customHeight="1">
      <c r="A1740" s="18"/>
      <c r="B1740" s="18" t="s">
        <v>104</v>
      </c>
      <c r="C1740" s="18"/>
      <c r="D1740" s="178"/>
      <c r="E1740" s="2"/>
      <c r="F1740" s="2"/>
      <c r="G1740" s="2"/>
      <c r="H1740" s="2"/>
      <c r="I1740" s="2"/>
      <c r="J1740" s="2"/>
      <c r="K1740" s="2"/>
      <c r="L1740" s="2"/>
      <c r="M1740" s="27"/>
      <c r="N1740" s="26"/>
      <c r="O1740" s="2"/>
      <c r="P1740" s="24"/>
    </row>
    <row r="1741" spans="1:16" ht="9.75" customHeight="1">
      <c r="A1741" s="18"/>
      <c r="B1741" s="18" t="s">
        <v>104</v>
      </c>
      <c r="C1741" s="18"/>
      <c r="D1741" s="178"/>
      <c r="E1741" s="2"/>
      <c r="F1741" s="2"/>
      <c r="G1741" s="2"/>
      <c r="H1741" s="2"/>
      <c r="I1741" s="2"/>
      <c r="J1741" s="2"/>
      <c r="K1741" s="2"/>
      <c r="L1741" s="2"/>
      <c r="M1741" s="27"/>
      <c r="N1741" s="26"/>
      <c r="O1741" s="2"/>
      <c r="P1741" s="24"/>
    </row>
    <row r="1742" spans="1:16" ht="9.75" customHeight="1">
      <c r="A1742" s="18"/>
      <c r="B1742" s="18" t="s">
        <v>104</v>
      </c>
      <c r="C1742" s="18"/>
      <c r="D1742" s="178"/>
      <c r="E1742" s="2"/>
      <c r="F1742" s="2"/>
      <c r="G1742" s="2"/>
      <c r="H1742" s="2"/>
      <c r="I1742" s="2"/>
      <c r="J1742" s="2"/>
      <c r="K1742" s="2"/>
      <c r="L1742" s="2"/>
      <c r="M1742" s="27"/>
      <c r="N1742" s="26"/>
      <c r="O1742" s="2"/>
      <c r="P1742" s="24"/>
    </row>
    <row r="1743" spans="1:16" ht="9.75" customHeight="1">
      <c r="A1743" s="18"/>
      <c r="B1743" s="18" t="s">
        <v>104</v>
      </c>
      <c r="C1743" s="18"/>
      <c r="D1743" s="178"/>
      <c r="E1743" s="2"/>
      <c r="F1743" s="2"/>
      <c r="G1743" s="2"/>
      <c r="H1743" s="2"/>
      <c r="I1743" s="2"/>
      <c r="J1743" s="2"/>
      <c r="K1743" s="2"/>
      <c r="L1743" s="2"/>
      <c r="M1743" s="27"/>
      <c r="N1743" s="26"/>
      <c r="O1743" s="2"/>
      <c r="P1743" s="24"/>
    </row>
    <row r="1744" spans="1:16" ht="9.75" customHeight="1">
      <c r="A1744" s="18"/>
      <c r="B1744" s="18" t="s">
        <v>104</v>
      </c>
      <c r="C1744" s="18"/>
      <c r="D1744" s="178"/>
      <c r="E1744" s="2"/>
      <c r="F1744" s="2"/>
      <c r="G1744" s="2"/>
      <c r="H1744" s="2"/>
      <c r="I1744" s="2"/>
      <c r="J1744" s="2"/>
      <c r="K1744" s="2"/>
      <c r="L1744" s="2"/>
      <c r="M1744" s="27"/>
      <c r="N1744" s="26"/>
      <c r="O1744" s="2"/>
      <c r="P1744" s="24"/>
    </row>
    <row r="1745" spans="1:16" ht="9.75" customHeight="1">
      <c r="A1745" s="18"/>
      <c r="B1745" s="18" t="s">
        <v>104</v>
      </c>
      <c r="C1745" s="18"/>
      <c r="D1745" s="178"/>
      <c r="E1745" s="2"/>
      <c r="F1745" s="2"/>
      <c r="G1745" s="2"/>
      <c r="H1745" s="2"/>
      <c r="I1745" s="2"/>
      <c r="J1745" s="2"/>
      <c r="K1745" s="2"/>
      <c r="L1745" s="2"/>
      <c r="M1745" s="27"/>
      <c r="N1745" s="26"/>
      <c r="O1745" s="2"/>
      <c r="P1745" s="24"/>
    </row>
    <row r="1746" spans="1:16" ht="9.75" customHeight="1">
      <c r="A1746" s="18"/>
      <c r="B1746" s="18" t="s">
        <v>34</v>
      </c>
      <c r="C1746" s="18">
        <v>6</v>
      </c>
      <c r="D1746" s="178">
        <v>6</v>
      </c>
      <c r="E1746" s="2">
        <v>6</v>
      </c>
      <c r="F1746" s="2">
        <v>6</v>
      </c>
      <c r="G1746" s="2">
        <v>6</v>
      </c>
      <c r="H1746" s="2">
        <v>6</v>
      </c>
      <c r="I1746" s="116">
        <v>2</v>
      </c>
      <c r="J1746" s="116">
        <v>2</v>
      </c>
      <c r="K1746" s="116">
        <v>2</v>
      </c>
      <c r="L1746" s="116">
        <v>2</v>
      </c>
      <c r="M1746" s="147">
        <v>2</v>
      </c>
      <c r="N1746" s="26">
        <f>MIN(D1746:M1746)</f>
        <v>2</v>
      </c>
      <c r="O1746" s="2">
        <f>C1746-N1746</f>
        <v>4</v>
      </c>
      <c r="P1746" s="24">
        <f>O1746/C1746</f>
        <v>0.66666666666666663</v>
      </c>
    </row>
    <row r="1747" spans="1:16" ht="9.75" customHeight="1">
      <c r="A1747" s="18"/>
      <c r="B1747" s="18" t="s">
        <v>35</v>
      </c>
      <c r="C1747" s="18"/>
      <c r="D1747" s="178"/>
      <c r="E1747" s="2"/>
      <c r="F1747" s="2"/>
      <c r="G1747" s="2"/>
      <c r="H1747" s="2"/>
      <c r="I1747" s="2"/>
      <c r="J1747" s="2"/>
      <c r="K1747" s="2"/>
      <c r="L1747" s="2"/>
      <c r="M1747" s="27"/>
      <c r="N1747" s="26"/>
      <c r="O1747" s="2"/>
      <c r="P1747" s="24"/>
    </row>
    <row r="1748" spans="1:16" ht="9.75" customHeight="1">
      <c r="A1748" s="18"/>
      <c r="B1748" s="18" t="s">
        <v>36</v>
      </c>
      <c r="C1748" s="18"/>
      <c r="D1748" s="178"/>
      <c r="E1748" s="2"/>
      <c r="F1748" s="2"/>
      <c r="G1748" s="2"/>
      <c r="H1748" s="2"/>
      <c r="I1748" s="2"/>
      <c r="J1748" s="2"/>
      <c r="K1748" s="2"/>
      <c r="L1748" s="2"/>
      <c r="M1748" s="27"/>
      <c r="N1748" s="26"/>
      <c r="O1748" s="2"/>
      <c r="P1748" s="24"/>
    </row>
    <row r="1749" spans="1:16" ht="9.75" customHeight="1">
      <c r="A1749" s="18"/>
      <c r="B1749" s="18" t="s">
        <v>37</v>
      </c>
      <c r="C1749" s="18">
        <v>3</v>
      </c>
      <c r="D1749" s="178">
        <v>3</v>
      </c>
      <c r="E1749" s="2">
        <v>3</v>
      </c>
      <c r="F1749" s="2">
        <v>3</v>
      </c>
      <c r="G1749" s="2">
        <v>3</v>
      </c>
      <c r="H1749" s="2">
        <v>3</v>
      </c>
      <c r="I1749" s="116">
        <v>3</v>
      </c>
      <c r="J1749" s="116">
        <v>3</v>
      </c>
      <c r="K1749" s="116">
        <v>3</v>
      </c>
      <c r="L1749" s="116">
        <v>3</v>
      </c>
      <c r="M1749" s="147">
        <v>3</v>
      </c>
      <c r="N1749" s="26">
        <f t="shared" ref="N1749:N1750" si="328">MIN(D1749:M1749)</f>
        <v>3</v>
      </c>
      <c r="O1749" s="2">
        <f t="shared" ref="O1749:O1750" si="329">C1749-N1749</f>
        <v>0</v>
      </c>
      <c r="P1749" s="24">
        <f t="shared" ref="P1749:P1750" si="330">O1749/C1749</f>
        <v>0</v>
      </c>
    </row>
    <row r="1750" spans="1:16" ht="9.75" customHeight="1">
      <c r="A1750" s="32"/>
      <c r="B1750" s="33" t="s">
        <v>38</v>
      </c>
      <c r="C1750" s="33">
        <f t="shared" ref="C1750:M1750" si="331">SUM(C1734:C1749)</f>
        <v>55</v>
      </c>
      <c r="D1750" s="70">
        <f t="shared" si="331"/>
        <v>26</v>
      </c>
      <c r="E1750" s="71">
        <f t="shared" si="331"/>
        <v>24</v>
      </c>
      <c r="F1750" s="71">
        <f t="shared" si="331"/>
        <v>29</v>
      </c>
      <c r="G1750" s="71">
        <f t="shared" si="331"/>
        <v>22</v>
      </c>
      <c r="H1750" s="71">
        <f t="shared" si="331"/>
        <v>23</v>
      </c>
      <c r="I1750" s="71">
        <f t="shared" si="331"/>
        <v>19</v>
      </c>
      <c r="J1750" s="71">
        <f t="shared" si="331"/>
        <v>20</v>
      </c>
      <c r="K1750" s="71">
        <f t="shared" si="331"/>
        <v>21</v>
      </c>
      <c r="L1750" s="71">
        <f t="shared" si="331"/>
        <v>22</v>
      </c>
      <c r="M1750" s="93">
        <f t="shared" si="331"/>
        <v>27</v>
      </c>
      <c r="N1750" s="70">
        <f t="shared" si="328"/>
        <v>19</v>
      </c>
      <c r="O1750" s="71">
        <f t="shared" si="329"/>
        <v>36</v>
      </c>
      <c r="P1750" s="40">
        <f t="shared" si="330"/>
        <v>0.65454545454545454</v>
      </c>
    </row>
    <row r="1751" spans="1:16" ht="9.75" customHeight="1">
      <c r="A1751" s="66" t="s">
        <v>281</v>
      </c>
      <c r="B1751" s="66" t="s">
        <v>23</v>
      </c>
      <c r="C1751" s="66"/>
      <c r="D1751" s="41"/>
      <c r="E1751" s="72"/>
      <c r="F1751" s="72"/>
      <c r="G1751" s="72"/>
      <c r="H1751" s="72"/>
      <c r="I1751" s="72"/>
      <c r="J1751" s="72"/>
      <c r="K1751" s="72"/>
      <c r="L1751" s="72"/>
      <c r="M1751" s="73"/>
      <c r="N1751" s="41"/>
      <c r="O1751" s="72"/>
      <c r="P1751" s="99"/>
    </row>
    <row r="1752" spans="1:16" ht="9.75" customHeight="1">
      <c r="A1752" s="18"/>
      <c r="B1752" s="18" t="s">
        <v>25</v>
      </c>
      <c r="C1752" s="18"/>
      <c r="D1752" s="178"/>
      <c r="E1752" s="2"/>
      <c r="F1752" s="2"/>
      <c r="G1752" s="2"/>
      <c r="H1752" s="2"/>
      <c r="I1752" s="2"/>
      <c r="J1752" s="2"/>
      <c r="K1752" s="2"/>
      <c r="L1752" s="2"/>
      <c r="M1752" s="27"/>
      <c r="N1752" s="26"/>
      <c r="O1752" s="2"/>
      <c r="P1752" s="24"/>
    </row>
    <row r="1753" spans="1:16" ht="9.75" customHeight="1">
      <c r="A1753" s="18"/>
      <c r="B1753" s="18" t="s">
        <v>27</v>
      </c>
      <c r="C1753" s="18"/>
      <c r="D1753" s="178"/>
      <c r="E1753" s="2"/>
      <c r="F1753" s="2"/>
      <c r="G1753" s="2"/>
      <c r="H1753" s="2"/>
      <c r="I1753" s="2"/>
      <c r="J1753" s="2"/>
      <c r="K1753" s="2"/>
      <c r="L1753" s="2"/>
      <c r="M1753" s="27"/>
      <c r="N1753" s="26"/>
      <c r="O1753" s="2"/>
      <c r="P1753" s="24"/>
    </row>
    <row r="1754" spans="1:16" ht="9.75" customHeight="1">
      <c r="A1754" s="18"/>
      <c r="B1754" s="18" t="s">
        <v>99</v>
      </c>
      <c r="C1754" s="18"/>
      <c r="D1754" s="178"/>
      <c r="E1754" s="2"/>
      <c r="F1754" s="2"/>
      <c r="G1754" s="2"/>
      <c r="H1754" s="2"/>
      <c r="I1754" s="2"/>
      <c r="J1754" s="2"/>
      <c r="K1754" s="2"/>
      <c r="L1754" s="2"/>
      <c r="M1754" s="27"/>
      <c r="N1754" s="26"/>
      <c r="O1754" s="2"/>
      <c r="P1754" s="24"/>
    </row>
    <row r="1755" spans="1:16" ht="9.75" customHeight="1">
      <c r="A1755" s="18"/>
      <c r="B1755" s="18" t="s">
        <v>99</v>
      </c>
      <c r="C1755" s="18"/>
      <c r="D1755" s="178"/>
      <c r="E1755" s="2"/>
      <c r="F1755" s="2"/>
      <c r="G1755" s="2"/>
      <c r="H1755" s="2"/>
      <c r="I1755" s="2"/>
      <c r="J1755" s="2"/>
      <c r="K1755" s="2"/>
      <c r="L1755" s="2"/>
      <c r="M1755" s="27"/>
      <c r="N1755" s="26"/>
      <c r="O1755" s="2"/>
      <c r="P1755" s="24"/>
    </row>
    <row r="1756" spans="1:16" ht="9.75" customHeight="1">
      <c r="A1756" s="18"/>
      <c r="B1756" s="18" t="s">
        <v>32</v>
      </c>
      <c r="C1756" s="18">
        <v>4</v>
      </c>
      <c r="D1756" s="178">
        <v>2</v>
      </c>
      <c r="E1756" s="2">
        <v>1</v>
      </c>
      <c r="F1756" s="2">
        <v>1</v>
      </c>
      <c r="G1756" s="2">
        <v>1</v>
      </c>
      <c r="H1756" s="2">
        <v>1</v>
      </c>
      <c r="I1756" s="116">
        <v>1</v>
      </c>
      <c r="J1756" s="116">
        <v>1</v>
      </c>
      <c r="K1756" s="116">
        <v>1</v>
      </c>
      <c r="L1756" s="116">
        <v>1</v>
      </c>
      <c r="M1756" s="147">
        <v>1</v>
      </c>
      <c r="N1756" s="26">
        <f>MIN(D1756:M1756)</f>
        <v>1</v>
      </c>
      <c r="O1756" s="2">
        <f>C1756-N1756</f>
        <v>3</v>
      </c>
      <c r="P1756" s="24">
        <f>O1756/C1756</f>
        <v>0.75</v>
      </c>
    </row>
    <row r="1757" spans="1:16" ht="9.75" customHeight="1">
      <c r="A1757" s="18"/>
      <c r="B1757" s="18" t="s">
        <v>104</v>
      </c>
      <c r="C1757" s="18"/>
      <c r="D1757" s="178"/>
      <c r="E1757" s="2"/>
      <c r="F1757" s="2"/>
      <c r="G1757" s="2"/>
      <c r="H1757" s="2"/>
      <c r="I1757" s="2"/>
      <c r="J1757" s="2"/>
      <c r="K1757" s="2"/>
      <c r="L1757" s="2"/>
      <c r="M1757" s="27"/>
      <c r="N1757" s="26"/>
      <c r="O1757" s="2"/>
      <c r="P1757" s="24"/>
    </row>
    <row r="1758" spans="1:16" ht="9.75" customHeight="1">
      <c r="A1758" s="18"/>
      <c r="B1758" s="18" t="s">
        <v>104</v>
      </c>
      <c r="C1758" s="18"/>
      <c r="D1758" s="178"/>
      <c r="E1758" s="2"/>
      <c r="F1758" s="2"/>
      <c r="G1758" s="2"/>
      <c r="H1758" s="2"/>
      <c r="I1758" s="2"/>
      <c r="J1758" s="2"/>
      <c r="K1758" s="2"/>
      <c r="L1758" s="2"/>
      <c r="M1758" s="27"/>
      <c r="N1758" s="26"/>
      <c r="O1758" s="2"/>
      <c r="P1758" s="24"/>
    </row>
    <row r="1759" spans="1:16" ht="9.75" customHeight="1">
      <c r="A1759" s="18"/>
      <c r="B1759" s="18" t="s">
        <v>104</v>
      </c>
      <c r="C1759" s="18"/>
      <c r="D1759" s="178"/>
      <c r="E1759" s="2"/>
      <c r="F1759" s="2"/>
      <c r="G1759" s="2"/>
      <c r="H1759" s="2"/>
      <c r="I1759" s="2"/>
      <c r="J1759" s="2"/>
      <c r="K1759" s="2"/>
      <c r="L1759" s="2"/>
      <c r="M1759" s="27"/>
      <c r="N1759" s="26"/>
      <c r="O1759" s="2"/>
      <c r="P1759" s="24"/>
    </row>
    <row r="1760" spans="1:16" ht="9.75" customHeight="1">
      <c r="A1760" s="18"/>
      <c r="B1760" s="18" t="s">
        <v>104</v>
      </c>
      <c r="C1760" s="18"/>
      <c r="D1760" s="178"/>
      <c r="E1760" s="2"/>
      <c r="F1760" s="2"/>
      <c r="G1760" s="2"/>
      <c r="H1760" s="2"/>
      <c r="I1760" s="2"/>
      <c r="J1760" s="2"/>
      <c r="K1760" s="2"/>
      <c r="L1760" s="2"/>
      <c r="M1760" s="27"/>
      <c r="N1760" s="26"/>
      <c r="O1760" s="2"/>
      <c r="P1760" s="24"/>
    </row>
    <row r="1761" spans="1:16" ht="9.75" customHeight="1">
      <c r="A1761" s="18"/>
      <c r="B1761" s="18" t="s">
        <v>104</v>
      </c>
      <c r="C1761" s="18"/>
      <c r="D1761" s="178"/>
      <c r="E1761" s="2"/>
      <c r="F1761" s="2"/>
      <c r="G1761" s="2"/>
      <c r="H1761" s="2"/>
      <c r="I1761" s="2"/>
      <c r="J1761" s="2"/>
      <c r="K1761" s="2"/>
      <c r="L1761" s="2"/>
      <c r="M1761" s="27"/>
      <c r="N1761" s="26"/>
      <c r="O1761" s="2"/>
      <c r="P1761" s="24"/>
    </row>
    <row r="1762" spans="1:16" ht="9.75" customHeight="1">
      <c r="A1762" s="18"/>
      <c r="B1762" s="18" t="s">
        <v>104</v>
      </c>
      <c r="C1762" s="18"/>
      <c r="D1762" s="178"/>
      <c r="E1762" s="2"/>
      <c r="F1762" s="2"/>
      <c r="G1762" s="2"/>
      <c r="H1762" s="2"/>
      <c r="I1762" s="2"/>
      <c r="J1762" s="2"/>
      <c r="K1762" s="2"/>
      <c r="L1762" s="2"/>
      <c r="M1762" s="27"/>
      <c r="N1762" s="26"/>
      <c r="O1762" s="2"/>
      <c r="P1762" s="24"/>
    </row>
    <row r="1763" spans="1:16" ht="9.75" customHeight="1">
      <c r="A1763" s="18"/>
      <c r="B1763" s="18" t="s">
        <v>34</v>
      </c>
      <c r="C1763" s="18"/>
      <c r="D1763" s="178"/>
      <c r="E1763" s="2"/>
      <c r="F1763" s="2"/>
      <c r="G1763" s="2"/>
      <c r="H1763" s="2"/>
      <c r="I1763" s="2"/>
      <c r="J1763" s="2"/>
      <c r="K1763" s="2"/>
      <c r="L1763" s="2"/>
      <c r="M1763" s="27"/>
      <c r="N1763" s="26"/>
      <c r="O1763" s="2"/>
      <c r="P1763" s="24"/>
    </row>
    <row r="1764" spans="1:16" ht="9.75" customHeight="1">
      <c r="A1764" s="18"/>
      <c r="B1764" s="18" t="s">
        <v>35</v>
      </c>
      <c r="C1764" s="18"/>
      <c r="D1764" s="178"/>
      <c r="E1764" s="2"/>
      <c r="F1764" s="2"/>
      <c r="G1764" s="2"/>
      <c r="H1764" s="2"/>
      <c r="I1764" s="2"/>
      <c r="J1764" s="2"/>
      <c r="K1764" s="2"/>
      <c r="L1764" s="2"/>
      <c r="M1764" s="27"/>
      <c r="N1764" s="26"/>
      <c r="O1764" s="2"/>
      <c r="P1764" s="24"/>
    </row>
    <row r="1765" spans="1:16" ht="9.75" customHeight="1">
      <c r="A1765" s="18"/>
      <c r="B1765" s="18" t="s">
        <v>36</v>
      </c>
      <c r="C1765" s="18">
        <v>1</v>
      </c>
      <c r="D1765" s="178">
        <v>1</v>
      </c>
      <c r="E1765" s="2">
        <v>1</v>
      </c>
      <c r="F1765" s="2">
        <v>0</v>
      </c>
      <c r="G1765" s="2">
        <v>1</v>
      </c>
      <c r="H1765" s="2">
        <v>1</v>
      </c>
      <c r="I1765" s="116">
        <v>1</v>
      </c>
      <c r="J1765" s="116">
        <v>1</v>
      </c>
      <c r="K1765" s="116">
        <v>1</v>
      </c>
      <c r="L1765" s="116">
        <v>1</v>
      </c>
      <c r="M1765" s="147">
        <v>1</v>
      </c>
      <c r="N1765" s="26">
        <f>MIN(D1765:M1765)</f>
        <v>0</v>
      </c>
      <c r="O1765" s="2">
        <f>C1765-N1765</f>
        <v>1</v>
      </c>
      <c r="P1765" s="24">
        <f>O1765/C1765</f>
        <v>1</v>
      </c>
    </row>
    <row r="1766" spans="1:16" ht="9.75" customHeight="1">
      <c r="A1766" s="18"/>
      <c r="B1766" s="18" t="s">
        <v>37</v>
      </c>
      <c r="C1766" s="18"/>
      <c r="D1766" s="178"/>
      <c r="E1766" s="2"/>
      <c r="F1766" s="2"/>
      <c r="G1766" s="2"/>
      <c r="H1766" s="2"/>
      <c r="I1766" s="2"/>
      <c r="J1766" s="2"/>
      <c r="K1766" s="2"/>
      <c r="L1766" s="2"/>
      <c r="M1766" s="27"/>
      <c r="N1766" s="26"/>
      <c r="O1766" s="2"/>
      <c r="P1766" s="24"/>
    </row>
    <row r="1767" spans="1:16" ht="9.75" customHeight="1">
      <c r="A1767" s="32"/>
      <c r="B1767" s="33" t="s">
        <v>38</v>
      </c>
      <c r="C1767" s="33">
        <f t="shared" ref="C1767:M1767" si="332">SUM(C1751:C1766)</f>
        <v>5</v>
      </c>
      <c r="D1767" s="70">
        <f t="shared" si="332"/>
        <v>3</v>
      </c>
      <c r="E1767" s="71">
        <f t="shared" si="332"/>
        <v>2</v>
      </c>
      <c r="F1767" s="71">
        <f t="shared" si="332"/>
        <v>1</v>
      </c>
      <c r="G1767" s="71">
        <f t="shared" si="332"/>
        <v>2</v>
      </c>
      <c r="H1767" s="71">
        <f t="shared" si="332"/>
        <v>2</v>
      </c>
      <c r="I1767" s="71">
        <f t="shared" si="332"/>
        <v>2</v>
      </c>
      <c r="J1767" s="71">
        <f t="shared" si="332"/>
        <v>2</v>
      </c>
      <c r="K1767" s="71">
        <f t="shared" si="332"/>
        <v>2</v>
      </c>
      <c r="L1767" s="71">
        <f t="shared" si="332"/>
        <v>2</v>
      </c>
      <c r="M1767" s="93">
        <f t="shared" si="332"/>
        <v>2</v>
      </c>
      <c r="N1767" s="70">
        <f>MIN(D1767:M1767)</f>
        <v>1</v>
      </c>
      <c r="O1767" s="71">
        <f>C1767-N1767</f>
        <v>4</v>
      </c>
      <c r="P1767" s="40">
        <f>O1767/C1767</f>
        <v>0.8</v>
      </c>
    </row>
    <row r="1768" spans="1:16" ht="9.75" customHeight="1">
      <c r="A1768" s="66" t="s">
        <v>282</v>
      </c>
      <c r="B1768" s="66" t="s">
        <v>23</v>
      </c>
      <c r="C1768" s="18"/>
      <c r="D1768" s="26"/>
      <c r="E1768" s="2"/>
      <c r="F1768" s="2"/>
      <c r="G1768" s="2"/>
      <c r="H1768" s="2"/>
      <c r="I1768" s="2"/>
      <c r="J1768" s="2"/>
      <c r="K1768" s="2"/>
      <c r="L1768" s="2"/>
      <c r="M1768" s="27"/>
      <c r="N1768" s="26"/>
      <c r="O1768" s="2"/>
      <c r="P1768" s="24"/>
    </row>
    <row r="1769" spans="1:16" ht="9.75" customHeight="1">
      <c r="A1769" s="18"/>
      <c r="B1769" s="18" t="s">
        <v>25</v>
      </c>
      <c r="C1769" s="18"/>
      <c r="D1769" s="26"/>
      <c r="E1769" s="2"/>
      <c r="F1769" s="2"/>
      <c r="G1769" s="2"/>
      <c r="H1769" s="2"/>
      <c r="I1769" s="2"/>
      <c r="J1769" s="2"/>
      <c r="K1769" s="2"/>
      <c r="L1769" s="2"/>
      <c r="M1769" s="27"/>
      <c r="N1769" s="26"/>
      <c r="O1769" s="2"/>
      <c r="P1769" s="24"/>
    </row>
    <row r="1770" spans="1:16" ht="9.75" customHeight="1">
      <c r="A1770" s="18"/>
      <c r="B1770" s="18" t="s">
        <v>27</v>
      </c>
      <c r="C1770" s="18"/>
      <c r="D1770" s="26"/>
      <c r="E1770" s="2"/>
      <c r="F1770" s="2"/>
      <c r="G1770" s="2"/>
      <c r="H1770" s="2"/>
      <c r="I1770" s="2"/>
      <c r="J1770" s="2"/>
      <c r="K1770" s="2"/>
      <c r="L1770" s="2"/>
      <c r="M1770" s="27"/>
      <c r="N1770" s="26"/>
      <c r="O1770" s="2"/>
      <c r="P1770" s="24"/>
    </row>
    <row r="1771" spans="1:16" ht="9.75" customHeight="1">
      <c r="A1771" s="18"/>
      <c r="B1771" s="18" t="s">
        <v>177</v>
      </c>
      <c r="C1771" s="18">
        <v>12</v>
      </c>
      <c r="D1771" s="26">
        <v>3</v>
      </c>
      <c r="E1771" s="2">
        <v>3</v>
      </c>
      <c r="F1771" s="2">
        <v>0</v>
      </c>
      <c r="G1771" s="2">
        <v>2</v>
      </c>
      <c r="H1771" s="2">
        <v>5</v>
      </c>
      <c r="I1771" s="116">
        <v>1</v>
      </c>
      <c r="J1771" s="116">
        <v>2</v>
      </c>
      <c r="K1771" s="116">
        <v>3</v>
      </c>
      <c r="L1771" s="116">
        <v>5</v>
      </c>
      <c r="M1771" s="147">
        <v>7</v>
      </c>
      <c r="N1771" s="26">
        <f>MIN(D1771:M1771)</f>
        <v>0</v>
      </c>
      <c r="O1771" s="2">
        <f>C1771-N1771</f>
        <v>12</v>
      </c>
      <c r="P1771" s="24">
        <f>O1771/C1771</f>
        <v>1</v>
      </c>
    </row>
    <row r="1772" spans="1:16" ht="9.75" customHeight="1">
      <c r="A1772" s="18"/>
      <c r="B1772" s="18" t="s">
        <v>99</v>
      </c>
      <c r="C1772" s="18"/>
      <c r="D1772" s="26"/>
      <c r="E1772" s="2"/>
      <c r="F1772" s="2"/>
      <c r="G1772" s="2"/>
      <c r="H1772" s="2"/>
      <c r="I1772" s="2"/>
      <c r="J1772" s="2"/>
      <c r="K1772" s="2"/>
      <c r="L1772" s="2"/>
      <c r="M1772" s="27"/>
      <c r="N1772" s="26"/>
      <c r="O1772" s="2"/>
      <c r="P1772" s="24"/>
    </row>
    <row r="1773" spans="1:16" ht="9.75" customHeight="1">
      <c r="A1773" s="18"/>
      <c r="B1773" s="18" t="s">
        <v>32</v>
      </c>
      <c r="C1773" s="18">
        <v>3</v>
      </c>
      <c r="D1773" s="26">
        <v>3</v>
      </c>
      <c r="E1773" s="2">
        <v>3</v>
      </c>
      <c r="F1773" s="2">
        <v>3</v>
      </c>
      <c r="G1773" s="2">
        <v>3</v>
      </c>
      <c r="H1773" s="2">
        <v>3</v>
      </c>
      <c r="I1773" s="116">
        <v>3</v>
      </c>
      <c r="J1773" s="116">
        <v>3</v>
      </c>
      <c r="K1773" s="116">
        <v>3</v>
      </c>
      <c r="L1773" s="116">
        <v>3</v>
      </c>
      <c r="M1773" s="147">
        <v>3</v>
      </c>
      <c r="N1773" s="193">
        <f>MIN(D1773:M1773)</f>
        <v>3</v>
      </c>
      <c r="O1773" s="337">
        <f>C1773-N1773</f>
        <v>0</v>
      </c>
      <c r="P1773" s="187">
        <f>O1773/C1773</f>
        <v>0</v>
      </c>
    </row>
    <row r="1774" spans="1:16" ht="9.75" customHeight="1">
      <c r="A1774" s="18"/>
      <c r="B1774" s="18" t="s">
        <v>104</v>
      </c>
      <c r="C1774" s="18"/>
      <c r="D1774" s="26"/>
      <c r="E1774" s="2"/>
      <c r="F1774" s="2"/>
      <c r="G1774" s="2"/>
      <c r="H1774" s="2"/>
      <c r="I1774" s="2"/>
      <c r="J1774" s="2"/>
      <c r="K1774" s="2"/>
      <c r="L1774" s="2"/>
      <c r="M1774" s="27"/>
      <c r="N1774" s="26"/>
      <c r="O1774" s="2"/>
      <c r="P1774" s="24"/>
    </row>
    <row r="1775" spans="1:16" ht="9.75" customHeight="1">
      <c r="A1775" s="18"/>
      <c r="B1775" s="18" t="s">
        <v>104</v>
      </c>
      <c r="C1775" s="18"/>
      <c r="D1775" s="26"/>
      <c r="E1775" s="2"/>
      <c r="F1775" s="2"/>
      <c r="G1775" s="2"/>
      <c r="H1775" s="2"/>
      <c r="I1775" s="2"/>
      <c r="J1775" s="2"/>
      <c r="K1775" s="2"/>
      <c r="L1775" s="2"/>
      <c r="M1775" s="27"/>
      <c r="N1775" s="26"/>
      <c r="O1775" s="2"/>
      <c r="P1775" s="24"/>
    </row>
    <row r="1776" spans="1:16" ht="9.75" customHeight="1">
      <c r="A1776" s="18"/>
      <c r="B1776" s="18" t="s">
        <v>104</v>
      </c>
      <c r="C1776" s="18"/>
      <c r="D1776" s="26"/>
      <c r="E1776" s="2"/>
      <c r="F1776" s="2"/>
      <c r="G1776" s="2"/>
      <c r="H1776" s="2"/>
      <c r="I1776" s="2"/>
      <c r="J1776" s="2"/>
      <c r="K1776" s="2"/>
      <c r="L1776" s="2"/>
      <c r="M1776" s="27"/>
      <c r="N1776" s="26"/>
      <c r="O1776" s="2"/>
      <c r="P1776" s="24"/>
    </row>
    <row r="1777" spans="1:16" ht="9.75" customHeight="1">
      <c r="A1777" s="18"/>
      <c r="B1777" s="18" t="s">
        <v>104</v>
      </c>
      <c r="C1777" s="18"/>
      <c r="D1777" s="26"/>
      <c r="E1777" s="2"/>
      <c r="F1777" s="2"/>
      <c r="G1777" s="2"/>
      <c r="H1777" s="2"/>
      <c r="I1777" s="2"/>
      <c r="J1777" s="2"/>
      <c r="K1777" s="2"/>
      <c r="L1777" s="2"/>
      <c r="M1777" s="27"/>
      <c r="N1777" s="26"/>
      <c r="O1777" s="2"/>
      <c r="P1777" s="24"/>
    </row>
    <row r="1778" spans="1:16" ht="9.75" customHeight="1">
      <c r="A1778" s="18"/>
      <c r="B1778" s="18" t="s">
        <v>104</v>
      </c>
      <c r="C1778" s="18"/>
      <c r="D1778" s="26"/>
      <c r="E1778" s="2"/>
      <c r="F1778" s="2"/>
      <c r="G1778" s="2"/>
      <c r="H1778" s="2"/>
      <c r="I1778" s="2"/>
      <c r="J1778" s="2"/>
      <c r="K1778" s="2"/>
      <c r="L1778" s="2"/>
      <c r="M1778" s="27"/>
      <c r="N1778" s="26"/>
      <c r="O1778" s="2"/>
      <c r="P1778" s="24"/>
    </row>
    <row r="1779" spans="1:16" ht="9.75" customHeight="1">
      <c r="A1779" s="18"/>
      <c r="B1779" s="18" t="s">
        <v>104</v>
      </c>
      <c r="C1779" s="18"/>
      <c r="D1779" s="26"/>
      <c r="E1779" s="2"/>
      <c r="F1779" s="2"/>
      <c r="G1779" s="2"/>
      <c r="H1779" s="2"/>
      <c r="I1779" s="2"/>
      <c r="J1779" s="2"/>
      <c r="K1779" s="2"/>
      <c r="L1779" s="2"/>
      <c r="M1779" s="27"/>
      <c r="N1779" s="26"/>
      <c r="O1779" s="2"/>
      <c r="P1779" s="24"/>
    </row>
    <row r="1780" spans="1:16" ht="9.75" customHeight="1">
      <c r="A1780" s="18"/>
      <c r="B1780" s="18" t="s">
        <v>34</v>
      </c>
      <c r="C1780" s="18">
        <v>2</v>
      </c>
      <c r="D1780" s="26">
        <v>1</v>
      </c>
      <c r="E1780" s="2">
        <v>1</v>
      </c>
      <c r="F1780" s="2">
        <v>1</v>
      </c>
      <c r="G1780" s="2">
        <v>1</v>
      </c>
      <c r="H1780" s="2">
        <v>2</v>
      </c>
      <c r="I1780" s="116">
        <v>1</v>
      </c>
      <c r="J1780" s="116">
        <v>1</v>
      </c>
      <c r="K1780" s="116">
        <v>1</v>
      </c>
      <c r="L1780" s="116">
        <v>1</v>
      </c>
      <c r="M1780" s="147">
        <v>1</v>
      </c>
      <c r="N1780" s="26">
        <f t="shared" ref="N1780:N1782" si="333">MIN(D1780:M1780)</f>
        <v>1</v>
      </c>
      <c r="O1780" s="2">
        <f t="shared" ref="O1780:O1782" si="334">C1780-N1780</f>
        <v>1</v>
      </c>
      <c r="P1780" s="24">
        <f t="shared" ref="P1780:P1782" si="335">O1780/C1780</f>
        <v>0.5</v>
      </c>
    </row>
    <row r="1781" spans="1:16" ht="9.75" customHeight="1">
      <c r="A1781" s="18"/>
      <c r="B1781" s="18" t="s">
        <v>35</v>
      </c>
      <c r="C1781" s="18">
        <v>2</v>
      </c>
      <c r="D1781" s="26">
        <v>2</v>
      </c>
      <c r="E1781" s="2">
        <v>2</v>
      </c>
      <c r="F1781" s="2">
        <v>2</v>
      </c>
      <c r="G1781" s="2">
        <v>2</v>
      </c>
      <c r="H1781" s="2">
        <v>2</v>
      </c>
      <c r="I1781" s="116">
        <v>0</v>
      </c>
      <c r="J1781" s="116">
        <v>0</v>
      </c>
      <c r="K1781" s="116">
        <v>0</v>
      </c>
      <c r="L1781" s="116">
        <v>1</v>
      </c>
      <c r="M1781" s="147">
        <v>0</v>
      </c>
      <c r="N1781" s="26">
        <f t="shared" si="333"/>
        <v>0</v>
      </c>
      <c r="O1781" s="2">
        <f t="shared" si="334"/>
        <v>2</v>
      </c>
      <c r="P1781" s="24">
        <f t="shared" si="335"/>
        <v>1</v>
      </c>
    </row>
    <row r="1782" spans="1:16" ht="9.75" customHeight="1">
      <c r="A1782" s="18"/>
      <c r="B1782" s="18" t="s">
        <v>36</v>
      </c>
      <c r="C1782" s="18">
        <v>3</v>
      </c>
      <c r="D1782" s="26">
        <v>2</v>
      </c>
      <c r="E1782" s="2">
        <v>1</v>
      </c>
      <c r="F1782" s="2">
        <v>1</v>
      </c>
      <c r="G1782" s="2">
        <v>0</v>
      </c>
      <c r="H1782" s="2">
        <v>1</v>
      </c>
      <c r="I1782" s="116">
        <v>0</v>
      </c>
      <c r="J1782" s="116">
        <v>0</v>
      </c>
      <c r="K1782" s="116">
        <v>0</v>
      </c>
      <c r="L1782" s="116">
        <v>0</v>
      </c>
      <c r="M1782" s="147">
        <v>0</v>
      </c>
      <c r="N1782" s="26">
        <f t="shared" si="333"/>
        <v>0</v>
      </c>
      <c r="O1782" s="2">
        <f t="shared" si="334"/>
        <v>3</v>
      </c>
      <c r="P1782" s="24">
        <f t="shared" si="335"/>
        <v>1</v>
      </c>
    </row>
    <row r="1783" spans="1:16" ht="9.75" customHeight="1">
      <c r="A1783" s="18"/>
      <c r="B1783" s="18" t="s">
        <v>37</v>
      </c>
      <c r="C1783" s="18"/>
      <c r="D1783" s="26"/>
      <c r="E1783" s="2"/>
      <c r="F1783" s="2"/>
      <c r="G1783" s="2"/>
      <c r="H1783" s="2"/>
      <c r="I1783" s="2"/>
      <c r="J1783" s="2"/>
      <c r="K1783" s="2"/>
      <c r="L1783" s="2"/>
      <c r="M1783" s="27"/>
      <c r="N1783" s="26"/>
      <c r="O1783" s="2"/>
      <c r="P1783" s="24"/>
    </row>
    <row r="1784" spans="1:16" ht="9.75" customHeight="1">
      <c r="A1784" s="32"/>
      <c r="B1784" s="33" t="s">
        <v>38</v>
      </c>
      <c r="C1784" s="33">
        <f t="shared" ref="C1784:M1784" si="336">SUM(C1768:C1783)</f>
        <v>22</v>
      </c>
      <c r="D1784" s="70">
        <f t="shared" si="336"/>
        <v>11</v>
      </c>
      <c r="E1784" s="71">
        <f t="shared" si="336"/>
        <v>10</v>
      </c>
      <c r="F1784" s="71">
        <f t="shared" si="336"/>
        <v>7</v>
      </c>
      <c r="G1784" s="71">
        <f t="shared" si="336"/>
        <v>8</v>
      </c>
      <c r="H1784" s="71">
        <f t="shared" si="336"/>
        <v>13</v>
      </c>
      <c r="I1784" s="71">
        <f t="shared" si="336"/>
        <v>5</v>
      </c>
      <c r="J1784" s="71">
        <f t="shared" si="336"/>
        <v>6</v>
      </c>
      <c r="K1784" s="71">
        <f t="shared" si="336"/>
        <v>7</v>
      </c>
      <c r="L1784" s="71">
        <f t="shared" si="336"/>
        <v>10</v>
      </c>
      <c r="M1784" s="93">
        <f t="shared" si="336"/>
        <v>11</v>
      </c>
      <c r="N1784" s="70">
        <f>MIN(D1784:M1784)</f>
        <v>5</v>
      </c>
      <c r="O1784" s="71">
        <f>C1784-N1784</f>
        <v>17</v>
      </c>
      <c r="P1784" s="40">
        <f>O1784/C1784</f>
        <v>0.77272727272727271</v>
      </c>
    </row>
    <row r="1785" spans="1:16" ht="9.75" customHeight="1">
      <c r="A1785" s="66" t="s">
        <v>283</v>
      </c>
      <c r="B1785" s="66" t="s">
        <v>23</v>
      </c>
      <c r="C1785" s="66"/>
      <c r="D1785" s="181"/>
      <c r="E1785" s="72"/>
      <c r="F1785" s="72"/>
      <c r="G1785" s="72"/>
      <c r="H1785" s="72"/>
      <c r="I1785" s="72"/>
      <c r="J1785" s="72"/>
      <c r="K1785" s="72"/>
      <c r="L1785" s="72"/>
      <c r="M1785" s="73"/>
      <c r="N1785" s="41"/>
      <c r="O1785" s="72"/>
      <c r="P1785" s="99"/>
    </row>
    <row r="1786" spans="1:16" ht="9.75" customHeight="1">
      <c r="A1786" s="18"/>
      <c r="B1786" s="18" t="s">
        <v>25</v>
      </c>
      <c r="C1786" s="18">
        <v>51</v>
      </c>
      <c r="D1786" s="178">
        <v>20</v>
      </c>
      <c r="E1786" s="2">
        <v>19</v>
      </c>
      <c r="F1786" s="2">
        <v>16</v>
      </c>
      <c r="G1786" s="2">
        <v>14</v>
      </c>
      <c r="H1786" s="2">
        <v>15</v>
      </c>
      <c r="I1786" s="116">
        <v>18</v>
      </c>
      <c r="J1786" s="116">
        <v>20</v>
      </c>
      <c r="K1786" s="116">
        <v>22</v>
      </c>
      <c r="L1786" s="116">
        <v>30</v>
      </c>
      <c r="M1786" s="147">
        <v>32</v>
      </c>
      <c r="N1786" s="26">
        <f>MIN(D1786:M1786)</f>
        <v>14</v>
      </c>
      <c r="O1786" s="2">
        <f>C1786-N1786</f>
        <v>37</v>
      </c>
      <c r="P1786" s="24">
        <f>O1786/C1786</f>
        <v>0.72549019607843135</v>
      </c>
    </row>
    <row r="1787" spans="1:16" ht="9.75" customHeight="1">
      <c r="A1787" s="18"/>
      <c r="B1787" s="18" t="s">
        <v>27</v>
      </c>
      <c r="C1787" s="18"/>
      <c r="D1787" s="178"/>
      <c r="E1787" s="2"/>
      <c r="F1787" s="2"/>
      <c r="G1787" s="2"/>
      <c r="H1787" s="2"/>
      <c r="I1787" s="2"/>
      <c r="J1787" s="2"/>
      <c r="K1787" s="2"/>
      <c r="L1787" s="2"/>
      <c r="M1787" s="27"/>
      <c r="N1787" s="26"/>
      <c r="O1787" s="2"/>
      <c r="P1787" s="24"/>
    </row>
    <row r="1788" spans="1:16" ht="9.75" customHeight="1">
      <c r="A1788" s="18"/>
      <c r="B1788" s="18" t="s">
        <v>177</v>
      </c>
      <c r="C1788" s="18">
        <v>16</v>
      </c>
      <c r="D1788" s="178">
        <v>5</v>
      </c>
      <c r="E1788" s="2">
        <v>4</v>
      </c>
      <c r="F1788" s="2">
        <v>5</v>
      </c>
      <c r="G1788" s="2">
        <v>4</v>
      </c>
      <c r="H1788" s="2">
        <v>4</v>
      </c>
      <c r="I1788" s="116">
        <v>5</v>
      </c>
      <c r="J1788" s="116">
        <v>5</v>
      </c>
      <c r="K1788" s="116">
        <v>6</v>
      </c>
      <c r="L1788" s="116">
        <v>6</v>
      </c>
      <c r="M1788" s="147">
        <v>5</v>
      </c>
      <c r="N1788" s="26">
        <f>MIN(D1788:M1788)</f>
        <v>4</v>
      </c>
      <c r="O1788" s="2">
        <f>C1788-N1788</f>
        <v>12</v>
      </c>
      <c r="P1788" s="24">
        <f>O1788/C1788</f>
        <v>0.75</v>
      </c>
    </row>
    <row r="1789" spans="1:16" ht="9.75" customHeight="1">
      <c r="A1789" s="18"/>
      <c r="B1789" s="18" t="s">
        <v>99</v>
      </c>
      <c r="C1789" s="18"/>
      <c r="D1789" s="178"/>
      <c r="E1789" s="2"/>
      <c r="F1789" s="2"/>
      <c r="G1789" s="2"/>
      <c r="H1789" s="2"/>
      <c r="I1789" s="2"/>
      <c r="J1789" s="2"/>
      <c r="K1789" s="2"/>
      <c r="L1789" s="2"/>
      <c r="M1789" s="27"/>
      <c r="N1789" s="26"/>
      <c r="O1789" s="2"/>
      <c r="P1789" s="24"/>
    </row>
    <row r="1790" spans="1:16" ht="9.75" customHeight="1">
      <c r="A1790" s="18"/>
      <c r="B1790" s="18" t="s">
        <v>32</v>
      </c>
      <c r="C1790" s="18"/>
      <c r="D1790" s="178"/>
      <c r="E1790" s="2"/>
      <c r="F1790" s="2"/>
      <c r="G1790" s="2"/>
      <c r="H1790" s="2"/>
      <c r="I1790" s="2"/>
      <c r="J1790" s="2"/>
      <c r="K1790" s="2"/>
      <c r="L1790" s="2"/>
      <c r="M1790" s="27"/>
      <c r="N1790" s="26"/>
      <c r="O1790" s="2"/>
      <c r="P1790" s="24"/>
    </row>
    <row r="1791" spans="1:16" ht="9.75" customHeight="1">
      <c r="A1791" s="18"/>
      <c r="B1791" s="18" t="s">
        <v>284</v>
      </c>
      <c r="C1791" s="18">
        <v>1</v>
      </c>
      <c r="D1791" s="178">
        <v>1</v>
      </c>
      <c r="E1791" s="2">
        <v>1</v>
      </c>
      <c r="F1791" s="2">
        <v>1</v>
      </c>
      <c r="G1791" s="2">
        <v>1</v>
      </c>
      <c r="H1791" s="2">
        <v>1</v>
      </c>
      <c r="I1791" s="116">
        <v>1</v>
      </c>
      <c r="J1791" s="116">
        <v>1</v>
      </c>
      <c r="K1791" s="116">
        <v>1</v>
      </c>
      <c r="L1791" s="116">
        <v>1</v>
      </c>
      <c r="M1791" s="147">
        <v>1</v>
      </c>
      <c r="N1791" s="26">
        <f>MIN(D1791:M1791)</f>
        <v>1</v>
      </c>
      <c r="O1791" s="2">
        <f>C1791-N1791</f>
        <v>0</v>
      </c>
      <c r="P1791" s="24">
        <f>O1791/C1791</f>
        <v>0</v>
      </c>
    </row>
    <row r="1792" spans="1:16" ht="9.75" customHeight="1">
      <c r="A1792" s="18"/>
      <c r="B1792" s="18" t="s">
        <v>285</v>
      </c>
      <c r="C1792" s="18"/>
      <c r="D1792" s="178">
        <v>0</v>
      </c>
      <c r="E1792" s="2">
        <v>0</v>
      </c>
      <c r="F1792" s="2">
        <v>0</v>
      </c>
      <c r="G1792" s="2">
        <v>0</v>
      </c>
      <c r="H1792" s="2">
        <v>0</v>
      </c>
      <c r="I1792" s="116">
        <v>1</v>
      </c>
      <c r="J1792" s="116">
        <v>1</v>
      </c>
      <c r="K1792" s="116">
        <v>1</v>
      </c>
      <c r="L1792" s="116">
        <v>1</v>
      </c>
      <c r="M1792" s="147">
        <v>1</v>
      </c>
      <c r="N1792" s="26"/>
      <c r="O1792" s="2"/>
      <c r="P1792" s="24"/>
    </row>
    <row r="1793" spans="1:16" ht="9.75" customHeight="1">
      <c r="A1793" s="18"/>
      <c r="B1793" s="18" t="s">
        <v>286</v>
      </c>
      <c r="C1793" s="18">
        <v>4</v>
      </c>
      <c r="D1793" s="178">
        <v>2</v>
      </c>
      <c r="E1793" s="2">
        <v>2</v>
      </c>
      <c r="F1793" s="2">
        <v>2</v>
      </c>
      <c r="G1793" s="2">
        <v>2</v>
      </c>
      <c r="H1793" s="2">
        <v>3</v>
      </c>
      <c r="I1793" s="116">
        <v>4</v>
      </c>
      <c r="J1793" s="116">
        <v>4</v>
      </c>
      <c r="K1793" s="116">
        <v>4</v>
      </c>
      <c r="L1793" s="116">
        <v>2</v>
      </c>
      <c r="M1793" s="147">
        <v>4</v>
      </c>
      <c r="N1793" s="26">
        <f t="shared" ref="N1793:N1801" si="337">MIN(D1793:M1793)</f>
        <v>2</v>
      </c>
      <c r="O1793" s="2">
        <f t="shared" ref="O1793:O1801" si="338">C1793-N1793</f>
        <v>2</v>
      </c>
      <c r="P1793" s="24">
        <f t="shared" ref="P1793:P1801" si="339">O1793/C1793</f>
        <v>0.5</v>
      </c>
    </row>
    <row r="1794" spans="1:16" ht="9.75" customHeight="1">
      <c r="A1794" s="18"/>
      <c r="B1794" s="18" t="s">
        <v>287</v>
      </c>
      <c r="C1794" s="18">
        <v>2</v>
      </c>
      <c r="D1794" s="178">
        <v>0</v>
      </c>
      <c r="E1794" s="2">
        <v>0</v>
      </c>
      <c r="F1794" s="2">
        <v>0</v>
      </c>
      <c r="G1794" s="2">
        <v>0</v>
      </c>
      <c r="H1794" s="2">
        <v>0</v>
      </c>
      <c r="I1794" s="116">
        <v>0</v>
      </c>
      <c r="J1794" s="116">
        <v>0</v>
      </c>
      <c r="K1794" s="116">
        <v>0</v>
      </c>
      <c r="L1794" s="116">
        <v>0</v>
      </c>
      <c r="M1794" s="147">
        <v>0</v>
      </c>
      <c r="N1794" s="26">
        <f t="shared" si="337"/>
        <v>0</v>
      </c>
      <c r="O1794" s="2">
        <f t="shared" si="338"/>
        <v>2</v>
      </c>
      <c r="P1794" s="24">
        <f t="shared" si="339"/>
        <v>1</v>
      </c>
    </row>
    <row r="1795" spans="1:16" ht="9.75" customHeight="1">
      <c r="A1795" s="18"/>
      <c r="B1795" s="18" t="s">
        <v>288</v>
      </c>
      <c r="C1795" s="18">
        <v>12</v>
      </c>
      <c r="D1795" s="178">
        <v>2</v>
      </c>
      <c r="E1795" s="2">
        <v>2</v>
      </c>
      <c r="F1795" s="2">
        <v>2</v>
      </c>
      <c r="G1795" s="2">
        <v>2</v>
      </c>
      <c r="H1795" s="2">
        <v>2</v>
      </c>
      <c r="I1795" s="116">
        <v>0</v>
      </c>
      <c r="J1795" s="116">
        <v>2</v>
      </c>
      <c r="K1795" s="116">
        <v>3</v>
      </c>
      <c r="L1795" s="116">
        <v>2</v>
      </c>
      <c r="M1795" s="147">
        <v>2</v>
      </c>
      <c r="N1795" s="26">
        <f t="shared" si="337"/>
        <v>0</v>
      </c>
      <c r="O1795" s="2">
        <f t="shared" si="338"/>
        <v>12</v>
      </c>
      <c r="P1795" s="24">
        <f t="shared" si="339"/>
        <v>1</v>
      </c>
    </row>
    <row r="1796" spans="1:16" ht="9.75" customHeight="1">
      <c r="A1796" s="18"/>
      <c r="B1796" s="18" t="s">
        <v>102</v>
      </c>
      <c r="C1796" s="18">
        <v>2</v>
      </c>
      <c r="D1796" s="178">
        <v>1</v>
      </c>
      <c r="E1796" s="2">
        <v>1</v>
      </c>
      <c r="F1796" s="2">
        <v>1</v>
      </c>
      <c r="G1796" s="2">
        <v>0</v>
      </c>
      <c r="H1796" s="2">
        <v>0</v>
      </c>
      <c r="I1796" s="116">
        <v>0</v>
      </c>
      <c r="J1796" s="116">
        <v>0</v>
      </c>
      <c r="K1796" s="116">
        <v>0</v>
      </c>
      <c r="L1796" s="116">
        <v>0</v>
      </c>
      <c r="M1796" s="147">
        <v>0</v>
      </c>
      <c r="N1796" s="26">
        <f t="shared" si="337"/>
        <v>0</v>
      </c>
      <c r="O1796" s="2">
        <f t="shared" si="338"/>
        <v>2</v>
      </c>
      <c r="P1796" s="24">
        <f t="shared" si="339"/>
        <v>1</v>
      </c>
    </row>
    <row r="1797" spans="1:16" ht="9.75" customHeight="1">
      <c r="A1797" s="18"/>
      <c r="B1797" s="18" t="s">
        <v>34</v>
      </c>
      <c r="C1797" s="18">
        <v>9</v>
      </c>
      <c r="D1797" s="178">
        <v>0</v>
      </c>
      <c r="E1797" s="2">
        <v>0</v>
      </c>
      <c r="F1797" s="2">
        <v>0</v>
      </c>
      <c r="G1797" s="2">
        <v>0</v>
      </c>
      <c r="H1797" s="2">
        <v>0</v>
      </c>
      <c r="I1797" s="116">
        <v>2</v>
      </c>
      <c r="J1797" s="116">
        <v>3</v>
      </c>
      <c r="K1797" s="116">
        <v>3</v>
      </c>
      <c r="L1797" s="116">
        <v>3</v>
      </c>
      <c r="M1797" s="147">
        <v>3</v>
      </c>
      <c r="N1797" s="26">
        <f t="shared" si="337"/>
        <v>0</v>
      </c>
      <c r="O1797" s="2">
        <f t="shared" si="338"/>
        <v>9</v>
      </c>
      <c r="P1797" s="24">
        <f t="shared" si="339"/>
        <v>1</v>
      </c>
    </row>
    <row r="1798" spans="1:16" ht="9.75" customHeight="1">
      <c r="A1798" s="18"/>
      <c r="B1798" s="18" t="s">
        <v>35</v>
      </c>
      <c r="C1798" s="18">
        <v>133</v>
      </c>
      <c r="D1798" s="178">
        <f>C1798-67</f>
        <v>66</v>
      </c>
      <c r="E1798" s="2">
        <f>C1798-69</f>
        <v>64</v>
      </c>
      <c r="F1798" s="2">
        <f>C1798-63</f>
        <v>70</v>
      </c>
      <c r="G1798" s="2">
        <f>C1798-81</f>
        <v>52</v>
      </c>
      <c r="H1798" s="2">
        <f>C1798-82</f>
        <v>51</v>
      </c>
      <c r="I1798" s="116">
        <v>60</v>
      </c>
      <c r="J1798" s="116">
        <v>66</v>
      </c>
      <c r="K1798" s="116">
        <v>71</v>
      </c>
      <c r="L1798" s="116">
        <v>50</v>
      </c>
      <c r="M1798" s="147">
        <v>50</v>
      </c>
      <c r="N1798" s="26">
        <f t="shared" si="337"/>
        <v>50</v>
      </c>
      <c r="O1798" s="2">
        <f t="shared" si="338"/>
        <v>83</v>
      </c>
      <c r="P1798" s="24">
        <f t="shared" si="339"/>
        <v>0.62406015037593987</v>
      </c>
    </row>
    <row r="1799" spans="1:16" ht="9.75" customHeight="1">
      <c r="A1799" s="18"/>
      <c r="B1799" s="18" t="s">
        <v>36</v>
      </c>
      <c r="C1799" s="18">
        <v>8</v>
      </c>
      <c r="D1799" s="178">
        <v>1</v>
      </c>
      <c r="E1799" s="2">
        <v>1</v>
      </c>
      <c r="F1799" s="2">
        <v>1</v>
      </c>
      <c r="G1799" s="2">
        <v>1</v>
      </c>
      <c r="H1799" s="2">
        <v>1</v>
      </c>
      <c r="I1799" s="116">
        <v>0</v>
      </c>
      <c r="J1799" s="116">
        <v>1</v>
      </c>
      <c r="K1799" s="116">
        <v>1</v>
      </c>
      <c r="L1799" s="116">
        <v>1</v>
      </c>
      <c r="M1799" s="116">
        <v>1</v>
      </c>
      <c r="N1799" s="26">
        <f t="shared" si="337"/>
        <v>0</v>
      </c>
      <c r="O1799" s="2">
        <f t="shared" si="338"/>
        <v>8</v>
      </c>
      <c r="P1799" s="24">
        <f t="shared" si="339"/>
        <v>1</v>
      </c>
    </row>
    <row r="1800" spans="1:16" ht="9.75" customHeight="1">
      <c r="A1800" s="18"/>
      <c r="B1800" s="18" t="s">
        <v>37</v>
      </c>
      <c r="C1800" s="18">
        <v>8</v>
      </c>
      <c r="D1800" s="178">
        <v>1</v>
      </c>
      <c r="E1800" s="2">
        <v>2</v>
      </c>
      <c r="F1800" s="2">
        <v>1</v>
      </c>
      <c r="G1800" s="2">
        <v>3</v>
      </c>
      <c r="H1800" s="2">
        <v>2</v>
      </c>
      <c r="I1800" s="116">
        <v>2</v>
      </c>
      <c r="J1800" s="116">
        <v>2</v>
      </c>
      <c r="K1800" s="116">
        <v>3</v>
      </c>
      <c r="L1800" s="116">
        <v>3</v>
      </c>
      <c r="M1800" s="147">
        <v>2</v>
      </c>
      <c r="N1800" s="26">
        <f t="shared" si="337"/>
        <v>1</v>
      </c>
      <c r="O1800" s="2">
        <f t="shared" si="338"/>
        <v>7</v>
      </c>
      <c r="P1800" s="24">
        <f t="shared" si="339"/>
        <v>0.875</v>
      </c>
    </row>
    <row r="1801" spans="1:16" ht="9.75" customHeight="1">
      <c r="A1801" s="18"/>
      <c r="B1801" s="33" t="s">
        <v>38</v>
      </c>
      <c r="C1801" s="33">
        <f t="shared" ref="C1801:M1801" si="340">SUM(C1785:C1800)</f>
        <v>246</v>
      </c>
      <c r="D1801" s="70">
        <f t="shared" si="340"/>
        <v>99</v>
      </c>
      <c r="E1801" s="71">
        <f t="shared" si="340"/>
        <v>96</v>
      </c>
      <c r="F1801" s="71">
        <f t="shared" si="340"/>
        <v>99</v>
      </c>
      <c r="G1801" s="71">
        <f t="shared" si="340"/>
        <v>79</v>
      </c>
      <c r="H1801" s="71">
        <f t="shared" si="340"/>
        <v>79</v>
      </c>
      <c r="I1801" s="71">
        <f t="shared" si="340"/>
        <v>93</v>
      </c>
      <c r="J1801" s="71">
        <f t="shared" si="340"/>
        <v>105</v>
      </c>
      <c r="K1801" s="71">
        <f t="shared" si="340"/>
        <v>115</v>
      </c>
      <c r="L1801" s="71">
        <f t="shared" si="340"/>
        <v>99</v>
      </c>
      <c r="M1801" s="93">
        <f t="shared" si="340"/>
        <v>101</v>
      </c>
      <c r="N1801" s="70">
        <f t="shared" si="337"/>
        <v>79</v>
      </c>
      <c r="O1801" s="71">
        <f t="shared" si="338"/>
        <v>167</v>
      </c>
      <c r="P1801" s="40">
        <f t="shared" si="339"/>
        <v>0.67886178861788615</v>
      </c>
    </row>
    <row r="1802" spans="1:16" ht="9.75" customHeight="1">
      <c r="A1802" s="72" t="s">
        <v>289</v>
      </c>
      <c r="B1802" s="66" t="s">
        <v>23</v>
      </c>
      <c r="C1802" s="66"/>
      <c r="D1802" s="181"/>
      <c r="E1802" s="72"/>
      <c r="F1802" s="72"/>
      <c r="G1802" s="72"/>
      <c r="H1802" s="72"/>
      <c r="I1802" s="72"/>
      <c r="J1802" s="72"/>
      <c r="K1802" s="72"/>
      <c r="L1802" s="72"/>
      <c r="M1802" s="73"/>
      <c r="N1802" s="41"/>
      <c r="O1802" s="72"/>
      <c r="P1802" s="99"/>
    </row>
    <row r="1803" spans="1:16" ht="9.75" customHeight="1">
      <c r="A1803" s="18"/>
      <c r="B1803" s="18" t="s">
        <v>25</v>
      </c>
      <c r="C1803" s="18"/>
      <c r="D1803" s="178"/>
      <c r="E1803" s="182"/>
      <c r="F1803" s="182"/>
      <c r="G1803" s="182"/>
      <c r="H1803" s="182"/>
      <c r="I1803" s="182"/>
      <c r="J1803" s="182"/>
      <c r="K1803" s="182"/>
      <c r="L1803" s="182"/>
      <c r="M1803" s="182"/>
      <c r="N1803" s="26"/>
      <c r="O1803" s="2"/>
      <c r="P1803" s="24"/>
    </row>
    <row r="1804" spans="1:16" ht="9.75" customHeight="1">
      <c r="A1804" s="18"/>
      <c r="B1804" s="18" t="s">
        <v>27</v>
      </c>
      <c r="C1804" s="18"/>
      <c r="D1804" s="178"/>
      <c r="E1804" s="2"/>
      <c r="F1804" s="2"/>
      <c r="G1804" s="2"/>
      <c r="H1804" s="2"/>
      <c r="I1804" s="2"/>
      <c r="J1804" s="2"/>
      <c r="K1804" s="2"/>
      <c r="L1804" s="2"/>
      <c r="M1804" s="27"/>
      <c r="N1804" s="26"/>
      <c r="O1804" s="2"/>
      <c r="P1804" s="24"/>
    </row>
    <row r="1805" spans="1:16" ht="9.75" customHeight="1">
      <c r="A1805" s="18"/>
      <c r="B1805" s="18" t="s">
        <v>99</v>
      </c>
      <c r="C1805" s="18"/>
      <c r="D1805" s="178"/>
      <c r="E1805" s="2"/>
      <c r="F1805" s="2"/>
      <c r="G1805" s="2"/>
      <c r="H1805" s="2"/>
      <c r="I1805" s="2"/>
      <c r="J1805" s="2"/>
      <c r="K1805" s="2"/>
      <c r="L1805" s="2"/>
      <c r="M1805" s="27"/>
      <c r="N1805" s="26"/>
      <c r="O1805" s="2"/>
      <c r="P1805" s="24"/>
    </row>
    <row r="1806" spans="1:16" ht="9.75" customHeight="1">
      <c r="A1806" s="18"/>
      <c r="B1806" s="18" t="s">
        <v>99</v>
      </c>
      <c r="C1806" s="18"/>
      <c r="D1806" s="178"/>
      <c r="E1806" s="2"/>
      <c r="F1806" s="2"/>
      <c r="G1806" s="2"/>
      <c r="H1806" s="2"/>
      <c r="I1806" s="2"/>
      <c r="J1806" s="2"/>
      <c r="K1806" s="2"/>
      <c r="L1806" s="2"/>
      <c r="M1806" s="27"/>
      <c r="N1806" s="26"/>
      <c r="O1806" s="2"/>
      <c r="P1806" s="24"/>
    </row>
    <row r="1807" spans="1:16" ht="9.75" customHeight="1">
      <c r="A1807" s="18"/>
      <c r="B1807" s="18" t="s">
        <v>32</v>
      </c>
      <c r="C1807" s="26"/>
      <c r="D1807" s="178"/>
      <c r="E1807" s="2"/>
      <c r="F1807" s="2"/>
      <c r="G1807" s="2"/>
      <c r="H1807" s="2"/>
      <c r="I1807" s="2"/>
      <c r="J1807" s="2"/>
      <c r="K1807" s="2"/>
      <c r="L1807" s="2"/>
      <c r="M1807" s="27"/>
      <c r="N1807" s="2"/>
      <c r="O1807" s="2"/>
      <c r="P1807" s="24"/>
    </row>
    <row r="1808" spans="1:16" ht="9.75" customHeight="1">
      <c r="A1808" s="18"/>
      <c r="B1808" s="18" t="s">
        <v>104</v>
      </c>
      <c r="C1808" s="18"/>
      <c r="D1808" s="178"/>
      <c r="E1808" s="2"/>
      <c r="F1808" s="2"/>
      <c r="G1808" s="2"/>
      <c r="H1808" s="2"/>
      <c r="I1808" s="2"/>
      <c r="J1808" s="2"/>
      <c r="K1808" s="2"/>
      <c r="L1808" s="2"/>
      <c r="M1808" s="27"/>
      <c r="N1808" s="26"/>
      <c r="O1808" s="2"/>
      <c r="P1808" s="24"/>
    </row>
    <row r="1809" spans="1:16" ht="9.75" customHeight="1">
      <c r="A1809" s="18"/>
      <c r="B1809" s="18" t="s">
        <v>104</v>
      </c>
      <c r="C1809" s="18"/>
      <c r="D1809" s="178"/>
      <c r="E1809" s="2"/>
      <c r="F1809" s="2"/>
      <c r="G1809" s="2"/>
      <c r="H1809" s="2"/>
      <c r="I1809" s="2"/>
      <c r="J1809" s="2"/>
      <c r="K1809" s="2"/>
      <c r="L1809" s="2"/>
      <c r="M1809" s="27"/>
      <c r="N1809" s="26"/>
      <c r="O1809" s="2"/>
      <c r="P1809" s="24"/>
    </row>
    <row r="1810" spans="1:16" ht="9.75" customHeight="1">
      <c r="A1810" s="18"/>
      <c r="B1810" s="18" t="s">
        <v>104</v>
      </c>
      <c r="C1810" s="18"/>
      <c r="D1810" s="178"/>
      <c r="E1810" s="2"/>
      <c r="F1810" s="2"/>
      <c r="G1810" s="2"/>
      <c r="H1810" s="2"/>
      <c r="I1810" s="2"/>
      <c r="J1810" s="2"/>
      <c r="K1810" s="2"/>
      <c r="L1810" s="2"/>
      <c r="M1810" s="27"/>
      <c r="N1810" s="26"/>
      <c r="O1810" s="2"/>
      <c r="P1810" s="24"/>
    </row>
    <row r="1811" spans="1:16" ht="9.75" customHeight="1">
      <c r="A1811" s="18"/>
      <c r="B1811" s="18" t="s">
        <v>104</v>
      </c>
      <c r="C1811" s="18"/>
      <c r="D1811" s="178"/>
      <c r="E1811" s="2"/>
      <c r="F1811" s="2"/>
      <c r="G1811" s="2"/>
      <c r="H1811" s="2"/>
      <c r="I1811" s="2"/>
      <c r="J1811" s="2"/>
      <c r="K1811" s="2"/>
      <c r="L1811" s="2"/>
      <c r="M1811" s="27"/>
      <c r="N1811" s="26"/>
      <c r="O1811" s="2"/>
      <c r="P1811" s="24"/>
    </row>
    <row r="1812" spans="1:16" ht="9.75" customHeight="1">
      <c r="A1812" s="18"/>
      <c r="B1812" s="18" t="s">
        <v>104</v>
      </c>
      <c r="C1812" s="18"/>
      <c r="D1812" s="178"/>
      <c r="E1812" s="2"/>
      <c r="F1812" s="2"/>
      <c r="G1812" s="2"/>
      <c r="H1812" s="2"/>
      <c r="I1812" s="2"/>
      <c r="J1812" s="2"/>
      <c r="K1812" s="2"/>
      <c r="L1812" s="2"/>
      <c r="M1812" s="27"/>
      <c r="N1812" s="26"/>
      <c r="O1812" s="2"/>
      <c r="P1812" s="24"/>
    </row>
    <row r="1813" spans="1:16" ht="9.75" customHeight="1">
      <c r="A1813" s="18"/>
      <c r="B1813" s="18" t="s">
        <v>104</v>
      </c>
      <c r="C1813" s="18"/>
      <c r="D1813" s="178"/>
      <c r="E1813" s="2"/>
      <c r="F1813" s="2"/>
      <c r="G1813" s="2"/>
      <c r="H1813" s="2"/>
      <c r="I1813" s="2"/>
      <c r="J1813" s="2"/>
      <c r="K1813" s="2"/>
      <c r="L1813" s="2"/>
      <c r="M1813" s="27"/>
      <c r="N1813" s="26"/>
      <c r="O1813" s="2"/>
      <c r="P1813" s="24"/>
    </row>
    <row r="1814" spans="1:16" ht="9.75" customHeight="1">
      <c r="A1814" s="18"/>
      <c r="B1814" s="18" t="s">
        <v>34</v>
      </c>
      <c r="C1814" s="18">
        <v>5</v>
      </c>
      <c r="D1814" s="178">
        <v>4</v>
      </c>
      <c r="E1814" s="2">
        <v>4</v>
      </c>
      <c r="F1814" s="2">
        <v>4</v>
      </c>
      <c r="G1814" s="2">
        <v>4</v>
      </c>
      <c r="H1814" s="2">
        <v>4</v>
      </c>
      <c r="I1814" s="116">
        <v>4</v>
      </c>
      <c r="J1814" s="116">
        <v>4</v>
      </c>
      <c r="K1814" s="116">
        <v>4</v>
      </c>
      <c r="L1814" s="116">
        <v>4</v>
      </c>
      <c r="M1814" s="147">
        <v>4</v>
      </c>
      <c r="N1814" s="26">
        <f>MIN(D1814:M1814)</f>
        <v>4</v>
      </c>
      <c r="O1814" s="2">
        <f>C1814-N1814</f>
        <v>1</v>
      </c>
      <c r="P1814" s="24">
        <f>O1814/C1814</f>
        <v>0.2</v>
      </c>
    </row>
    <row r="1815" spans="1:16" ht="9.75" customHeight="1">
      <c r="A1815" s="18"/>
      <c r="B1815" s="18" t="s">
        <v>35</v>
      </c>
      <c r="C1815" s="18"/>
      <c r="D1815" s="178"/>
      <c r="E1815" s="2"/>
      <c r="F1815" s="2"/>
      <c r="G1815" s="2"/>
      <c r="H1815" s="2"/>
      <c r="I1815" s="2"/>
      <c r="J1815" s="2"/>
      <c r="K1815" s="2"/>
      <c r="L1815" s="2"/>
      <c r="M1815" s="27"/>
      <c r="N1815" s="26"/>
      <c r="O1815" s="2"/>
      <c r="P1815" s="24"/>
    </row>
    <row r="1816" spans="1:16" ht="9.75" customHeight="1">
      <c r="A1816" s="18"/>
      <c r="B1816" s="18" t="s">
        <v>36</v>
      </c>
      <c r="C1816" s="18"/>
      <c r="D1816" s="178"/>
      <c r="E1816" s="2"/>
      <c r="F1816" s="2"/>
      <c r="G1816" s="2"/>
      <c r="H1816" s="2"/>
      <c r="I1816" s="2"/>
      <c r="J1816" s="2"/>
      <c r="K1816" s="2"/>
      <c r="L1816" s="2"/>
      <c r="M1816" s="27"/>
      <c r="N1816" s="26"/>
      <c r="O1816" s="2"/>
      <c r="P1816" s="24"/>
    </row>
    <row r="1817" spans="1:16" ht="9.75" customHeight="1">
      <c r="A1817" s="18"/>
      <c r="B1817" s="18" t="s">
        <v>37</v>
      </c>
      <c r="C1817" s="18"/>
      <c r="D1817" s="178"/>
      <c r="E1817" s="2"/>
      <c r="F1817" s="2"/>
      <c r="G1817" s="2"/>
      <c r="H1817" s="2"/>
      <c r="I1817" s="2"/>
      <c r="J1817" s="2"/>
      <c r="K1817" s="2"/>
      <c r="L1817" s="2"/>
      <c r="M1817" s="27"/>
      <c r="N1817" s="26"/>
      <c r="O1817" s="2"/>
      <c r="P1817" s="24"/>
    </row>
    <row r="1818" spans="1:16" ht="9.75" customHeight="1">
      <c r="A1818" s="32"/>
      <c r="B1818" s="33" t="s">
        <v>38</v>
      </c>
      <c r="C1818" s="33">
        <f t="shared" ref="C1818:M1818" si="341">SUM(C1802:C1817)</f>
        <v>5</v>
      </c>
      <c r="D1818" s="70">
        <f t="shared" si="341"/>
        <v>4</v>
      </c>
      <c r="E1818" s="71">
        <f t="shared" si="341"/>
        <v>4</v>
      </c>
      <c r="F1818" s="71">
        <f t="shared" si="341"/>
        <v>4</v>
      </c>
      <c r="G1818" s="71">
        <f t="shared" si="341"/>
        <v>4</v>
      </c>
      <c r="H1818" s="71">
        <f t="shared" si="341"/>
        <v>4</v>
      </c>
      <c r="I1818" s="71">
        <f t="shared" si="341"/>
        <v>4</v>
      </c>
      <c r="J1818" s="71">
        <f t="shared" si="341"/>
        <v>4</v>
      </c>
      <c r="K1818" s="71">
        <f t="shared" si="341"/>
        <v>4</v>
      </c>
      <c r="L1818" s="71">
        <f t="shared" si="341"/>
        <v>4</v>
      </c>
      <c r="M1818" s="93">
        <f t="shared" si="341"/>
        <v>4</v>
      </c>
      <c r="N1818" s="70">
        <f>MIN(D1818:M1818)</f>
        <v>4</v>
      </c>
      <c r="O1818" s="71">
        <f>C1818-N1818</f>
        <v>1</v>
      </c>
      <c r="P1818" s="40">
        <f>O1818/C1818</f>
        <v>0.2</v>
      </c>
    </row>
    <row r="1819" spans="1:16" ht="9.75" customHeight="1">
      <c r="A1819" s="66" t="s">
        <v>290</v>
      </c>
      <c r="B1819" s="66" t="s">
        <v>23</v>
      </c>
      <c r="C1819" s="66"/>
      <c r="D1819" s="181"/>
      <c r="E1819" s="72"/>
      <c r="F1819" s="72"/>
      <c r="G1819" s="72"/>
      <c r="H1819" s="72"/>
      <c r="I1819" s="72"/>
      <c r="J1819" s="72"/>
      <c r="K1819" s="72"/>
      <c r="L1819" s="72"/>
      <c r="M1819" s="73"/>
      <c r="N1819" s="41"/>
      <c r="O1819" s="72"/>
      <c r="P1819" s="99"/>
    </row>
    <row r="1820" spans="1:16" ht="9.75" customHeight="1">
      <c r="A1820" s="18"/>
      <c r="B1820" s="18" t="s">
        <v>25</v>
      </c>
      <c r="C1820" s="18"/>
      <c r="D1820" s="178"/>
      <c r="E1820" s="2"/>
      <c r="F1820" s="2"/>
      <c r="G1820" s="2"/>
      <c r="H1820" s="2"/>
      <c r="I1820" s="2"/>
      <c r="J1820" s="2"/>
      <c r="K1820" s="2"/>
      <c r="L1820" s="2"/>
      <c r="M1820" s="27"/>
      <c r="N1820" s="26"/>
      <c r="O1820" s="2"/>
      <c r="P1820" s="24"/>
    </row>
    <row r="1821" spans="1:16" ht="9.75" customHeight="1">
      <c r="A1821" s="18"/>
      <c r="B1821" s="18" t="s">
        <v>27</v>
      </c>
      <c r="C1821" s="18"/>
      <c r="D1821" s="178"/>
      <c r="E1821" s="2"/>
      <c r="F1821" s="2"/>
      <c r="G1821" s="2"/>
      <c r="H1821" s="2"/>
      <c r="I1821" s="2"/>
      <c r="J1821" s="2"/>
      <c r="K1821" s="2"/>
      <c r="L1821" s="2"/>
      <c r="M1821" s="27"/>
      <c r="N1821" s="26"/>
      <c r="O1821" s="2"/>
      <c r="P1821" s="24"/>
    </row>
    <row r="1822" spans="1:16" ht="9.75" customHeight="1">
      <c r="A1822" s="18"/>
      <c r="B1822" s="18" t="s">
        <v>99</v>
      </c>
      <c r="C1822" s="18"/>
      <c r="D1822" s="178"/>
      <c r="E1822" s="2"/>
      <c r="F1822" s="2"/>
      <c r="G1822" s="2"/>
      <c r="H1822" s="2"/>
      <c r="I1822" s="2"/>
      <c r="J1822" s="2"/>
      <c r="K1822" s="2"/>
      <c r="L1822" s="2"/>
      <c r="M1822" s="27"/>
      <c r="N1822" s="26"/>
      <c r="O1822" s="2"/>
      <c r="P1822" s="24"/>
    </row>
    <row r="1823" spans="1:16" ht="9.75" customHeight="1">
      <c r="A1823" s="18"/>
      <c r="B1823" s="18" t="s">
        <v>99</v>
      </c>
      <c r="C1823" s="18"/>
      <c r="D1823" s="178"/>
      <c r="E1823" s="2"/>
      <c r="F1823" s="2"/>
      <c r="G1823" s="2"/>
      <c r="H1823" s="2"/>
      <c r="I1823" s="2"/>
      <c r="J1823" s="2"/>
      <c r="K1823" s="2"/>
      <c r="L1823" s="2"/>
      <c r="M1823" s="27"/>
      <c r="N1823" s="26"/>
      <c r="O1823" s="2"/>
      <c r="P1823" s="24"/>
    </row>
    <row r="1824" spans="1:16" ht="9.75" customHeight="1">
      <c r="A1824" s="18"/>
      <c r="B1824" s="18" t="s">
        <v>32</v>
      </c>
      <c r="C1824" s="18">
        <v>1</v>
      </c>
      <c r="D1824" s="178">
        <v>1</v>
      </c>
      <c r="E1824" s="2">
        <v>1</v>
      </c>
      <c r="F1824" s="2">
        <v>1</v>
      </c>
      <c r="G1824" s="2">
        <v>1</v>
      </c>
      <c r="H1824" s="2">
        <v>1</v>
      </c>
      <c r="I1824" s="116">
        <v>1</v>
      </c>
      <c r="J1824" s="116">
        <v>1</v>
      </c>
      <c r="K1824" s="116">
        <v>1</v>
      </c>
      <c r="L1824" s="116">
        <v>1</v>
      </c>
      <c r="M1824" s="147">
        <v>1</v>
      </c>
      <c r="N1824" s="26">
        <f>MIN(D1824:M1824)</f>
        <v>1</v>
      </c>
      <c r="O1824" s="2">
        <f>C1824-N1824</f>
        <v>0</v>
      </c>
      <c r="P1824" s="24">
        <f>O1824/C1824</f>
        <v>0</v>
      </c>
    </row>
    <row r="1825" spans="1:16" ht="9.75" customHeight="1">
      <c r="A1825" s="18"/>
      <c r="B1825" s="18" t="s">
        <v>104</v>
      </c>
      <c r="C1825" s="18"/>
      <c r="D1825" s="178"/>
      <c r="E1825" s="2"/>
      <c r="F1825" s="2"/>
      <c r="G1825" s="2"/>
      <c r="H1825" s="2"/>
      <c r="I1825" s="2"/>
      <c r="J1825" s="2"/>
      <c r="K1825" s="2"/>
      <c r="L1825" s="2"/>
      <c r="M1825" s="27"/>
      <c r="N1825" s="26"/>
      <c r="O1825" s="2"/>
      <c r="P1825" s="24"/>
    </row>
    <row r="1826" spans="1:16" ht="9.75" customHeight="1">
      <c r="A1826" s="18"/>
      <c r="B1826" s="18" t="s">
        <v>104</v>
      </c>
      <c r="C1826" s="18"/>
      <c r="D1826" s="178"/>
      <c r="E1826" s="2"/>
      <c r="F1826" s="2"/>
      <c r="G1826" s="2"/>
      <c r="H1826" s="2"/>
      <c r="I1826" s="2"/>
      <c r="J1826" s="2"/>
      <c r="K1826" s="2"/>
      <c r="L1826" s="2"/>
      <c r="M1826" s="27"/>
      <c r="N1826" s="26"/>
      <c r="O1826" s="2"/>
      <c r="P1826" s="24"/>
    </row>
    <row r="1827" spans="1:16" ht="9.75" customHeight="1">
      <c r="A1827" s="18"/>
      <c r="B1827" s="18" t="s">
        <v>104</v>
      </c>
      <c r="C1827" s="18"/>
      <c r="D1827" s="178"/>
      <c r="E1827" s="2"/>
      <c r="F1827" s="2"/>
      <c r="G1827" s="2"/>
      <c r="H1827" s="2"/>
      <c r="I1827" s="2"/>
      <c r="J1827" s="2"/>
      <c r="K1827" s="2"/>
      <c r="L1827" s="2"/>
      <c r="M1827" s="27"/>
      <c r="N1827" s="26"/>
      <c r="O1827" s="2"/>
      <c r="P1827" s="24"/>
    </row>
    <row r="1828" spans="1:16" ht="9.75" customHeight="1">
      <c r="A1828" s="18"/>
      <c r="B1828" s="18" t="s">
        <v>104</v>
      </c>
      <c r="C1828" s="18"/>
      <c r="D1828" s="178"/>
      <c r="E1828" s="2"/>
      <c r="F1828" s="2"/>
      <c r="G1828" s="2"/>
      <c r="H1828" s="2"/>
      <c r="I1828" s="2"/>
      <c r="J1828" s="2"/>
      <c r="K1828" s="2"/>
      <c r="L1828" s="2"/>
      <c r="M1828" s="27"/>
      <c r="N1828" s="26"/>
      <c r="O1828" s="2"/>
      <c r="P1828" s="24"/>
    </row>
    <row r="1829" spans="1:16" ht="9.75" customHeight="1">
      <c r="A1829" s="18"/>
      <c r="B1829" s="18" t="s">
        <v>104</v>
      </c>
      <c r="C1829" s="18"/>
      <c r="D1829" s="178"/>
      <c r="E1829" s="2"/>
      <c r="F1829" s="2"/>
      <c r="G1829" s="2"/>
      <c r="H1829" s="2"/>
      <c r="I1829" s="2"/>
      <c r="J1829" s="2"/>
      <c r="K1829" s="2"/>
      <c r="L1829" s="2"/>
      <c r="M1829" s="27"/>
      <c r="N1829" s="26"/>
      <c r="O1829" s="2"/>
      <c r="P1829" s="24"/>
    </row>
    <row r="1830" spans="1:16" ht="9.75" customHeight="1">
      <c r="A1830" s="18"/>
      <c r="B1830" s="18" t="s">
        <v>104</v>
      </c>
      <c r="C1830" s="18"/>
      <c r="D1830" s="178"/>
      <c r="E1830" s="2"/>
      <c r="F1830" s="2"/>
      <c r="G1830" s="2"/>
      <c r="H1830" s="2"/>
      <c r="I1830" s="2"/>
      <c r="J1830" s="2"/>
      <c r="K1830" s="2"/>
      <c r="L1830" s="2"/>
      <c r="M1830" s="27"/>
      <c r="N1830" s="26"/>
      <c r="O1830" s="2"/>
      <c r="P1830" s="24"/>
    </row>
    <row r="1831" spans="1:16" ht="9.75" customHeight="1">
      <c r="A1831" s="18"/>
      <c r="B1831" s="18" t="s">
        <v>34</v>
      </c>
      <c r="C1831" s="18"/>
      <c r="D1831" s="178"/>
      <c r="E1831" s="2"/>
      <c r="F1831" s="2"/>
      <c r="G1831" s="2"/>
      <c r="H1831" s="2"/>
      <c r="I1831" s="2"/>
      <c r="J1831" s="2"/>
      <c r="K1831" s="2"/>
      <c r="L1831" s="2"/>
      <c r="M1831" s="27"/>
      <c r="N1831" s="26"/>
      <c r="O1831" s="2"/>
      <c r="P1831" s="24"/>
    </row>
    <row r="1832" spans="1:16" ht="9.75" customHeight="1">
      <c r="A1832" s="18"/>
      <c r="B1832" s="18" t="s">
        <v>35</v>
      </c>
      <c r="C1832" s="18"/>
      <c r="D1832" s="178"/>
      <c r="E1832" s="2"/>
      <c r="F1832" s="2"/>
      <c r="G1832" s="2"/>
      <c r="H1832" s="2"/>
      <c r="I1832" s="2"/>
      <c r="J1832" s="2"/>
      <c r="K1832" s="2"/>
      <c r="L1832" s="2"/>
      <c r="M1832" s="27"/>
      <c r="N1832" s="26"/>
      <c r="O1832" s="2"/>
      <c r="P1832" s="24"/>
    </row>
    <row r="1833" spans="1:16" ht="9.75" customHeight="1">
      <c r="A1833" s="18"/>
      <c r="B1833" s="18" t="s">
        <v>36</v>
      </c>
      <c r="C1833" s="18">
        <v>4</v>
      </c>
      <c r="D1833" s="178">
        <v>4</v>
      </c>
      <c r="E1833" s="2">
        <v>3</v>
      </c>
      <c r="F1833" s="2">
        <v>3</v>
      </c>
      <c r="G1833" s="2">
        <v>2</v>
      </c>
      <c r="H1833" s="2">
        <v>2</v>
      </c>
      <c r="I1833" s="116">
        <v>1</v>
      </c>
      <c r="J1833" s="116">
        <v>2</v>
      </c>
      <c r="K1833" s="116">
        <v>2</v>
      </c>
      <c r="L1833" s="116">
        <v>2</v>
      </c>
      <c r="M1833" s="147">
        <v>2</v>
      </c>
      <c r="N1833" s="26">
        <f>MIN(D1833:M1833)</f>
        <v>1</v>
      </c>
      <c r="O1833" s="2">
        <f>C1833-N1833</f>
        <v>3</v>
      </c>
      <c r="P1833" s="24">
        <f>O1833/C1833</f>
        <v>0.75</v>
      </c>
    </row>
    <row r="1834" spans="1:16" ht="9.75" customHeight="1">
      <c r="A1834" s="18"/>
      <c r="B1834" s="18" t="s">
        <v>291</v>
      </c>
      <c r="C1834" s="18"/>
      <c r="D1834" s="178"/>
      <c r="E1834" s="2"/>
      <c r="F1834" s="2"/>
      <c r="G1834" s="2"/>
      <c r="H1834" s="2"/>
      <c r="I1834" s="2"/>
      <c r="J1834" s="2"/>
      <c r="K1834" s="2"/>
      <c r="L1834" s="2"/>
      <c r="M1834" s="27"/>
      <c r="N1834" s="26"/>
      <c r="O1834" s="2"/>
      <c r="P1834" s="24"/>
    </row>
    <row r="1835" spans="1:16" ht="9.75" customHeight="1">
      <c r="A1835" s="32"/>
      <c r="B1835" s="33" t="s">
        <v>38</v>
      </c>
      <c r="C1835" s="33">
        <f t="shared" ref="C1835:M1835" si="342">SUM(C1819:C1834)</f>
        <v>5</v>
      </c>
      <c r="D1835" s="70">
        <f t="shared" si="342"/>
        <v>5</v>
      </c>
      <c r="E1835" s="71">
        <f t="shared" si="342"/>
        <v>4</v>
      </c>
      <c r="F1835" s="71">
        <f t="shared" si="342"/>
        <v>4</v>
      </c>
      <c r="G1835" s="71">
        <f t="shared" si="342"/>
        <v>3</v>
      </c>
      <c r="H1835" s="71">
        <f t="shared" si="342"/>
        <v>3</v>
      </c>
      <c r="I1835" s="71">
        <f t="shared" si="342"/>
        <v>2</v>
      </c>
      <c r="J1835" s="71">
        <f t="shared" si="342"/>
        <v>3</v>
      </c>
      <c r="K1835" s="71">
        <f t="shared" si="342"/>
        <v>3</v>
      </c>
      <c r="L1835" s="71">
        <f t="shared" si="342"/>
        <v>3</v>
      </c>
      <c r="M1835" s="93">
        <f t="shared" si="342"/>
        <v>3</v>
      </c>
      <c r="N1835" s="70">
        <f t="shared" ref="N1835:N1837" si="343">MIN(D1835:M1835)</f>
        <v>2</v>
      </c>
      <c r="O1835" s="71">
        <f t="shared" ref="O1835:O1837" si="344">C1835-N1835</f>
        <v>3</v>
      </c>
      <c r="P1835" s="40">
        <f t="shared" ref="P1835:P1837" si="345">O1835/C1835</f>
        <v>0.6</v>
      </c>
    </row>
    <row r="1836" spans="1:16" ht="9.75" customHeight="1">
      <c r="A1836" s="117" t="s">
        <v>292</v>
      </c>
      <c r="B1836" s="66" t="s">
        <v>23</v>
      </c>
      <c r="C1836" s="18">
        <f>28-14</f>
        <v>14</v>
      </c>
      <c r="D1836" s="178">
        <v>10</v>
      </c>
      <c r="E1836" s="2">
        <v>6</v>
      </c>
      <c r="F1836" s="2">
        <v>7</v>
      </c>
      <c r="G1836" s="2">
        <v>6</v>
      </c>
      <c r="H1836" s="2">
        <v>4</v>
      </c>
      <c r="I1836" s="116">
        <v>2</v>
      </c>
      <c r="J1836" s="116">
        <v>2</v>
      </c>
      <c r="K1836" s="116">
        <v>4</v>
      </c>
      <c r="L1836" s="116">
        <v>5</v>
      </c>
      <c r="M1836" s="147">
        <v>7</v>
      </c>
      <c r="N1836" s="26">
        <f t="shared" si="343"/>
        <v>2</v>
      </c>
      <c r="O1836" s="2">
        <f t="shared" si="344"/>
        <v>12</v>
      </c>
      <c r="P1836" s="24">
        <f t="shared" si="345"/>
        <v>0.8571428571428571</v>
      </c>
    </row>
    <row r="1837" spans="1:16" ht="9.75" customHeight="1">
      <c r="A1837" s="118" t="s">
        <v>293</v>
      </c>
      <c r="B1837" s="18" t="s">
        <v>25</v>
      </c>
      <c r="C1837" s="18">
        <v>93</v>
      </c>
      <c r="D1837" s="178">
        <v>15</v>
      </c>
      <c r="E1837" s="2">
        <v>13</v>
      </c>
      <c r="F1837" s="2">
        <v>13</v>
      </c>
      <c r="G1837" s="2">
        <v>10</v>
      </c>
      <c r="H1837" s="2">
        <v>14</v>
      </c>
      <c r="I1837" s="116">
        <v>14</v>
      </c>
      <c r="J1837" s="116">
        <v>17</v>
      </c>
      <c r="K1837" s="116">
        <v>21</v>
      </c>
      <c r="L1837" s="116">
        <v>30</v>
      </c>
      <c r="M1837" s="147">
        <v>51</v>
      </c>
      <c r="N1837" s="26">
        <f t="shared" si="343"/>
        <v>10</v>
      </c>
      <c r="O1837" s="2">
        <f t="shared" si="344"/>
        <v>83</v>
      </c>
      <c r="P1837" s="24">
        <f t="shared" si="345"/>
        <v>0.89247311827956988</v>
      </c>
    </row>
    <row r="1838" spans="1:16" ht="9.75" customHeight="1">
      <c r="A1838" s="118" t="s">
        <v>294</v>
      </c>
      <c r="B1838" s="18" t="s">
        <v>27</v>
      </c>
      <c r="C1838" s="18"/>
      <c r="D1838" s="178"/>
      <c r="E1838" s="2"/>
      <c r="F1838" s="2"/>
      <c r="G1838" s="2"/>
      <c r="H1838" s="2"/>
      <c r="I1838" s="2"/>
      <c r="J1838" s="2"/>
      <c r="K1838" s="2"/>
      <c r="L1838" s="2"/>
      <c r="M1838" s="27"/>
      <c r="N1838" s="26"/>
      <c r="O1838" s="2"/>
      <c r="P1838" s="24"/>
    </row>
    <row r="1839" spans="1:16" ht="9.75" customHeight="1">
      <c r="A1839" s="118" t="s">
        <v>115</v>
      </c>
      <c r="B1839" s="18" t="s">
        <v>177</v>
      </c>
      <c r="C1839" s="18">
        <v>9</v>
      </c>
      <c r="D1839" s="178">
        <v>8</v>
      </c>
      <c r="E1839" s="2">
        <v>8</v>
      </c>
      <c r="F1839" s="2">
        <v>8</v>
      </c>
      <c r="G1839" s="2">
        <v>8</v>
      </c>
      <c r="H1839" s="2">
        <v>8</v>
      </c>
      <c r="I1839" s="116">
        <v>8</v>
      </c>
      <c r="J1839" s="116">
        <v>8</v>
      </c>
      <c r="K1839" s="116">
        <v>8</v>
      </c>
      <c r="L1839" s="116">
        <v>8</v>
      </c>
      <c r="M1839" s="147">
        <v>8</v>
      </c>
      <c r="N1839" s="26">
        <f>MIN(D1839:M1839)</f>
        <v>8</v>
      </c>
      <c r="O1839" s="2">
        <f>C1839-N1839</f>
        <v>1</v>
      </c>
      <c r="P1839" s="24">
        <f>O1839/C1839</f>
        <v>0.1111111111111111</v>
      </c>
    </row>
    <row r="1840" spans="1:16" ht="9.75" customHeight="1">
      <c r="A1840" s="18"/>
      <c r="B1840" s="18" t="s">
        <v>99</v>
      </c>
      <c r="C1840" s="18"/>
      <c r="D1840" s="178"/>
      <c r="E1840" s="2"/>
      <c r="F1840" s="2"/>
      <c r="G1840" s="2"/>
      <c r="H1840" s="2"/>
      <c r="I1840" s="2"/>
      <c r="J1840" s="2"/>
      <c r="K1840" s="2"/>
      <c r="L1840" s="2"/>
      <c r="M1840" s="27"/>
      <c r="N1840" s="26"/>
      <c r="O1840" s="2"/>
      <c r="P1840" s="24"/>
    </row>
    <row r="1841" spans="1:16" ht="9.75" customHeight="1">
      <c r="A1841" s="18"/>
      <c r="B1841" s="18" t="s">
        <v>32</v>
      </c>
      <c r="C1841" s="18"/>
      <c r="D1841" s="178"/>
      <c r="E1841" s="2"/>
      <c r="F1841" s="2"/>
      <c r="G1841" s="2"/>
      <c r="H1841" s="2"/>
      <c r="I1841" s="2"/>
      <c r="J1841" s="2"/>
      <c r="K1841" s="2"/>
      <c r="L1841" s="2"/>
      <c r="M1841" s="27"/>
      <c r="N1841" s="26"/>
      <c r="O1841" s="2"/>
      <c r="P1841" s="24"/>
    </row>
    <row r="1842" spans="1:16" ht="9.75" customHeight="1">
      <c r="A1842" s="18"/>
      <c r="B1842" s="18" t="s">
        <v>216</v>
      </c>
      <c r="C1842" s="18">
        <v>2</v>
      </c>
      <c r="D1842" s="178">
        <v>2</v>
      </c>
      <c r="E1842" s="2">
        <v>2</v>
      </c>
      <c r="F1842" s="2">
        <v>2</v>
      </c>
      <c r="G1842" s="2">
        <v>2</v>
      </c>
      <c r="H1842" s="2">
        <v>2</v>
      </c>
      <c r="I1842" s="116">
        <v>2</v>
      </c>
      <c r="J1842" s="116">
        <v>2</v>
      </c>
      <c r="K1842" s="116">
        <v>2</v>
      </c>
      <c r="L1842" s="116">
        <v>2</v>
      </c>
      <c r="M1842" s="147">
        <v>2</v>
      </c>
      <c r="N1842" s="26">
        <f>MIN(D1842:M1842)</f>
        <v>2</v>
      </c>
      <c r="O1842" s="2">
        <f>C1842-N1842</f>
        <v>0</v>
      </c>
      <c r="P1842" s="24">
        <f>O1842/C1842</f>
        <v>0</v>
      </c>
    </row>
    <row r="1843" spans="1:16" ht="9.75" customHeight="1">
      <c r="A1843" s="18"/>
      <c r="B1843" s="18" t="s">
        <v>104</v>
      </c>
      <c r="C1843" s="18"/>
      <c r="D1843" s="178"/>
      <c r="E1843" s="2"/>
      <c r="F1843" s="2"/>
      <c r="G1843" s="2"/>
      <c r="H1843" s="2"/>
      <c r="I1843" s="2"/>
      <c r="J1843" s="2"/>
      <c r="K1843" s="2"/>
      <c r="L1843" s="2"/>
      <c r="M1843" s="27"/>
      <c r="N1843" s="26"/>
      <c r="O1843" s="2"/>
      <c r="P1843" s="24"/>
    </row>
    <row r="1844" spans="1:16" ht="9.75" customHeight="1">
      <c r="A1844" s="18"/>
      <c r="B1844" s="18" t="s">
        <v>104</v>
      </c>
      <c r="C1844" s="18"/>
      <c r="D1844" s="178"/>
      <c r="E1844" s="2"/>
      <c r="F1844" s="2"/>
      <c r="G1844" s="2"/>
      <c r="H1844" s="2"/>
      <c r="I1844" s="2"/>
      <c r="J1844" s="2"/>
      <c r="K1844" s="2"/>
      <c r="L1844" s="2"/>
      <c r="M1844" s="27"/>
      <c r="N1844" s="26"/>
      <c r="O1844" s="2"/>
      <c r="P1844" s="24"/>
    </row>
    <row r="1845" spans="1:16" ht="9.75" customHeight="1">
      <c r="A1845" s="18"/>
      <c r="B1845" s="18" t="s">
        <v>104</v>
      </c>
      <c r="C1845" s="18"/>
      <c r="D1845" s="178"/>
      <c r="E1845" s="2"/>
      <c r="F1845" s="2"/>
      <c r="G1845" s="2"/>
      <c r="H1845" s="2"/>
      <c r="I1845" s="2"/>
      <c r="J1845" s="2"/>
      <c r="K1845" s="2"/>
      <c r="L1845" s="2"/>
      <c r="M1845" s="27"/>
      <c r="N1845" s="26"/>
      <c r="O1845" s="2"/>
      <c r="P1845" s="24"/>
    </row>
    <row r="1846" spans="1:16" ht="9.75" customHeight="1">
      <c r="A1846" s="18"/>
      <c r="B1846" s="18" t="s">
        <v>104</v>
      </c>
      <c r="C1846" s="18"/>
      <c r="D1846" s="178"/>
      <c r="E1846" s="2"/>
      <c r="F1846" s="2"/>
      <c r="G1846" s="2"/>
      <c r="H1846" s="2"/>
      <c r="I1846" s="2"/>
      <c r="J1846" s="2"/>
      <c r="K1846" s="2"/>
      <c r="L1846" s="2"/>
      <c r="M1846" s="27"/>
      <c r="N1846" s="26"/>
      <c r="O1846" s="2"/>
      <c r="P1846" s="24"/>
    </row>
    <row r="1847" spans="1:16" ht="9.75" customHeight="1">
      <c r="A1847" s="18"/>
      <c r="B1847" s="18" t="s">
        <v>104</v>
      </c>
      <c r="C1847" s="18"/>
      <c r="D1847" s="178"/>
      <c r="E1847" s="2"/>
      <c r="F1847" s="2"/>
      <c r="G1847" s="2"/>
      <c r="H1847" s="2"/>
      <c r="I1847" s="2"/>
      <c r="J1847" s="2"/>
      <c r="K1847" s="2"/>
      <c r="L1847" s="2"/>
      <c r="M1847" s="27"/>
      <c r="N1847" s="26"/>
      <c r="O1847" s="2"/>
      <c r="P1847" s="24"/>
    </row>
    <row r="1848" spans="1:16" ht="9.75" customHeight="1">
      <c r="A1848" s="18"/>
      <c r="B1848" s="18" t="s">
        <v>34</v>
      </c>
      <c r="C1848" s="18"/>
      <c r="D1848" s="178"/>
      <c r="E1848" s="2"/>
      <c r="F1848" s="2"/>
      <c r="G1848" s="2"/>
      <c r="H1848" s="2"/>
      <c r="I1848" s="2"/>
      <c r="J1848" s="2"/>
      <c r="K1848" s="2"/>
      <c r="L1848" s="2"/>
      <c r="M1848" s="27"/>
      <c r="N1848" s="26"/>
      <c r="O1848" s="2"/>
      <c r="P1848" s="24"/>
    </row>
    <row r="1849" spans="1:16" ht="9.75" customHeight="1">
      <c r="A1849" s="18"/>
      <c r="B1849" s="18" t="s">
        <v>35</v>
      </c>
      <c r="C1849" s="18"/>
      <c r="D1849" s="178"/>
      <c r="E1849" s="2"/>
      <c r="F1849" s="2"/>
      <c r="G1849" s="2"/>
      <c r="H1849" s="2"/>
      <c r="I1849" s="2"/>
      <c r="J1849" s="2"/>
      <c r="K1849" s="2"/>
      <c r="L1849" s="2"/>
      <c r="M1849" s="27"/>
      <c r="N1849" s="26"/>
      <c r="O1849" s="2"/>
      <c r="P1849" s="24"/>
    </row>
    <row r="1850" spans="1:16" ht="9.75" customHeight="1">
      <c r="A1850" s="18"/>
      <c r="B1850" s="18" t="s">
        <v>36</v>
      </c>
      <c r="C1850" s="18"/>
      <c r="D1850" s="178"/>
      <c r="E1850" s="2"/>
      <c r="F1850" s="2"/>
      <c r="G1850" s="2"/>
      <c r="H1850" s="2"/>
      <c r="I1850" s="2"/>
      <c r="J1850" s="2"/>
      <c r="K1850" s="2"/>
      <c r="L1850" s="2"/>
      <c r="M1850" s="27"/>
      <c r="N1850" s="26"/>
      <c r="O1850" s="2"/>
      <c r="P1850" s="24"/>
    </row>
    <row r="1851" spans="1:16" ht="9.75" customHeight="1">
      <c r="A1851" s="18"/>
      <c r="B1851" s="18" t="s">
        <v>37</v>
      </c>
      <c r="C1851" s="18"/>
      <c r="D1851" s="178"/>
      <c r="E1851" s="2"/>
      <c r="F1851" s="2"/>
      <c r="G1851" s="2"/>
      <c r="H1851" s="2"/>
      <c r="I1851" s="2"/>
      <c r="J1851" s="2"/>
      <c r="K1851" s="2"/>
      <c r="L1851" s="2"/>
      <c r="M1851" s="27"/>
      <c r="N1851" s="26"/>
      <c r="O1851" s="2"/>
      <c r="P1851" s="24"/>
    </row>
    <row r="1852" spans="1:16" ht="9.75" customHeight="1">
      <c r="A1852" s="32"/>
      <c r="B1852" s="33" t="s">
        <v>38</v>
      </c>
      <c r="C1852" s="33">
        <f t="shared" ref="C1852:M1852" si="346">SUM(C1836:C1851)</f>
        <v>118</v>
      </c>
      <c r="D1852" s="70">
        <f t="shared" si="346"/>
        <v>35</v>
      </c>
      <c r="E1852" s="71">
        <f t="shared" si="346"/>
        <v>29</v>
      </c>
      <c r="F1852" s="71">
        <f t="shared" si="346"/>
        <v>30</v>
      </c>
      <c r="G1852" s="71">
        <f t="shared" si="346"/>
        <v>26</v>
      </c>
      <c r="H1852" s="71">
        <f t="shared" si="346"/>
        <v>28</v>
      </c>
      <c r="I1852" s="71">
        <f t="shared" si="346"/>
        <v>26</v>
      </c>
      <c r="J1852" s="71">
        <f t="shared" si="346"/>
        <v>29</v>
      </c>
      <c r="K1852" s="71">
        <f t="shared" si="346"/>
        <v>35</v>
      </c>
      <c r="L1852" s="71">
        <f t="shared" si="346"/>
        <v>45</v>
      </c>
      <c r="M1852" s="93">
        <f t="shared" si="346"/>
        <v>68</v>
      </c>
      <c r="N1852" s="70">
        <f>MIN(D1852:M1852)</f>
        <v>26</v>
      </c>
      <c r="O1852" s="71">
        <f>C1852-N1852</f>
        <v>92</v>
      </c>
      <c r="P1852" s="40">
        <f>O1852/C1852</f>
        <v>0.77966101694915257</v>
      </c>
    </row>
    <row r="1853" spans="1:16" ht="9.75" customHeight="1">
      <c r="A1853" s="100" t="s">
        <v>295</v>
      </c>
      <c r="B1853" s="100" t="s">
        <v>23</v>
      </c>
      <c r="C1853" s="105"/>
      <c r="D1853" s="106"/>
      <c r="E1853" s="107"/>
      <c r="F1853" s="107"/>
      <c r="G1853" s="107"/>
      <c r="H1853" s="107"/>
      <c r="I1853" s="107"/>
      <c r="J1853" s="107"/>
      <c r="K1853" s="107"/>
      <c r="L1853" s="107"/>
      <c r="M1853" s="108"/>
      <c r="N1853" s="106"/>
      <c r="O1853" s="107"/>
      <c r="P1853" s="109"/>
    </row>
    <row r="1854" spans="1:16" ht="9.75" customHeight="1">
      <c r="A1854" s="105" t="s">
        <v>296</v>
      </c>
      <c r="B1854" s="105" t="s">
        <v>25</v>
      </c>
      <c r="C1854" s="105"/>
      <c r="D1854" s="106"/>
      <c r="E1854" s="107"/>
      <c r="F1854" s="107"/>
      <c r="G1854" s="107"/>
      <c r="H1854" s="107"/>
      <c r="I1854" s="107"/>
      <c r="J1854" s="107"/>
      <c r="K1854" s="107"/>
      <c r="L1854" s="107"/>
      <c r="M1854" s="108"/>
      <c r="N1854" s="106"/>
      <c r="O1854" s="107"/>
      <c r="P1854" s="109"/>
    </row>
    <row r="1855" spans="1:16" ht="9.75" customHeight="1">
      <c r="A1855" s="105" t="s">
        <v>115</v>
      </c>
      <c r="B1855" s="105" t="s">
        <v>27</v>
      </c>
      <c r="C1855" s="105"/>
      <c r="D1855" s="106"/>
      <c r="E1855" s="107"/>
      <c r="F1855" s="107"/>
      <c r="G1855" s="107"/>
      <c r="H1855" s="107"/>
      <c r="I1855" s="107"/>
      <c r="J1855" s="107"/>
      <c r="K1855" s="107"/>
      <c r="L1855" s="107"/>
      <c r="M1855" s="108"/>
      <c r="N1855" s="106"/>
      <c r="O1855" s="107"/>
      <c r="P1855" s="109"/>
    </row>
    <row r="1856" spans="1:16" ht="9.75" customHeight="1">
      <c r="A1856" s="105"/>
      <c r="B1856" s="105" t="s">
        <v>99</v>
      </c>
      <c r="C1856" s="105"/>
      <c r="D1856" s="106"/>
      <c r="E1856" s="107"/>
      <c r="F1856" s="107"/>
      <c r="G1856" s="107"/>
      <c r="H1856" s="107"/>
      <c r="I1856" s="107"/>
      <c r="J1856" s="107"/>
      <c r="K1856" s="107"/>
      <c r="L1856" s="107"/>
      <c r="M1856" s="108"/>
      <c r="N1856" s="106"/>
      <c r="O1856" s="107"/>
      <c r="P1856" s="109"/>
    </row>
    <row r="1857" spans="1:16" ht="9.75" customHeight="1">
      <c r="A1857" s="105"/>
      <c r="B1857" s="105" t="s">
        <v>99</v>
      </c>
      <c r="C1857" s="105"/>
      <c r="D1857" s="106"/>
      <c r="E1857" s="107"/>
      <c r="F1857" s="107"/>
      <c r="G1857" s="107"/>
      <c r="H1857" s="107"/>
      <c r="I1857" s="107"/>
      <c r="J1857" s="107"/>
      <c r="K1857" s="107"/>
      <c r="L1857" s="107"/>
      <c r="M1857" s="108"/>
      <c r="N1857" s="106"/>
      <c r="O1857" s="107"/>
      <c r="P1857" s="109"/>
    </row>
    <row r="1858" spans="1:16" ht="9.75" customHeight="1">
      <c r="A1858" s="105"/>
      <c r="B1858" s="105" t="s">
        <v>32</v>
      </c>
      <c r="C1858" s="105"/>
      <c r="D1858" s="106"/>
      <c r="E1858" s="107"/>
      <c r="F1858" s="107"/>
      <c r="G1858" s="107"/>
      <c r="H1858" s="107"/>
      <c r="I1858" s="107"/>
      <c r="J1858" s="107"/>
      <c r="K1858" s="107"/>
      <c r="L1858" s="107"/>
      <c r="M1858" s="108"/>
      <c r="N1858" s="106"/>
      <c r="O1858" s="107"/>
      <c r="P1858" s="109"/>
    </row>
    <row r="1859" spans="1:16" ht="9.75" customHeight="1">
      <c r="A1859" s="105"/>
      <c r="B1859" s="105" t="s">
        <v>104</v>
      </c>
      <c r="C1859" s="105"/>
      <c r="D1859" s="106"/>
      <c r="E1859" s="107"/>
      <c r="F1859" s="107"/>
      <c r="G1859" s="107"/>
      <c r="H1859" s="107"/>
      <c r="I1859" s="107"/>
      <c r="J1859" s="107"/>
      <c r="K1859" s="107"/>
      <c r="L1859" s="107"/>
      <c r="M1859" s="108"/>
      <c r="N1859" s="106"/>
      <c r="O1859" s="107"/>
      <c r="P1859" s="109"/>
    </row>
    <row r="1860" spans="1:16" ht="9.75" customHeight="1">
      <c r="A1860" s="105"/>
      <c r="B1860" s="105" t="s">
        <v>104</v>
      </c>
      <c r="C1860" s="105"/>
      <c r="D1860" s="106"/>
      <c r="E1860" s="107"/>
      <c r="F1860" s="107"/>
      <c r="G1860" s="107"/>
      <c r="H1860" s="107"/>
      <c r="I1860" s="107"/>
      <c r="J1860" s="107"/>
      <c r="K1860" s="107"/>
      <c r="L1860" s="107"/>
      <c r="M1860" s="108"/>
      <c r="N1860" s="106"/>
      <c r="O1860" s="107"/>
      <c r="P1860" s="109"/>
    </row>
    <row r="1861" spans="1:16" ht="9.75" customHeight="1">
      <c r="A1861" s="105"/>
      <c r="B1861" s="105" t="s">
        <v>104</v>
      </c>
      <c r="C1861" s="105"/>
      <c r="D1861" s="106"/>
      <c r="E1861" s="107"/>
      <c r="F1861" s="107"/>
      <c r="G1861" s="107"/>
      <c r="H1861" s="107"/>
      <c r="I1861" s="107"/>
      <c r="J1861" s="107"/>
      <c r="K1861" s="107"/>
      <c r="L1861" s="107"/>
      <c r="M1861" s="108"/>
      <c r="N1861" s="106"/>
      <c r="O1861" s="107"/>
      <c r="P1861" s="109"/>
    </row>
    <row r="1862" spans="1:16" ht="9.75" customHeight="1">
      <c r="A1862" s="105"/>
      <c r="B1862" s="105" t="s">
        <v>104</v>
      </c>
      <c r="C1862" s="105"/>
      <c r="D1862" s="106"/>
      <c r="E1862" s="107"/>
      <c r="F1862" s="107"/>
      <c r="G1862" s="107"/>
      <c r="H1862" s="107"/>
      <c r="I1862" s="107"/>
      <c r="J1862" s="107"/>
      <c r="K1862" s="107"/>
      <c r="L1862" s="107"/>
      <c r="M1862" s="108"/>
      <c r="N1862" s="106"/>
      <c r="O1862" s="107"/>
      <c r="P1862" s="109"/>
    </row>
    <row r="1863" spans="1:16" ht="9.75" customHeight="1">
      <c r="A1863" s="105"/>
      <c r="B1863" s="105" t="s">
        <v>104</v>
      </c>
      <c r="C1863" s="105"/>
      <c r="D1863" s="106"/>
      <c r="E1863" s="107"/>
      <c r="F1863" s="107"/>
      <c r="G1863" s="107"/>
      <c r="H1863" s="107"/>
      <c r="I1863" s="107"/>
      <c r="J1863" s="107"/>
      <c r="K1863" s="107"/>
      <c r="L1863" s="107"/>
      <c r="M1863" s="108"/>
      <c r="N1863" s="106"/>
      <c r="O1863" s="107"/>
      <c r="P1863" s="109"/>
    </row>
    <row r="1864" spans="1:16" ht="9.75" customHeight="1">
      <c r="A1864" s="105"/>
      <c r="B1864" s="105" t="s">
        <v>104</v>
      </c>
      <c r="C1864" s="105"/>
      <c r="D1864" s="106"/>
      <c r="E1864" s="107"/>
      <c r="F1864" s="107"/>
      <c r="G1864" s="107"/>
      <c r="H1864" s="107"/>
      <c r="I1864" s="107"/>
      <c r="J1864" s="107"/>
      <c r="K1864" s="107"/>
      <c r="L1864" s="107"/>
      <c r="M1864" s="108"/>
      <c r="N1864" s="106"/>
      <c r="O1864" s="107"/>
      <c r="P1864" s="109"/>
    </row>
    <row r="1865" spans="1:16" ht="9.75" customHeight="1">
      <c r="A1865" s="105"/>
      <c r="B1865" s="105" t="s">
        <v>34</v>
      </c>
      <c r="C1865" s="105"/>
      <c r="D1865" s="106"/>
      <c r="E1865" s="107"/>
      <c r="F1865" s="107"/>
      <c r="G1865" s="107"/>
      <c r="H1865" s="107"/>
      <c r="I1865" s="107"/>
      <c r="J1865" s="107"/>
      <c r="K1865" s="107"/>
      <c r="L1865" s="107"/>
      <c r="M1865" s="108"/>
      <c r="N1865" s="106"/>
      <c r="O1865" s="107"/>
      <c r="P1865" s="109"/>
    </row>
    <row r="1866" spans="1:16" ht="9.75" customHeight="1">
      <c r="A1866" s="105"/>
      <c r="B1866" s="105" t="s">
        <v>35</v>
      </c>
      <c r="C1866" s="105"/>
      <c r="D1866" s="106"/>
      <c r="E1866" s="107"/>
      <c r="F1866" s="107"/>
      <c r="G1866" s="107"/>
      <c r="H1866" s="107"/>
      <c r="I1866" s="107"/>
      <c r="J1866" s="107"/>
      <c r="K1866" s="107"/>
      <c r="L1866" s="107"/>
      <c r="M1866" s="108"/>
      <c r="N1866" s="106"/>
      <c r="O1866" s="107"/>
      <c r="P1866" s="109"/>
    </row>
    <row r="1867" spans="1:16" ht="9.75" customHeight="1">
      <c r="A1867" s="105"/>
      <c r="B1867" s="105" t="s">
        <v>36</v>
      </c>
      <c r="C1867" s="105"/>
      <c r="D1867" s="106"/>
      <c r="E1867" s="107"/>
      <c r="F1867" s="107"/>
      <c r="G1867" s="107"/>
      <c r="H1867" s="107"/>
      <c r="I1867" s="107"/>
      <c r="J1867" s="107"/>
      <c r="K1867" s="107"/>
      <c r="L1867" s="107"/>
      <c r="M1867" s="108"/>
      <c r="N1867" s="106"/>
      <c r="O1867" s="107"/>
      <c r="P1867" s="109"/>
    </row>
    <row r="1868" spans="1:16" ht="9.75" customHeight="1">
      <c r="A1868" s="105"/>
      <c r="B1868" s="105" t="s">
        <v>37</v>
      </c>
      <c r="C1868" s="105"/>
      <c r="D1868" s="106"/>
      <c r="E1868" s="107"/>
      <c r="F1868" s="107"/>
      <c r="G1868" s="107"/>
      <c r="H1868" s="107"/>
      <c r="I1868" s="107"/>
      <c r="J1868" s="107"/>
      <c r="K1868" s="107"/>
      <c r="L1868" s="107"/>
      <c r="M1868" s="108"/>
      <c r="N1868" s="106"/>
      <c r="O1868" s="107"/>
      <c r="P1868" s="109"/>
    </row>
    <row r="1869" spans="1:16" ht="9.75" customHeight="1">
      <c r="A1869" s="32"/>
      <c r="B1869" s="33" t="s">
        <v>38</v>
      </c>
      <c r="C1869" s="33"/>
      <c r="D1869" s="70"/>
      <c r="E1869" s="71"/>
      <c r="F1869" s="71"/>
      <c r="G1869" s="71"/>
      <c r="H1869" s="71"/>
      <c r="I1869" s="71"/>
      <c r="J1869" s="71"/>
      <c r="K1869" s="71"/>
      <c r="L1869" s="71"/>
      <c r="M1869" s="93"/>
      <c r="N1869" s="70"/>
      <c r="O1869" s="71"/>
      <c r="P1869" s="40"/>
    </row>
    <row r="1870" spans="1:16" ht="9.75" customHeight="1">
      <c r="A1870" s="66" t="s">
        <v>297</v>
      </c>
      <c r="B1870" s="66" t="s">
        <v>23</v>
      </c>
      <c r="C1870" s="66"/>
      <c r="D1870" s="41"/>
      <c r="E1870" s="72"/>
      <c r="F1870" s="72"/>
      <c r="G1870" s="72"/>
      <c r="H1870" s="72"/>
      <c r="I1870" s="72"/>
      <c r="J1870" s="72"/>
      <c r="K1870" s="72"/>
      <c r="L1870" s="72"/>
      <c r="M1870" s="73"/>
      <c r="N1870" s="41"/>
      <c r="O1870" s="72"/>
      <c r="P1870" s="99"/>
    </row>
    <row r="1871" spans="1:16" ht="9.75" customHeight="1">
      <c r="A1871" s="18"/>
      <c r="B1871" s="18" t="s">
        <v>25</v>
      </c>
      <c r="C1871" s="18"/>
      <c r="D1871" s="26"/>
      <c r="E1871" s="2"/>
      <c r="F1871" s="2"/>
      <c r="G1871" s="2"/>
      <c r="H1871" s="2"/>
      <c r="I1871" s="2"/>
      <c r="J1871" s="2"/>
      <c r="K1871" s="2"/>
      <c r="L1871" s="2"/>
      <c r="M1871" s="27"/>
      <c r="N1871" s="26"/>
      <c r="O1871" s="2"/>
      <c r="P1871" s="24"/>
    </row>
    <row r="1872" spans="1:16" ht="9.75" customHeight="1">
      <c r="A1872" s="18"/>
      <c r="B1872" s="18" t="s">
        <v>27</v>
      </c>
      <c r="C1872" s="18"/>
      <c r="D1872" s="26"/>
      <c r="E1872" s="2"/>
      <c r="F1872" s="2"/>
      <c r="G1872" s="2"/>
      <c r="H1872" s="2"/>
      <c r="I1872" s="2"/>
      <c r="J1872" s="2"/>
      <c r="K1872" s="2"/>
      <c r="L1872" s="2"/>
      <c r="M1872" s="27"/>
      <c r="N1872" s="26"/>
      <c r="O1872" s="2"/>
      <c r="P1872" s="24"/>
    </row>
    <row r="1873" spans="1:16" ht="9.75" customHeight="1">
      <c r="A1873" s="18"/>
      <c r="B1873" s="18" t="s">
        <v>99</v>
      </c>
      <c r="C1873" s="18"/>
      <c r="D1873" s="26"/>
      <c r="E1873" s="2"/>
      <c r="F1873" s="2"/>
      <c r="G1873" s="2"/>
      <c r="H1873" s="2"/>
      <c r="I1873" s="2"/>
      <c r="J1873" s="2"/>
      <c r="K1873" s="2"/>
      <c r="L1873" s="2"/>
      <c r="M1873" s="27"/>
      <c r="N1873" s="26"/>
      <c r="O1873" s="2"/>
      <c r="P1873" s="24"/>
    </row>
    <row r="1874" spans="1:16" ht="9.75" customHeight="1">
      <c r="A1874" s="18"/>
      <c r="B1874" s="18" t="s">
        <v>99</v>
      </c>
      <c r="C1874" s="18"/>
      <c r="D1874" s="26"/>
      <c r="E1874" s="2"/>
      <c r="F1874" s="2"/>
      <c r="G1874" s="2"/>
      <c r="H1874" s="2"/>
      <c r="I1874" s="2"/>
      <c r="J1874" s="2"/>
      <c r="K1874" s="2"/>
      <c r="L1874" s="2"/>
      <c r="M1874" s="27"/>
      <c r="N1874" s="26"/>
      <c r="O1874" s="2"/>
      <c r="P1874" s="24"/>
    </row>
    <row r="1875" spans="1:16" ht="9.75" customHeight="1">
      <c r="A1875" s="18"/>
      <c r="B1875" s="18" t="s">
        <v>32</v>
      </c>
      <c r="C1875" s="18"/>
      <c r="D1875" s="26"/>
      <c r="E1875" s="2"/>
      <c r="F1875" s="2"/>
      <c r="G1875" s="2"/>
      <c r="H1875" s="2"/>
      <c r="I1875" s="2"/>
      <c r="J1875" s="2"/>
      <c r="K1875" s="2"/>
      <c r="L1875" s="2"/>
      <c r="M1875" s="27"/>
      <c r="N1875" s="26"/>
      <c r="O1875" s="2"/>
      <c r="P1875" s="24"/>
    </row>
    <row r="1876" spans="1:16" ht="9.75" customHeight="1">
      <c r="A1876" s="18"/>
      <c r="B1876" s="18" t="s">
        <v>104</v>
      </c>
      <c r="C1876" s="18"/>
      <c r="D1876" s="26"/>
      <c r="E1876" s="2"/>
      <c r="F1876" s="2"/>
      <c r="G1876" s="2"/>
      <c r="H1876" s="2"/>
      <c r="I1876" s="2"/>
      <c r="J1876" s="2"/>
      <c r="K1876" s="2"/>
      <c r="L1876" s="2"/>
      <c r="M1876" s="27"/>
      <c r="N1876" s="26"/>
      <c r="O1876" s="2"/>
      <c r="P1876" s="24"/>
    </row>
    <row r="1877" spans="1:16" ht="9.75" customHeight="1">
      <c r="A1877" s="18"/>
      <c r="B1877" s="18" t="s">
        <v>104</v>
      </c>
      <c r="C1877" s="18"/>
      <c r="D1877" s="26"/>
      <c r="E1877" s="2"/>
      <c r="F1877" s="2"/>
      <c r="G1877" s="2"/>
      <c r="H1877" s="2"/>
      <c r="I1877" s="2"/>
      <c r="J1877" s="2"/>
      <c r="K1877" s="2"/>
      <c r="L1877" s="2"/>
      <c r="M1877" s="27"/>
      <c r="N1877" s="26"/>
      <c r="O1877" s="2"/>
      <c r="P1877" s="24"/>
    </row>
    <row r="1878" spans="1:16" ht="9.75" customHeight="1">
      <c r="A1878" s="18"/>
      <c r="B1878" s="18" t="s">
        <v>104</v>
      </c>
      <c r="C1878" s="18"/>
      <c r="D1878" s="26"/>
      <c r="E1878" s="2"/>
      <c r="F1878" s="2"/>
      <c r="G1878" s="2"/>
      <c r="H1878" s="2"/>
      <c r="I1878" s="2"/>
      <c r="J1878" s="2"/>
      <c r="K1878" s="2"/>
      <c r="L1878" s="2"/>
      <c r="M1878" s="27"/>
      <c r="N1878" s="26"/>
      <c r="O1878" s="2"/>
      <c r="P1878" s="24"/>
    </row>
    <row r="1879" spans="1:16" ht="9.75" customHeight="1">
      <c r="A1879" s="18"/>
      <c r="B1879" s="18" t="s">
        <v>104</v>
      </c>
      <c r="C1879" s="18"/>
      <c r="D1879" s="26"/>
      <c r="E1879" s="2"/>
      <c r="F1879" s="2"/>
      <c r="G1879" s="2"/>
      <c r="H1879" s="2"/>
      <c r="I1879" s="2"/>
      <c r="J1879" s="2"/>
      <c r="K1879" s="2"/>
      <c r="L1879" s="2"/>
      <c r="M1879" s="27"/>
      <c r="N1879" s="26"/>
      <c r="O1879" s="2"/>
      <c r="P1879" s="24"/>
    </row>
    <row r="1880" spans="1:16" ht="9.75" customHeight="1">
      <c r="A1880" s="18"/>
      <c r="B1880" s="18" t="s">
        <v>104</v>
      </c>
      <c r="C1880" s="18"/>
      <c r="D1880" s="26"/>
      <c r="E1880" s="2"/>
      <c r="F1880" s="2"/>
      <c r="G1880" s="2"/>
      <c r="H1880" s="2"/>
      <c r="I1880" s="2"/>
      <c r="J1880" s="2"/>
      <c r="K1880" s="2"/>
      <c r="L1880" s="2"/>
      <c r="M1880" s="27"/>
      <c r="N1880" s="26"/>
      <c r="O1880" s="2"/>
      <c r="P1880" s="24"/>
    </row>
    <row r="1881" spans="1:16" ht="9.75" customHeight="1">
      <c r="A1881" s="18"/>
      <c r="B1881" s="18" t="s">
        <v>104</v>
      </c>
      <c r="C1881" s="18"/>
      <c r="D1881" s="26"/>
      <c r="E1881" s="2"/>
      <c r="F1881" s="2"/>
      <c r="G1881" s="2"/>
      <c r="H1881" s="2"/>
      <c r="I1881" s="2"/>
      <c r="J1881" s="2"/>
      <c r="K1881" s="2"/>
      <c r="L1881" s="2"/>
      <c r="M1881" s="27"/>
      <c r="N1881" s="26"/>
      <c r="O1881" s="2"/>
      <c r="P1881" s="24"/>
    </row>
    <row r="1882" spans="1:16" ht="9.75" customHeight="1">
      <c r="A1882" s="18"/>
      <c r="B1882" s="18" t="s">
        <v>34</v>
      </c>
      <c r="C1882" s="18">
        <v>10</v>
      </c>
      <c r="D1882" s="115">
        <v>5</v>
      </c>
      <c r="E1882" s="116">
        <v>5</v>
      </c>
      <c r="F1882" s="116">
        <v>4</v>
      </c>
      <c r="G1882" s="116">
        <v>4</v>
      </c>
      <c r="H1882" s="116">
        <v>4</v>
      </c>
      <c r="I1882" s="2">
        <v>5</v>
      </c>
      <c r="J1882" s="2">
        <v>7</v>
      </c>
      <c r="K1882" s="2">
        <v>6</v>
      </c>
      <c r="L1882" s="2">
        <v>7</v>
      </c>
      <c r="M1882" s="27">
        <v>10</v>
      </c>
      <c r="N1882" s="26">
        <f>MIN(D1882:M1882)</f>
        <v>4</v>
      </c>
      <c r="O1882" s="2">
        <f>C1882-N1882</f>
        <v>6</v>
      </c>
      <c r="P1882" s="24">
        <f>O1882/C1882</f>
        <v>0.6</v>
      </c>
    </row>
    <row r="1883" spans="1:16" ht="9.75" customHeight="1">
      <c r="A1883" s="18"/>
      <c r="B1883" s="18" t="s">
        <v>35</v>
      </c>
      <c r="C1883" s="18"/>
      <c r="D1883" s="26"/>
      <c r="E1883" s="2"/>
      <c r="F1883" s="2"/>
      <c r="G1883" s="2"/>
      <c r="H1883" s="2"/>
      <c r="I1883" s="2"/>
      <c r="J1883" s="2"/>
      <c r="K1883" s="2"/>
      <c r="L1883" s="2"/>
      <c r="M1883" s="27"/>
      <c r="N1883" s="26"/>
      <c r="O1883" s="2"/>
      <c r="P1883" s="24"/>
    </row>
    <row r="1884" spans="1:16" ht="9.75" customHeight="1">
      <c r="A1884" s="18"/>
      <c r="B1884" s="18" t="s">
        <v>36</v>
      </c>
      <c r="C1884" s="18"/>
      <c r="D1884" s="26"/>
      <c r="E1884" s="2"/>
      <c r="F1884" s="2"/>
      <c r="G1884" s="2"/>
      <c r="H1884" s="2"/>
      <c r="I1884" s="2"/>
      <c r="J1884" s="2"/>
      <c r="K1884" s="2"/>
      <c r="L1884" s="2"/>
      <c r="M1884" s="27"/>
      <c r="N1884" s="26"/>
      <c r="O1884" s="2"/>
      <c r="P1884" s="24"/>
    </row>
    <row r="1885" spans="1:16" ht="9.75" customHeight="1">
      <c r="A1885" s="18"/>
      <c r="B1885" s="18" t="s">
        <v>37</v>
      </c>
      <c r="C1885" s="18"/>
      <c r="D1885" s="26"/>
      <c r="E1885" s="2"/>
      <c r="F1885" s="2"/>
      <c r="G1885" s="2"/>
      <c r="H1885" s="2"/>
      <c r="I1885" s="2"/>
      <c r="J1885" s="2"/>
      <c r="K1885" s="2"/>
      <c r="L1885" s="2"/>
      <c r="M1885" s="27"/>
      <c r="N1885" s="26"/>
      <c r="O1885" s="2"/>
      <c r="P1885" s="24"/>
    </row>
    <row r="1886" spans="1:16" ht="9.75" customHeight="1">
      <c r="A1886" s="32"/>
      <c r="B1886" s="33" t="s">
        <v>38</v>
      </c>
      <c r="C1886" s="33">
        <f t="shared" ref="C1886:M1886" si="347">SUM(C1870:C1885)</f>
        <v>10</v>
      </c>
      <c r="D1886" s="70">
        <f t="shared" si="347"/>
        <v>5</v>
      </c>
      <c r="E1886" s="71">
        <f t="shared" si="347"/>
        <v>5</v>
      </c>
      <c r="F1886" s="71">
        <f t="shared" si="347"/>
        <v>4</v>
      </c>
      <c r="G1886" s="71">
        <f t="shared" si="347"/>
        <v>4</v>
      </c>
      <c r="H1886" s="71">
        <f t="shared" si="347"/>
        <v>4</v>
      </c>
      <c r="I1886" s="71">
        <f t="shared" si="347"/>
        <v>5</v>
      </c>
      <c r="J1886" s="71">
        <f t="shared" si="347"/>
        <v>7</v>
      </c>
      <c r="K1886" s="71">
        <f t="shared" si="347"/>
        <v>6</v>
      </c>
      <c r="L1886" s="71">
        <f t="shared" si="347"/>
        <v>7</v>
      </c>
      <c r="M1886" s="93">
        <f t="shared" si="347"/>
        <v>10</v>
      </c>
      <c r="N1886" s="70">
        <f t="shared" ref="N1886:N1887" si="348">MIN(D1886:M1886)</f>
        <v>4</v>
      </c>
      <c r="O1886" s="71">
        <f t="shared" ref="O1886:O1887" si="349">C1886-N1886</f>
        <v>6</v>
      </c>
      <c r="P1886" s="40">
        <f t="shared" ref="P1886:P1887" si="350">O1886/C1886</f>
        <v>0.6</v>
      </c>
    </row>
    <row r="1887" spans="1:16" ht="9.75" customHeight="1">
      <c r="A1887" s="66" t="s">
        <v>298</v>
      </c>
      <c r="B1887" s="66" t="s">
        <v>23</v>
      </c>
      <c r="C1887" s="66">
        <v>88</v>
      </c>
      <c r="D1887" s="41">
        <f>C1887-40</f>
        <v>48</v>
      </c>
      <c r="E1887" s="72">
        <f>C1887-49</f>
        <v>39</v>
      </c>
      <c r="F1887" s="159">
        <v>6</v>
      </c>
      <c r="G1887" s="159">
        <v>4</v>
      </c>
      <c r="H1887" s="159">
        <v>3</v>
      </c>
      <c r="I1887" s="72">
        <v>3</v>
      </c>
      <c r="J1887" s="72">
        <v>8</v>
      </c>
      <c r="K1887" s="72">
        <v>9</v>
      </c>
      <c r="L1887" s="72">
        <v>16</v>
      </c>
      <c r="M1887" s="73">
        <v>18</v>
      </c>
      <c r="N1887" s="41">
        <f t="shared" si="348"/>
        <v>3</v>
      </c>
      <c r="O1887" s="72">
        <f t="shared" si="349"/>
        <v>85</v>
      </c>
      <c r="P1887" s="99">
        <f t="shared" si="350"/>
        <v>0.96590909090909094</v>
      </c>
    </row>
    <row r="1888" spans="1:16" ht="9.75" customHeight="1">
      <c r="A1888" s="18"/>
      <c r="B1888" s="18" t="s">
        <v>54</v>
      </c>
      <c r="C1888" s="18">
        <v>31</v>
      </c>
      <c r="D1888" s="115">
        <v>29</v>
      </c>
      <c r="E1888" s="116">
        <v>29</v>
      </c>
      <c r="F1888" s="116">
        <v>28</v>
      </c>
      <c r="G1888" s="116">
        <v>28</v>
      </c>
      <c r="H1888" s="116">
        <v>28</v>
      </c>
      <c r="I1888" s="2">
        <v>26</v>
      </c>
      <c r="J1888" s="2">
        <v>24</v>
      </c>
      <c r="K1888" s="2">
        <v>27</v>
      </c>
      <c r="L1888" s="2">
        <v>30</v>
      </c>
      <c r="M1888" s="27">
        <v>29</v>
      </c>
      <c r="N1888" s="158">
        <f t="shared" ref="N1888" si="351">MIN(D1888:M1888)</f>
        <v>24</v>
      </c>
      <c r="O1888" s="159">
        <f t="shared" ref="O1888" si="352">C1888-N1888</f>
        <v>7</v>
      </c>
      <c r="P1888" s="99">
        <f t="shared" ref="P1888" si="353">O1888/C1888</f>
        <v>0.22580645161290322</v>
      </c>
    </row>
    <row r="1889" spans="1:16" ht="9.75" customHeight="1">
      <c r="A1889" s="18"/>
      <c r="B1889" s="18" t="s">
        <v>25</v>
      </c>
      <c r="C1889" s="18"/>
      <c r="D1889" s="26"/>
      <c r="E1889" s="2"/>
      <c r="F1889" s="2"/>
      <c r="G1889" s="2"/>
      <c r="H1889" s="2"/>
      <c r="I1889" s="2"/>
      <c r="J1889" s="2"/>
      <c r="K1889" s="2"/>
      <c r="L1889" s="2"/>
      <c r="M1889" s="27"/>
      <c r="N1889" s="26"/>
      <c r="O1889" s="2"/>
      <c r="P1889" s="24"/>
    </row>
    <row r="1890" spans="1:16" ht="9.75" customHeight="1">
      <c r="A1890" s="18"/>
      <c r="B1890" s="18" t="s">
        <v>27</v>
      </c>
      <c r="C1890" s="18"/>
      <c r="D1890" s="26"/>
      <c r="E1890" s="2"/>
      <c r="F1890" s="2"/>
      <c r="G1890" s="2"/>
      <c r="H1890" s="2"/>
      <c r="I1890" s="2"/>
      <c r="J1890" s="2"/>
      <c r="K1890" s="2"/>
      <c r="L1890" s="2"/>
      <c r="M1890" s="27"/>
      <c r="N1890" s="26"/>
      <c r="O1890" s="2"/>
      <c r="P1890" s="24"/>
    </row>
    <row r="1891" spans="1:16" ht="9.75" customHeight="1">
      <c r="A1891" s="18"/>
      <c r="B1891" s="18" t="s">
        <v>222</v>
      </c>
      <c r="C1891" s="18">
        <v>5</v>
      </c>
      <c r="D1891" s="115">
        <v>3</v>
      </c>
      <c r="E1891" s="116">
        <v>0</v>
      </c>
      <c r="F1891" s="116">
        <v>0</v>
      </c>
      <c r="G1891" s="116">
        <v>0</v>
      </c>
      <c r="H1891" s="116">
        <v>0</v>
      </c>
      <c r="I1891" s="2">
        <v>1</v>
      </c>
      <c r="J1891" s="2">
        <v>0</v>
      </c>
      <c r="K1891" s="2">
        <v>0</v>
      </c>
      <c r="L1891" s="2">
        <v>4</v>
      </c>
      <c r="M1891" s="27">
        <v>5</v>
      </c>
      <c r="N1891" s="26">
        <f>MIN(D1891:M1891)</f>
        <v>0</v>
      </c>
      <c r="O1891" s="2">
        <f>C1891-N1891</f>
        <v>5</v>
      </c>
      <c r="P1891" s="24">
        <f>O1891/C1891</f>
        <v>1</v>
      </c>
    </row>
    <row r="1892" spans="1:16" ht="9.75" customHeight="1">
      <c r="A1892" s="18"/>
      <c r="B1892" s="18" t="s">
        <v>99</v>
      </c>
      <c r="C1892" s="18"/>
      <c r="D1892" s="26"/>
      <c r="E1892" s="2"/>
      <c r="F1892" s="2"/>
      <c r="G1892" s="2"/>
      <c r="H1892" s="2"/>
      <c r="I1892" s="2"/>
      <c r="J1892" s="2"/>
      <c r="K1892" s="2"/>
      <c r="L1892" s="2"/>
      <c r="M1892" s="27"/>
      <c r="N1892" s="26"/>
      <c r="O1892" s="2"/>
      <c r="P1892" s="24"/>
    </row>
    <row r="1893" spans="1:16" ht="9.75" customHeight="1">
      <c r="A1893" s="18"/>
      <c r="B1893" s="18" t="s">
        <v>32</v>
      </c>
      <c r="C1893" s="18">
        <v>80</v>
      </c>
      <c r="D1893" s="115">
        <v>72</v>
      </c>
      <c r="E1893" s="116">
        <v>71</v>
      </c>
      <c r="F1893" s="116">
        <v>70</v>
      </c>
      <c r="G1893" s="116">
        <v>70</v>
      </c>
      <c r="H1893" s="2">
        <f>80-15</f>
        <v>65</v>
      </c>
      <c r="I1893" s="2">
        <f>C1893-9</f>
        <v>71</v>
      </c>
      <c r="J1893" s="2">
        <v>71</v>
      </c>
      <c r="K1893" s="2">
        <f>C1893-7</f>
        <v>73</v>
      </c>
      <c r="L1893" s="2">
        <v>75</v>
      </c>
      <c r="M1893" s="27">
        <f>C1893-6</f>
        <v>74</v>
      </c>
      <c r="N1893" s="26">
        <f t="shared" ref="N1893:N1897" si="354">MIN(D1893:M1893)</f>
        <v>65</v>
      </c>
      <c r="O1893" s="2">
        <f t="shared" ref="O1893:O1897" si="355">C1893-N1893</f>
        <v>15</v>
      </c>
      <c r="P1893" s="24">
        <f t="shared" ref="P1893:P1897" si="356">O1893/C1893</f>
        <v>0.1875</v>
      </c>
    </row>
    <row r="1894" spans="1:16" ht="9.75" customHeight="1">
      <c r="A1894" s="18"/>
      <c r="B1894" s="18" t="s">
        <v>299</v>
      </c>
      <c r="C1894" s="18">
        <v>4</v>
      </c>
      <c r="D1894" s="115">
        <v>4</v>
      </c>
      <c r="E1894" s="116">
        <v>4</v>
      </c>
      <c r="F1894" s="116">
        <v>4</v>
      </c>
      <c r="G1894" s="116">
        <v>4</v>
      </c>
      <c r="H1894" s="116">
        <v>4</v>
      </c>
      <c r="I1894" s="2">
        <v>4</v>
      </c>
      <c r="J1894" s="2">
        <v>4</v>
      </c>
      <c r="K1894" s="2">
        <v>4</v>
      </c>
      <c r="L1894" s="2">
        <v>4</v>
      </c>
      <c r="M1894" s="27">
        <v>4</v>
      </c>
      <c r="N1894" s="26">
        <f t="shared" si="354"/>
        <v>4</v>
      </c>
      <c r="O1894" s="2">
        <f t="shared" si="355"/>
        <v>0</v>
      </c>
      <c r="P1894" s="24">
        <f t="shared" si="356"/>
        <v>0</v>
      </c>
    </row>
    <row r="1895" spans="1:16" ht="9.75" customHeight="1">
      <c r="A1895" s="18"/>
      <c r="B1895" s="18" t="s">
        <v>300</v>
      </c>
      <c r="C1895" s="18">
        <v>2</v>
      </c>
      <c r="D1895" s="115">
        <v>2</v>
      </c>
      <c r="E1895" s="116">
        <v>2</v>
      </c>
      <c r="F1895" s="116">
        <v>2</v>
      </c>
      <c r="G1895" s="116">
        <v>2</v>
      </c>
      <c r="H1895" s="116">
        <v>2</v>
      </c>
      <c r="I1895" s="2">
        <v>0</v>
      </c>
      <c r="J1895" s="2">
        <v>1</v>
      </c>
      <c r="K1895" s="2">
        <v>1</v>
      </c>
      <c r="L1895" s="2">
        <v>1</v>
      </c>
      <c r="M1895" s="27">
        <v>2</v>
      </c>
      <c r="N1895" s="26">
        <f t="shared" si="354"/>
        <v>0</v>
      </c>
      <c r="O1895" s="2">
        <f t="shared" si="355"/>
        <v>2</v>
      </c>
      <c r="P1895" s="24">
        <f t="shared" si="356"/>
        <v>1</v>
      </c>
    </row>
    <row r="1896" spans="1:16" ht="9.75" customHeight="1">
      <c r="A1896" s="18"/>
      <c r="B1896" s="18" t="s">
        <v>216</v>
      </c>
      <c r="C1896" s="18">
        <v>7</v>
      </c>
      <c r="D1896" s="115">
        <v>3</v>
      </c>
      <c r="E1896" s="116">
        <v>4</v>
      </c>
      <c r="F1896" s="116">
        <v>4</v>
      </c>
      <c r="G1896" s="116">
        <v>4</v>
      </c>
      <c r="H1896" s="116">
        <v>4</v>
      </c>
      <c r="I1896" s="2">
        <v>3</v>
      </c>
      <c r="J1896" s="2">
        <v>3</v>
      </c>
      <c r="K1896" s="2">
        <v>5</v>
      </c>
      <c r="L1896" s="2">
        <v>7</v>
      </c>
      <c r="M1896" s="27">
        <v>7</v>
      </c>
      <c r="N1896" s="26">
        <f t="shared" si="354"/>
        <v>3</v>
      </c>
      <c r="O1896" s="2">
        <f t="shared" si="355"/>
        <v>4</v>
      </c>
      <c r="P1896" s="24">
        <f t="shared" si="356"/>
        <v>0.5714285714285714</v>
      </c>
    </row>
    <row r="1897" spans="1:16" ht="9.75" customHeight="1">
      <c r="A1897" s="18"/>
      <c r="B1897" s="18" t="s">
        <v>102</v>
      </c>
      <c r="C1897" s="18">
        <v>4</v>
      </c>
      <c r="D1897" s="115">
        <v>4</v>
      </c>
      <c r="E1897" s="116">
        <v>4</v>
      </c>
      <c r="F1897" s="116">
        <v>4</v>
      </c>
      <c r="G1897" s="116">
        <v>4</v>
      </c>
      <c r="H1897" s="116">
        <v>4</v>
      </c>
      <c r="I1897" s="2">
        <v>2</v>
      </c>
      <c r="J1897" s="2">
        <v>1</v>
      </c>
      <c r="K1897" s="2">
        <v>1</v>
      </c>
      <c r="L1897" s="2">
        <v>1</v>
      </c>
      <c r="M1897" s="27">
        <v>3</v>
      </c>
      <c r="N1897" s="26">
        <f t="shared" si="354"/>
        <v>1</v>
      </c>
      <c r="O1897" s="2">
        <f t="shared" si="355"/>
        <v>3</v>
      </c>
      <c r="P1897" s="24">
        <f t="shared" si="356"/>
        <v>0.75</v>
      </c>
    </row>
    <row r="1898" spans="1:16" ht="9.75" customHeight="1">
      <c r="A1898" s="18"/>
      <c r="B1898" s="18" t="s">
        <v>174</v>
      </c>
      <c r="C1898" s="18"/>
      <c r="D1898" s="26"/>
      <c r="E1898" s="2"/>
      <c r="F1898" s="2"/>
      <c r="G1898" s="2"/>
      <c r="H1898" s="2"/>
      <c r="I1898" s="2"/>
      <c r="J1898" s="2"/>
      <c r="K1898" s="2"/>
      <c r="L1898" s="2"/>
      <c r="M1898" s="27"/>
      <c r="N1898" s="26"/>
      <c r="O1898" s="2"/>
      <c r="P1898" s="24"/>
    </row>
    <row r="1899" spans="1:16" ht="9.75" customHeight="1">
      <c r="A1899" s="18"/>
      <c r="B1899" s="18" t="s">
        <v>104</v>
      </c>
      <c r="C1899" s="18"/>
      <c r="D1899" s="26"/>
      <c r="E1899" s="2"/>
      <c r="F1899" s="2"/>
      <c r="G1899" s="2"/>
      <c r="H1899" s="2"/>
      <c r="I1899" s="2"/>
      <c r="J1899" s="2"/>
      <c r="K1899" s="2"/>
      <c r="L1899" s="2"/>
      <c r="M1899" s="27"/>
      <c r="N1899" s="26"/>
      <c r="O1899" s="2"/>
      <c r="P1899" s="24"/>
    </row>
    <row r="1900" spans="1:16" ht="9.75" customHeight="1">
      <c r="A1900" s="18"/>
      <c r="B1900" s="18" t="s">
        <v>104</v>
      </c>
      <c r="C1900" s="18"/>
      <c r="D1900" s="26"/>
      <c r="E1900" s="2"/>
      <c r="F1900" s="2"/>
      <c r="G1900" s="2"/>
      <c r="H1900" s="2"/>
      <c r="I1900" s="2"/>
      <c r="J1900" s="2"/>
      <c r="K1900" s="2"/>
      <c r="L1900" s="2"/>
      <c r="M1900" s="27"/>
      <c r="N1900" s="26"/>
      <c r="O1900" s="2"/>
      <c r="P1900" s="24"/>
    </row>
    <row r="1901" spans="1:16" ht="9.75" customHeight="1">
      <c r="A1901" s="18"/>
      <c r="B1901" s="18" t="s">
        <v>34</v>
      </c>
      <c r="C1901" s="18">
        <v>4</v>
      </c>
      <c r="D1901" s="115">
        <v>0</v>
      </c>
      <c r="E1901" s="116">
        <v>0</v>
      </c>
      <c r="F1901" s="116">
        <v>0</v>
      </c>
      <c r="G1901" s="116">
        <v>0</v>
      </c>
      <c r="H1901" s="116">
        <v>0</v>
      </c>
      <c r="I1901" s="2">
        <v>2</v>
      </c>
      <c r="J1901" s="2">
        <v>1</v>
      </c>
      <c r="K1901" s="2">
        <v>1</v>
      </c>
      <c r="L1901" s="2">
        <v>3</v>
      </c>
      <c r="M1901" s="27">
        <v>4</v>
      </c>
      <c r="N1901" s="26">
        <f t="shared" ref="N1901:N1902" si="357">MIN(D1901:M1901)</f>
        <v>0</v>
      </c>
      <c r="O1901" s="2">
        <f t="shared" ref="O1901:O1902" si="358">C1901-N1901</f>
        <v>4</v>
      </c>
      <c r="P1901" s="24">
        <f t="shared" ref="P1901:P1902" si="359">O1901/C1901</f>
        <v>1</v>
      </c>
    </row>
    <row r="1902" spans="1:16" ht="9.75" customHeight="1">
      <c r="A1902" s="18"/>
      <c r="B1902" s="18" t="s">
        <v>35</v>
      </c>
      <c r="C1902" s="18">
        <v>2</v>
      </c>
      <c r="D1902" s="115">
        <v>1</v>
      </c>
      <c r="E1902" s="116">
        <v>0</v>
      </c>
      <c r="F1902" s="116">
        <v>2</v>
      </c>
      <c r="G1902" s="116">
        <v>2</v>
      </c>
      <c r="H1902" s="116">
        <v>2</v>
      </c>
      <c r="I1902" s="2">
        <v>1</v>
      </c>
      <c r="J1902" s="2">
        <v>1</v>
      </c>
      <c r="K1902" s="2">
        <v>2</v>
      </c>
      <c r="L1902" s="2">
        <v>2</v>
      </c>
      <c r="M1902" s="27">
        <v>2</v>
      </c>
      <c r="N1902" s="26">
        <f t="shared" si="357"/>
        <v>0</v>
      </c>
      <c r="O1902" s="2">
        <f t="shared" si="358"/>
        <v>2</v>
      </c>
      <c r="P1902" s="24">
        <f t="shared" si="359"/>
        <v>1</v>
      </c>
    </row>
    <row r="1903" spans="1:16" ht="9.75" customHeight="1">
      <c r="A1903" s="18"/>
      <c r="B1903" s="18" t="s">
        <v>36</v>
      </c>
      <c r="C1903" s="18"/>
      <c r="D1903" s="26"/>
      <c r="E1903" s="2"/>
      <c r="F1903" s="2"/>
      <c r="G1903" s="2"/>
      <c r="H1903" s="2"/>
      <c r="I1903" s="2"/>
      <c r="J1903" s="2"/>
      <c r="K1903" s="2"/>
      <c r="L1903" s="2"/>
      <c r="M1903" s="27"/>
      <c r="N1903" s="26"/>
      <c r="O1903" s="2"/>
      <c r="P1903" s="24"/>
    </row>
    <row r="1904" spans="1:16" ht="9.75" customHeight="1">
      <c r="A1904" s="18"/>
      <c r="B1904" s="18" t="s">
        <v>37</v>
      </c>
      <c r="C1904" s="18"/>
      <c r="D1904" s="26"/>
      <c r="E1904" s="2"/>
      <c r="F1904" s="2"/>
      <c r="G1904" s="2"/>
      <c r="H1904" s="2"/>
      <c r="I1904" s="2"/>
      <c r="J1904" s="2"/>
      <c r="K1904" s="2"/>
      <c r="L1904" s="2"/>
      <c r="M1904" s="27"/>
      <c r="N1904" s="26"/>
      <c r="O1904" s="2"/>
      <c r="P1904" s="24"/>
    </row>
    <row r="1905" spans="1:16" ht="9.75" customHeight="1">
      <c r="A1905" s="32"/>
      <c r="B1905" s="33" t="s">
        <v>38</v>
      </c>
      <c r="C1905" s="33">
        <f>SUM(C1887:C1904)</f>
        <v>227</v>
      </c>
      <c r="D1905" s="38">
        <f t="shared" ref="D1905:M1905" si="360">SUM(D1889:D1904)</f>
        <v>89</v>
      </c>
      <c r="E1905" s="71">
        <f t="shared" si="360"/>
        <v>85</v>
      </c>
      <c r="F1905" s="71">
        <f t="shared" si="360"/>
        <v>86</v>
      </c>
      <c r="G1905" s="71">
        <f t="shared" si="360"/>
        <v>86</v>
      </c>
      <c r="H1905" s="71">
        <f t="shared" si="360"/>
        <v>81</v>
      </c>
      <c r="I1905" s="71">
        <f t="shared" si="360"/>
        <v>84</v>
      </c>
      <c r="J1905" s="71">
        <f t="shared" si="360"/>
        <v>82</v>
      </c>
      <c r="K1905" s="71">
        <f t="shared" si="360"/>
        <v>87</v>
      </c>
      <c r="L1905" s="71">
        <f t="shared" si="360"/>
        <v>97</v>
      </c>
      <c r="M1905" s="93">
        <f t="shared" si="360"/>
        <v>101</v>
      </c>
      <c r="N1905" s="38">
        <f t="shared" ref="N1905:N1906" si="361">MIN(D1905:M1905)</f>
        <v>81</v>
      </c>
      <c r="O1905" s="39">
        <f t="shared" ref="O1905:O1906" si="362">C1905-N1905</f>
        <v>146</v>
      </c>
      <c r="P1905" s="40">
        <f t="shared" ref="P1905:P1906" si="363">O1905/C1905</f>
        <v>0.64317180616740088</v>
      </c>
    </row>
    <row r="1906" spans="1:16" ht="9.75" customHeight="1">
      <c r="A1906" s="66" t="s">
        <v>301</v>
      </c>
      <c r="B1906" s="66" t="s">
        <v>23</v>
      </c>
      <c r="C1906" s="66">
        <v>23</v>
      </c>
      <c r="D1906" s="41">
        <f>23-12</f>
        <v>11</v>
      </c>
      <c r="E1906" s="72">
        <f>23-15</f>
        <v>8</v>
      </c>
      <c r="F1906" s="159">
        <v>0</v>
      </c>
      <c r="G1906" s="159">
        <v>2</v>
      </c>
      <c r="H1906" s="159">
        <v>2</v>
      </c>
      <c r="I1906" s="159">
        <v>3</v>
      </c>
      <c r="J1906" s="159">
        <v>2</v>
      </c>
      <c r="K1906" s="159">
        <v>3</v>
      </c>
      <c r="L1906" s="159">
        <v>1</v>
      </c>
      <c r="M1906" s="175">
        <v>6</v>
      </c>
      <c r="N1906" s="41">
        <f t="shared" si="361"/>
        <v>0</v>
      </c>
      <c r="O1906" s="72">
        <f t="shared" si="362"/>
        <v>23</v>
      </c>
      <c r="P1906" s="99">
        <f t="shared" si="363"/>
        <v>1</v>
      </c>
    </row>
    <row r="1907" spans="1:16" ht="9.75" customHeight="1">
      <c r="A1907" s="18"/>
      <c r="B1907" s="18" t="s">
        <v>25</v>
      </c>
      <c r="C1907" s="18"/>
      <c r="D1907" s="26"/>
      <c r="E1907" s="2"/>
      <c r="F1907" s="2"/>
      <c r="G1907" s="2"/>
      <c r="H1907" s="2"/>
      <c r="I1907" s="2"/>
      <c r="J1907" s="2"/>
      <c r="K1907" s="2"/>
      <c r="L1907" s="2"/>
      <c r="M1907" s="27"/>
      <c r="N1907" s="26"/>
      <c r="O1907" s="2"/>
      <c r="P1907" s="24"/>
    </row>
    <row r="1908" spans="1:16" ht="9.75" customHeight="1">
      <c r="A1908" s="18"/>
      <c r="B1908" s="18" t="s">
        <v>27</v>
      </c>
      <c r="C1908" s="18"/>
      <c r="D1908" s="26"/>
      <c r="E1908" s="2"/>
      <c r="F1908" s="2"/>
      <c r="G1908" s="2"/>
      <c r="H1908" s="2"/>
      <c r="I1908" s="2"/>
      <c r="J1908" s="2"/>
      <c r="K1908" s="2"/>
      <c r="L1908" s="2"/>
      <c r="M1908" s="27"/>
      <c r="N1908" s="26"/>
      <c r="O1908" s="2"/>
      <c r="P1908" s="24"/>
    </row>
    <row r="1909" spans="1:16" ht="9.75" customHeight="1">
      <c r="A1909" s="18"/>
      <c r="B1909" s="18" t="s">
        <v>177</v>
      </c>
      <c r="C1909" s="18">
        <v>39</v>
      </c>
      <c r="D1909" s="26">
        <f>C1909-14</f>
        <v>25</v>
      </c>
      <c r="E1909" s="116">
        <v>19</v>
      </c>
      <c r="F1909" s="116">
        <v>16</v>
      </c>
      <c r="G1909" s="116">
        <v>12</v>
      </c>
      <c r="H1909" s="116">
        <v>9</v>
      </c>
      <c r="I1909" s="2">
        <f>30-19+5</f>
        <v>16</v>
      </c>
      <c r="J1909" s="116">
        <v>17</v>
      </c>
      <c r="K1909" s="116">
        <v>16</v>
      </c>
      <c r="L1909" s="116">
        <v>17</v>
      </c>
      <c r="M1909" s="147">
        <v>20</v>
      </c>
      <c r="N1909" s="26">
        <f>MIN(D1909:M1909)</f>
        <v>9</v>
      </c>
      <c r="O1909" s="2">
        <f>C1909-N1909</f>
        <v>30</v>
      </c>
      <c r="P1909" s="24">
        <f>O1909/C1909</f>
        <v>0.76923076923076927</v>
      </c>
    </row>
    <row r="1910" spans="1:16" ht="9.75" customHeight="1">
      <c r="A1910" s="18"/>
      <c r="B1910" s="18" t="s">
        <v>99</v>
      </c>
      <c r="C1910" s="18"/>
      <c r="D1910" s="26"/>
      <c r="E1910" s="2"/>
      <c r="F1910" s="2"/>
      <c r="G1910" s="2"/>
      <c r="H1910" s="2"/>
      <c r="I1910" s="2"/>
      <c r="J1910" s="2"/>
      <c r="K1910" s="2"/>
      <c r="L1910" s="2"/>
      <c r="M1910" s="27"/>
      <c r="N1910" s="26"/>
      <c r="O1910" s="2"/>
      <c r="P1910" s="24"/>
    </row>
    <row r="1911" spans="1:16" ht="9.75" customHeight="1">
      <c r="A1911" s="18"/>
      <c r="B1911" s="18" t="s">
        <v>32</v>
      </c>
      <c r="C1911" s="18">
        <f>17+18+2+1</f>
        <v>38</v>
      </c>
      <c r="D1911" s="26">
        <f>2+16+15</f>
        <v>33</v>
      </c>
      <c r="E1911" s="2">
        <f>2+14+14</f>
        <v>30</v>
      </c>
      <c r="F1911" s="2">
        <f>14+11</f>
        <v>25</v>
      </c>
      <c r="G1911" s="2">
        <f>9+12+13</f>
        <v>34</v>
      </c>
      <c r="H1911" s="2">
        <f>2+15+14</f>
        <v>31</v>
      </c>
      <c r="I1911" s="2">
        <f>2+14+10</f>
        <v>26</v>
      </c>
      <c r="J1911" s="2">
        <f>2+14+13</f>
        <v>29</v>
      </c>
      <c r="K1911" s="2">
        <f>2+14+15</f>
        <v>31</v>
      </c>
      <c r="L1911" s="2">
        <f>2+14+13</f>
        <v>29</v>
      </c>
      <c r="M1911" s="27">
        <f>2+15+13</f>
        <v>30</v>
      </c>
      <c r="N1911" s="26">
        <f>MIN(D1911:M1911)</f>
        <v>25</v>
      </c>
      <c r="O1911" s="2">
        <f>C1911-N1911</f>
        <v>13</v>
      </c>
      <c r="P1911" s="24">
        <f>O1911/C1911</f>
        <v>0.34210526315789475</v>
      </c>
    </row>
    <row r="1912" spans="1:16" ht="9.75" customHeight="1">
      <c r="A1912" s="18"/>
      <c r="B1912" s="18" t="s">
        <v>302</v>
      </c>
      <c r="C1912" s="18">
        <v>3</v>
      </c>
      <c r="D1912" s="115">
        <v>3</v>
      </c>
      <c r="E1912" s="116">
        <v>3</v>
      </c>
      <c r="F1912" s="116">
        <v>3</v>
      </c>
      <c r="G1912" s="116">
        <v>3</v>
      </c>
      <c r="H1912" s="116">
        <v>3</v>
      </c>
      <c r="I1912" s="116">
        <v>3</v>
      </c>
      <c r="J1912" s="116">
        <v>2</v>
      </c>
      <c r="K1912" s="116">
        <v>2</v>
      </c>
      <c r="L1912" s="116">
        <v>3</v>
      </c>
      <c r="M1912" s="147">
        <v>3</v>
      </c>
      <c r="N1912" s="26"/>
      <c r="O1912" s="2"/>
      <c r="P1912" s="24"/>
    </row>
    <row r="1913" spans="1:16" ht="9.75" customHeight="1">
      <c r="A1913" s="18"/>
      <c r="B1913" s="18" t="s">
        <v>146</v>
      </c>
      <c r="C1913" s="18">
        <v>1</v>
      </c>
      <c r="D1913" s="115">
        <v>0</v>
      </c>
      <c r="E1913" s="116">
        <v>1</v>
      </c>
      <c r="F1913" s="116">
        <v>1</v>
      </c>
      <c r="G1913" s="116">
        <v>0</v>
      </c>
      <c r="H1913" s="116">
        <v>0</v>
      </c>
      <c r="I1913" s="116">
        <v>0</v>
      </c>
      <c r="J1913" s="116">
        <v>0</v>
      </c>
      <c r="K1913" s="116">
        <v>0</v>
      </c>
      <c r="L1913" s="116">
        <v>0</v>
      </c>
      <c r="M1913" s="147">
        <v>0</v>
      </c>
      <c r="N1913" s="26">
        <f>MIN(D1913:M1913)</f>
        <v>0</v>
      </c>
      <c r="O1913" s="2">
        <f>C1913-N1913</f>
        <v>1</v>
      </c>
      <c r="P1913" s="24">
        <f>O1913/C1913</f>
        <v>1</v>
      </c>
    </row>
    <row r="1914" spans="1:16" ht="9.75" customHeight="1">
      <c r="A1914" s="18"/>
      <c r="B1914" s="145" t="s">
        <v>104</v>
      </c>
      <c r="C1914" s="18"/>
      <c r="D1914" s="26"/>
      <c r="E1914" s="2"/>
      <c r="F1914" s="2"/>
      <c r="G1914" s="2"/>
      <c r="H1914" s="2"/>
      <c r="I1914" s="2"/>
      <c r="J1914" s="2"/>
      <c r="K1914" s="2"/>
      <c r="L1914" s="2"/>
      <c r="M1914" s="27"/>
      <c r="N1914" s="26"/>
      <c r="O1914" s="2"/>
      <c r="P1914" s="24"/>
    </row>
    <row r="1915" spans="1:16" ht="9.75" customHeight="1">
      <c r="A1915" s="18"/>
      <c r="B1915" s="18" t="s">
        <v>104</v>
      </c>
      <c r="C1915" s="18"/>
      <c r="D1915" s="26"/>
      <c r="E1915" s="2"/>
      <c r="F1915" s="2"/>
      <c r="G1915" s="2"/>
      <c r="H1915" s="2"/>
      <c r="I1915" s="2"/>
      <c r="J1915" s="2"/>
      <c r="K1915" s="2"/>
      <c r="L1915" s="2"/>
      <c r="M1915" s="27"/>
      <c r="N1915" s="26"/>
      <c r="O1915" s="2"/>
      <c r="P1915" s="24"/>
    </row>
    <row r="1916" spans="1:16" ht="9.75" customHeight="1">
      <c r="A1916" s="18"/>
      <c r="B1916" s="18" t="s">
        <v>104</v>
      </c>
      <c r="C1916" s="18"/>
      <c r="D1916" s="26"/>
      <c r="E1916" s="2"/>
      <c r="F1916" s="2"/>
      <c r="G1916" s="2"/>
      <c r="H1916" s="2"/>
      <c r="I1916" s="2"/>
      <c r="J1916" s="2"/>
      <c r="K1916" s="2"/>
      <c r="L1916" s="2"/>
      <c r="M1916" s="27"/>
      <c r="N1916" s="26"/>
      <c r="O1916" s="2"/>
      <c r="P1916" s="24"/>
    </row>
    <row r="1917" spans="1:16" ht="9.75" customHeight="1">
      <c r="A1917" s="18"/>
      <c r="B1917" s="18" t="s">
        <v>104</v>
      </c>
      <c r="C1917" s="18"/>
      <c r="D1917" s="26"/>
      <c r="E1917" s="2"/>
      <c r="F1917" s="2"/>
      <c r="G1917" s="2"/>
      <c r="H1917" s="2"/>
      <c r="I1917" s="2"/>
      <c r="J1917" s="2"/>
      <c r="K1917" s="2"/>
      <c r="L1917" s="2"/>
      <c r="M1917" s="27"/>
      <c r="N1917" s="26"/>
      <c r="O1917" s="2"/>
      <c r="P1917" s="24"/>
    </row>
    <row r="1918" spans="1:16" ht="9.75" customHeight="1">
      <c r="A1918" s="18"/>
      <c r="B1918" s="18" t="s">
        <v>104</v>
      </c>
      <c r="C1918" s="18"/>
      <c r="D1918" s="26"/>
      <c r="E1918" s="2"/>
      <c r="F1918" s="2"/>
      <c r="G1918" s="2"/>
      <c r="H1918" s="2"/>
      <c r="I1918" s="2"/>
      <c r="J1918" s="2"/>
      <c r="K1918" s="2"/>
      <c r="L1918" s="2"/>
      <c r="M1918" s="27"/>
      <c r="N1918" s="26"/>
      <c r="O1918" s="2"/>
      <c r="P1918" s="24"/>
    </row>
    <row r="1919" spans="1:16" ht="9.75" customHeight="1">
      <c r="A1919" s="18"/>
      <c r="B1919" s="18" t="s">
        <v>104</v>
      </c>
      <c r="C1919" s="18"/>
      <c r="D1919" s="26"/>
      <c r="E1919" s="2"/>
      <c r="F1919" s="2"/>
      <c r="G1919" s="2"/>
      <c r="H1919" s="2"/>
      <c r="I1919" s="2"/>
      <c r="J1919" s="2"/>
      <c r="K1919" s="2"/>
      <c r="L1919" s="2"/>
      <c r="M1919" s="27"/>
      <c r="N1919" s="26"/>
      <c r="O1919" s="2"/>
      <c r="P1919" s="24"/>
    </row>
    <row r="1920" spans="1:16" ht="9.75" customHeight="1">
      <c r="A1920" s="18"/>
      <c r="B1920" s="18" t="s">
        <v>34</v>
      </c>
      <c r="C1920" s="18">
        <v>18</v>
      </c>
      <c r="D1920" s="115">
        <v>17</v>
      </c>
      <c r="E1920" s="116">
        <v>15</v>
      </c>
      <c r="F1920" s="116">
        <v>15</v>
      </c>
      <c r="G1920" s="116">
        <v>7</v>
      </c>
      <c r="H1920" s="116">
        <v>13</v>
      </c>
      <c r="I1920" s="2">
        <f>3+11+2</f>
        <v>16</v>
      </c>
      <c r="J1920" s="2">
        <f>3+10+2</f>
        <v>15</v>
      </c>
      <c r="K1920" s="2">
        <f t="shared" ref="K1920:L1920" si="364">3+9+2</f>
        <v>14</v>
      </c>
      <c r="L1920" s="2">
        <f t="shared" si="364"/>
        <v>14</v>
      </c>
      <c r="M1920" s="27">
        <f>3+11+2</f>
        <v>16</v>
      </c>
      <c r="N1920" s="26">
        <f>MIN(D1920:M1920)</f>
        <v>7</v>
      </c>
      <c r="O1920" s="2">
        <f>C1920-N1920</f>
        <v>11</v>
      </c>
      <c r="P1920" s="24">
        <f>O1920/C1920</f>
        <v>0.61111111111111116</v>
      </c>
    </row>
    <row r="1921" spans="1:16" ht="9.75" customHeight="1">
      <c r="A1921" s="18"/>
      <c r="B1921" s="18" t="s">
        <v>35</v>
      </c>
      <c r="C1921" s="18"/>
      <c r="D1921" s="26"/>
      <c r="E1921" s="2"/>
      <c r="F1921" s="2"/>
      <c r="G1921" s="2"/>
      <c r="H1921" s="2"/>
      <c r="I1921" s="2"/>
      <c r="J1921" s="2"/>
      <c r="K1921" s="2"/>
      <c r="L1921" s="2"/>
      <c r="M1921" s="27"/>
      <c r="N1921" s="26"/>
      <c r="O1921" s="2"/>
      <c r="P1921" s="24"/>
    </row>
    <row r="1922" spans="1:16" ht="9.75" customHeight="1">
      <c r="A1922" s="18"/>
      <c r="B1922" s="18" t="s">
        <v>36</v>
      </c>
      <c r="C1922" s="18">
        <v>2</v>
      </c>
      <c r="D1922" s="115">
        <v>2</v>
      </c>
      <c r="E1922" s="116">
        <v>2</v>
      </c>
      <c r="F1922" s="116">
        <v>2</v>
      </c>
      <c r="G1922" s="116">
        <v>2</v>
      </c>
      <c r="H1922" s="116">
        <v>2</v>
      </c>
      <c r="I1922" s="116">
        <v>2</v>
      </c>
      <c r="J1922" s="116">
        <v>2</v>
      </c>
      <c r="K1922" s="116">
        <v>2</v>
      </c>
      <c r="L1922" s="116">
        <v>2</v>
      </c>
      <c r="M1922" s="147">
        <v>2</v>
      </c>
      <c r="N1922" s="26">
        <f t="shared" ref="N1922:N1924" si="365">MIN(D1922:M1922)</f>
        <v>2</v>
      </c>
      <c r="O1922" s="2">
        <f t="shared" ref="O1922:O1924" si="366">C1922-N1922</f>
        <v>0</v>
      </c>
      <c r="P1922" s="24">
        <f t="shared" ref="P1922:P1924" si="367">O1922/C1922</f>
        <v>0</v>
      </c>
    </row>
    <row r="1923" spans="1:16" ht="9.75" customHeight="1">
      <c r="A1923" s="18"/>
      <c r="B1923" s="18" t="s">
        <v>37</v>
      </c>
      <c r="C1923" s="145">
        <v>6</v>
      </c>
      <c r="D1923" s="115">
        <v>6</v>
      </c>
      <c r="E1923" s="116">
        <v>6</v>
      </c>
      <c r="F1923" s="116">
        <v>2</v>
      </c>
      <c r="G1923" s="116">
        <v>2</v>
      </c>
      <c r="H1923" s="116">
        <v>3</v>
      </c>
      <c r="I1923" s="116">
        <v>3</v>
      </c>
      <c r="J1923" s="116">
        <f>3+1</f>
        <v>4</v>
      </c>
      <c r="K1923" s="116">
        <f>2+1</f>
        <v>3</v>
      </c>
      <c r="L1923" s="116">
        <v>1</v>
      </c>
      <c r="M1923" s="147">
        <v>0</v>
      </c>
      <c r="N1923" s="26">
        <f t="shared" si="365"/>
        <v>0</v>
      </c>
      <c r="O1923" s="2">
        <f t="shared" si="366"/>
        <v>6</v>
      </c>
      <c r="P1923" s="24">
        <f t="shared" si="367"/>
        <v>1</v>
      </c>
    </row>
    <row r="1924" spans="1:16" ht="9.75" customHeight="1">
      <c r="A1924" s="32"/>
      <c r="B1924" s="33" t="s">
        <v>38</v>
      </c>
      <c r="C1924" s="33">
        <f t="shared" ref="C1924:M1924" si="368">SUM(C1906:C1923)</f>
        <v>130</v>
      </c>
      <c r="D1924" s="70">
        <f t="shared" si="368"/>
        <v>97</v>
      </c>
      <c r="E1924" s="71">
        <f t="shared" si="368"/>
        <v>84</v>
      </c>
      <c r="F1924" s="71">
        <f t="shared" si="368"/>
        <v>64</v>
      </c>
      <c r="G1924" s="71">
        <f t="shared" si="368"/>
        <v>62</v>
      </c>
      <c r="H1924" s="71">
        <f t="shared" si="368"/>
        <v>63</v>
      </c>
      <c r="I1924" s="71">
        <f t="shared" si="368"/>
        <v>69</v>
      </c>
      <c r="J1924" s="71">
        <f t="shared" si="368"/>
        <v>71</v>
      </c>
      <c r="K1924" s="71">
        <f t="shared" si="368"/>
        <v>71</v>
      </c>
      <c r="L1924" s="71">
        <f t="shared" si="368"/>
        <v>67</v>
      </c>
      <c r="M1924" s="93">
        <f t="shared" si="368"/>
        <v>77</v>
      </c>
      <c r="N1924" s="70">
        <f t="shared" si="365"/>
        <v>62</v>
      </c>
      <c r="O1924" s="71">
        <f t="shared" si="366"/>
        <v>68</v>
      </c>
      <c r="P1924" s="40">
        <f t="shared" si="367"/>
        <v>0.52307692307692311</v>
      </c>
    </row>
    <row r="1925" spans="1:16" ht="9.75" customHeight="1">
      <c r="A1925" s="57" t="s">
        <v>303</v>
      </c>
      <c r="B1925" s="183" t="s">
        <v>23</v>
      </c>
      <c r="C1925" s="57"/>
      <c r="D1925" s="184"/>
      <c r="E1925" s="185"/>
      <c r="F1925" s="185"/>
      <c r="G1925" s="185"/>
      <c r="H1925" s="185"/>
      <c r="I1925" s="185"/>
      <c r="J1925" s="185"/>
      <c r="K1925" s="185"/>
      <c r="L1925" s="185"/>
      <c r="M1925" s="186"/>
      <c r="N1925" s="184"/>
      <c r="O1925" s="185"/>
      <c r="P1925" s="187"/>
    </row>
    <row r="1926" spans="1:16" ht="15.75" customHeight="1">
      <c r="A1926" s="57"/>
      <c r="B1926" s="57" t="s">
        <v>25</v>
      </c>
      <c r="C1926" s="57">
        <v>34</v>
      </c>
      <c r="D1926" s="184">
        <v>31</v>
      </c>
      <c r="E1926" s="185">
        <f>C1926-7</f>
        <v>27</v>
      </c>
      <c r="F1926" s="185">
        <f>C1926-11</f>
        <v>23</v>
      </c>
      <c r="G1926" s="185">
        <f>C1926-17</f>
        <v>17</v>
      </c>
      <c r="H1926" s="185">
        <v>14</v>
      </c>
      <c r="I1926" s="188">
        <f>C1926-17</f>
        <v>17</v>
      </c>
      <c r="J1926" s="185">
        <f>C1926-19</f>
        <v>15</v>
      </c>
      <c r="K1926" s="185">
        <f>C1926-19</f>
        <v>15</v>
      </c>
      <c r="L1926" s="185">
        <f>C1926-16</f>
        <v>18</v>
      </c>
      <c r="M1926" s="186">
        <f>C1926-13</f>
        <v>21</v>
      </c>
      <c r="N1926" s="184">
        <f>MIN(D1926:M1926)</f>
        <v>14</v>
      </c>
      <c r="O1926" s="185">
        <f>C1926-N1926</f>
        <v>20</v>
      </c>
      <c r="P1926" s="187">
        <f>O1926/C1926</f>
        <v>0.58823529411764708</v>
      </c>
    </row>
    <row r="1927" spans="1:16" ht="15.75" customHeight="1">
      <c r="A1927" s="57"/>
      <c r="B1927" s="57" t="s">
        <v>27</v>
      </c>
      <c r="C1927" s="57"/>
      <c r="D1927" s="184"/>
      <c r="E1927" s="185"/>
      <c r="F1927" s="185"/>
      <c r="G1927" s="185"/>
      <c r="H1927" s="185"/>
      <c r="I1927" s="185"/>
      <c r="J1927" s="185"/>
      <c r="K1927" s="185"/>
      <c r="L1927" s="185"/>
      <c r="M1927" s="186"/>
      <c r="N1927" s="184"/>
      <c r="O1927" s="185"/>
      <c r="P1927" s="187"/>
    </row>
    <row r="1928" spans="1:16" ht="15.75" customHeight="1">
      <c r="A1928" s="57"/>
      <c r="B1928" s="57" t="s">
        <v>99</v>
      </c>
      <c r="C1928" s="57"/>
      <c r="D1928" s="184"/>
      <c r="E1928" s="185"/>
      <c r="F1928" s="185"/>
      <c r="G1928" s="185"/>
      <c r="H1928" s="185"/>
      <c r="I1928" s="185"/>
      <c r="J1928" s="185"/>
      <c r="K1928" s="185"/>
      <c r="L1928" s="185"/>
      <c r="M1928" s="186"/>
      <c r="N1928" s="184"/>
      <c r="O1928" s="185"/>
      <c r="P1928" s="187"/>
    </row>
    <row r="1929" spans="1:16" ht="15.75" customHeight="1">
      <c r="A1929" s="57"/>
      <c r="B1929" s="57" t="s">
        <v>99</v>
      </c>
      <c r="C1929" s="57"/>
      <c r="D1929" s="184"/>
      <c r="E1929" s="185"/>
      <c r="F1929" s="185"/>
      <c r="G1929" s="185"/>
      <c r="H1929" s="185"/>
      <c r="I1929" s="185"/>
      <c r="J1929" s="185"/>
      <c r="K1929" s="185"/>
      <c r="L1929" s="185"/>
      <c r="M1929" s="186"/>
      <c r="N1929" s="184"/>
      <c r="O1929" s="185"/>
      <c r="P1929" s="187"/>
    </row>
    <row r="1930" spans="1:16" ht="15.75" customHeight="1">
      <c r="A1930" s="57"/>
      <c r="B1930" s="57" t="s">
        <v>32</v>
      </c>
      <c r="C1930" s="57"/>
      <c r="D1930" s="184"/>
      <c r="E1930" s="185"/>
      <c r="F1930" s="185"/>
      <c r="G1930" s="185"/>
      <c r="H1930" s="185"/>
      <c r="I1930" s="185"/>
      <c r="J1930" s="185"/>
      <c r="K1930" s="185"/>
      <c r="L1930" s="185"/>
      <c r="M1930" s="186"/>
      <c r="N1930" s="184"/>
      <c r="O1930" s="185"/>
      <c r="P1930" s="187"/>
    </row>
    <row r="1931" spans="1:16" ht="15.75" customHeight="1">
      <c r="A1931" s="57"/>
      <c r="B1931" s="57" t="s">
        <v>104</v>
      </c>
      <c r="C1931" s="57"/>
      <c r="D1931" s="184"/>
      <c r="E1931" s="185"/>
      <c r="F1931" s="185"/>
      <c r="G1931" s="185"/>
      <c r="H1931" s="185"/>
      <c r="I1931" s="185"/>
      <c r="J1931" s="185"/>
      <c r="K1931" s="185"/>
      <c r="L1931" s="185"/>
      <c r="M1931" s="186"/>
      <c r="N1931" s="184"/>
      <c r="O1931" s="185"/>
      <c r="P1931" s="187"/>
    </row>
    <row r="1932" spans="1:16" ht="15.75" customHeight="1">
      <c r="A1932" s="57"/>
      <c r="B1932" s="57" t="s">
        <v>104</v>
      </c>
      <c r="C1932" s="57"/>
      <c r="D1932" s="184"/>
      <c r="E1932" s="185"/>
      <c r="F1932" s="185"/>
      <c r="G1932" s="185"/>
      <c r="H1932" s="185"/>
      <c r="I1932" s="185"/>
      <c r="J1932" s="185"/>
      <c r="K1932" s="185"/>
      <c r="L1932" s="185"/>
      <c r="M1932" s="186"/>
      <c r="N1932" s="184"/>
      <c r="O1932" s="185"/>
      <c r="P1932" s="187"/>
    </row>
    <row r="1933" spans="1:16" ht="15.75" customHeight="1">
      <c r="A1933" s="57"/>
      <c r="B1933" s="57" t="s">
        <v>104</v>
      </c>
      <c r="C1933" s="57"/>
      <c r="D1933" s="184"/>
      <c r="E1933" s="185"/>
      <c r="F1933" s="185"/>
      <c r="G1933" s="185"/>
      <c r="H1933" s="185"/>
      <c r="I1933" s="185"/>
      <c r="J1933" s="185"/>
      <c r="K1933" s="185"/>
      <c r="L1933" s="185"/>
      <c r="M1933" s="186"/>
      <c r="N1933" s="184"/>
      <c r="O1933" s="185"/>
      <c r="P1933" s="187"/>
    </row>
    <row r="1934" spans="1:16" ht="15.75" customHeight="1">
      <c r="A1934" s="57"/>
      <c r="B1934" s="57" t="s">
        <v>104</v>
      </c>
      <c r="C1934" s="57"/>
      <c r="D1934" s="184"/>
      <c r="E1934" s="185"/>
      <c r="F1934" s="185"/>
      <c r="G1934" s="185"/>
      <c r="H1934" s="185"/>
      <c r="I1934" s="185"/>
      <c r="J1934" s="185"/>
      <c r="K1934" s="185"/>
      <c r="L1934" s="185"/>
      <c r="M1934" s="186"/>
      <c r="N1934" s="184"/>
      <c r="O1934" s="185"/>
      <c r="P1934" s="187"/>
    </row>
    <row r="1935" spans="1:16" ht="15.75" customHeight="1">
      <c r="A1935" s="57"/>
      <c r="B1935" s="57" t="s">
        <v>104</v>
      </c>
      <c r="C1935" s="57"/>
      <c r="D1935" s="184"/>
      <c r="E1935" s="185"/>
      <c r="F1935" s="185"/>
      <c r="G1935" s="185"/>
      <c r="H1935" s="185"/>
      <c r="I1935" s="185"/>
      <c r="J1935" s="185"/>
      <c r="K1935" s="185"/>
      <c r="L1935" s="185"/>
      <c r="M1935" s="186"/>
      <c r="N1935" s="184"/>
      <c r="O1935" s="185"/>
      <c r="P1935" s="187"/>
    </row>
    <row r="1936" spans="1:16" ht="15.75" customHeight="1">
      <c r="A1936" s="57"/>
      <c r="B1936" s="57" t="s">
        <v>104</v>
      </c>
      <c r="C1936" s="57"/>
      <c r="D1936" s="184"/>
      <c r="E1936" s="185"/>
      <c r="F1936" s="185"/>
      <c r="G1936" s="185"/>
      <c r="H1936" s="185"/>
      <c r="I1936" s="185"/>
      <c r="J1936" s="185"/>
      <c r="K1936" s="185"/>
      <c r="L1936" s="185"/>
      <c r="M1936" s="186"/>
      <c r="N1936" s="184"/>
      <c r="O1936" s="185"/>
      <c r="P1936" s="187"/>
    </row>
    <row r="1937" spans="1:16" ht="9.75" customHeight="1">
      <c r="A1937" s="57"/>
      <c r="B1937" s="57" t="s">
        <v>34</v>
      </c>
      <c r="C1937" s="57">
        <v>4</v>
      </c>
      <c r="D1937" s="184">
        <v>4</v>
      </c>
      <c r="E1937" s="185">
        <v>4</v>
      </c>
      <c r="F1937" s="185">
        <v>4</v>
      </c>
      <c r="G1937" s="185">
        <v>4</v>
      </c>
      <c r="H1937" s="185">
        <v>4</v>
      </c>
      <c r="I1937" s="188">
        <v>4</v>
      </c>
      <c r="J1937" s="188">
        <v>4</v>
      </c>
      <c r="K1937" s="188">
        <v>4</v>
      </c>
      <c r="L1937" s="188">
        <v>4</v>
      </c>
      <c r="M1937" s="189">
        <v>4</v>
      </c>
      <c r="N1937" s="184">
        <f>MIN(D1937:M1937)</f>
        <v>4</v>
      </c>
      <c r="O1937" s="185">
        <f>C1937-N1937</f>
        <v>0</v>
      </c>
      <c r="P1937" s="187">
        <f>O1937/C1937</f>
        <v>0</v>
      </c>
    </row>
    <row r="1938" spans="1:16" ht="9.75" customHeight="1">
      <c r="A1938" s="57"/>
      <c r="B1938" s="57" t="s">
        <v>35</v>
      </c>
      <c r="C1938" s="57"/>
      <c r="D1938" s="184"/>
      <c r="E1938" s="185"/>
      <c r="F1938" s="185"/>
      <c r="G1938" s="185"/>
      <c r="H1938" s="185"/>
      <c r="I1938" s="185"/>
      <c r="J1938" s="185"/>
      <c r="K1938" s="185"/>
      <c r="L1938" s="185"/>
      <c r="M1938" s="186"/>
      <c r="N1938" s="184"/>
      <c r="O1938" s="185"/>
      <c r="P1938" s="187"/>
    </row>
    <row r="1939" spans="1:16" ht="9.75" customHeight="1">
      <c r="A1939" s="57"/>
      <c r="B1939" s="57" t="s">
        <v>36</v>
      </c>
      <c r="C1939" s="57"/>
      <c r="D1939" s="184"/>
      <c r="E1939" s="185"/>
      <c r="F1939" s="185"/>
      <c r="G1939" s="185"/>
      <c r="H1939" s="185"/>
      <c r="I1939" s="185"/>
      <c r="J1939" s="185"/>
      <c r="K1939" s="185"/>
      <c r="L1939" s="185"/>
      <c r="M1939" s="186"/>
      <c r="N1939" s="184"/>
      <c r="O1939" s="185"/>
      <c r="P1939" s="187"/>
    </row>
    <row r="1940" spans="1:16" ht="9.75" customHeight="1">
      <c r="A1940" s="57"/>
      <c r="B1940" s="57" t="s">
        <v>37</v>
      </c>
      <c r="C1940" s="57"/>
      <c r="D1940" s="184"/>
      <c r="E1940" s="185"/>
      <c r="F1940" s="185"/>
      <c r="G1940" s="185"/>
      <c r="H1940" s="185"/>
      <c r="I1940" s="185"/>
      <c r="J1940" s="185"/>
      <c r="K1940" s="185"/>
      <c r="L1940" s="185"/>
      <c r="M1940" s="186"/>
      <c r="N1940" s="184"/>
      <c r="O1940" s="185"/>
      <c r="P1940" s="187"/>
    </row>
    <row r="1941" spans="1:16" ht="9.75" customHeight="1">
      <c r="A1941" s="18"/>
      <c r="B1941" s="33" t="s">
        <v>38</v>
      </c>
      <c r="C1941" s="33">
        <f t="shared" ref="C1941:M1941" si="369">SUM(C1925:C1940)</f>
        <v>38</v>
      </c>
      <c r="D1941" s="70">
        <f t="shared" si="369"/>
        <v>35</v>
      </c>
      <c r="E1941" s="71">
        <f t="shared" si="369"/>
        <v>31</v>
      </c>
      <c r="F1941" s="71">
        <f t="shared" si="369"/>
        <v>27</v>
      </c>
      <c r="G1941" s="71">
        <f t="shared" si="369"/>
        <v>21</v>
      </c>
      <c r="H1941" s="71">
        <f t="shared" si="369"/>
        <v>18</v>
      </c>
      <c r="I1941" s="71">
        <f t="shared" si="369"/>
        <v>21</v>
      </c>
      <c r="J1941" s="71">
        <f t="shared" si="369"/>
        <v>19</v>
      </c>
      <c r="K1941" s="71">
        <f t="shared" si="369"/>
        <v>19</v>
      </c>
      <c r="L1941" s="71">
        <f t="shared" si="369"/>
        <v>22</v>
      </c>
      <c r="M1941" s="93">
        <f t="shared" si="369"/>
        <v>25</v>
      </c>
      <c r="N1941" s="70">
        <f>MIN(D1941:M1941)</f>
        <v>18</v>
      </c>
      <c r="O1941" s="71">
        <f>C1941-N1941</f>
        <v>20</v>
      </c>
      <c r="P1941" s="40">
        <f>O1941/C1941</f>
        <v>0.52631578947368418</v>
      </c>
    </row>
    <row r="1942" spans="1:16" ht="9.75" customHeight="1">
      <c r="A1942" s="66" t="s">
        <v>304</v>
      </c>
      <c r="B1942" s="66" t="s">
        <v>23</v>
      </c>
      <c r="C1942" s="18"/>
      <c r="D1942" s="26"/>
      <c r="E1942" s="2"/>
      <c r="F1942" s="2"/>
      <c r="G1942" s="2"/>
      <c r="H1942" s="2"/>
      <c r="I1942" s="2"/>
      <c r="J1942" s="2"/>
      <c r="K1942" s="2"/>
      <c r="L1942" s="2"/>
      <c r="M1942" s="27"/>
      <c r="N1942" s="26"/>
      <c r="O1942" s="2"/>
      <c r="P1942" s="24"/>
    </row>
    <row r="1943" spans="1:16" ht="9.75" customHeight="1">
      <c r="A1943" s="18"/>
      <c r="B1943" s="18" t="s">
        <v>25</v>
      </c>
      <c r="C1943" s="18"/>
      <c r="D1943" s="26"/>
      <c r="E1943" s="2"/>
      <c r="F1943" s="2"/>
      <c r="G1943" s="2"/>
      <c r="H1943" s="2"/>
      <c r="I1943" s="2"/>
      <c r="J1943" s="2"/>
      <c r="K1943" s="2"/>
      <c r="L1943" s="2"/>
      <c r="M1943" s="27"/>
      <c r="N1943" s="26"/>
      <c r="O1943" s="2"/>
      <c r="P1943" s="24"/>
    </row>
    <row r="1944" spans="1:16" ht="9.75" customHeight="1">
      <c r="A1944" s="18"/>
      <c r="B1944" s="18" t="s">
        <v>27</v>
      </c>
      <c r="C1944" s="18"/>
      <c r="D1944" s="26"/>
      <c r="E1944" s="2"/>
      <c r="F1944" s="2"/>
      <c r="G1944" s="2"/>
      <c r="H1944" s="2"/>
      <c r="I1944" s="2"/>
      <c r="J1944" s="2"/>
      <c r="K1944" s="2"/>
      <c r="L1944" s="2"/>
      <c r="M1944" s="27"/>
      <c r="N1944" s="26"/>
      <c r="O1944" s="2"/>
      <c r="P1944" s="24"/>
    </row>
    <row r="1945" spans="1:16" ht="9.75" customHeight="1">
      <c r="A1945" s="18"/>
      <c r="B1945" s="18" t="s">
        <v>99</v>
      </c>
      <c r="C1945" s="18"/>
      <c r="D1945" s="26"/>
      <c r="E1945" s="2"/>
      <c r="F1945" s="2"/>
      <c r="G1945" s="2"/>
      <c r="H1945" s="2"/>
      <c r="I1945" s="2"/>
      <c r="J1945" s="2"/>
      <c r="K1945" s="2"/>
      <c r="L1945" s="2"/>
      <c r="M1945" s="27"/>
      <c r="N1945" s="26"/>
      <c r="O1945" s="2"/>
      <c r="P1945" s="24"/>
    </row>
    <row r="1946" spans="1:16" ht="9.75" customHeight="1">
      <c r="A1946" s="18"/>
      <c r="B1946" s="18" t="s">
        <v>99</v>
      </c>
      <c r="C1946" s="18"/>
      <c r="D1946" s="26"/>
      <c r="E1946" s="2"/>
      <c r="F1946" s="2"/>
      <c r="G1946" s="2"/>
      <c r="H1946" s="2"/>
      <c r="I1946" s="2"/>
      <c r="J1946" s="2"/>
      <c r="K1946" s="2"/>
      <c r="L1946" s="2"/>
      <c r="M1946" s="27"/>
      <c r="N1946" s="26"/>
      <c r="O1946" s="2"/>
      <c r="P1946" s="24"/>
    </row>
    <row r="1947" spans="1:16" ht="9.75" customHeight="1">
      <c r="A1947" s="18"/>
      <c r="B1947" s="18" t="s">
        <v>32</v>
      </c>
      <c r="C1947" s="18">
        <v>8</v>
      </c>
      <c r="D1947" s="115">
        <v>4</v>
      </c>
      <c r="E1947" s="116">
        <v>4</v>
      </c>
      <c r="F1947" s="116">
        <v>4</v>
      </c>
      <c r="G1947" s="116">
        <v>4</v>
      </c>
      <c r="H1947" s="116">
        <v>4</v>
      </c>
      <c r="I1947" s="116">
        <v>4</v>
      </c>
      <c r="J1947" s="116">
        <v>4</v>
      </c>
      <c r="K1947" s="116">
        <v>4</v>
      </c>
      <c r="L1947" s="116">
        <v>6</v>
      </c>
      <c r="M1947" s="147">
        <v>7</v>
      </c>
      <c r="N1947" s="26">
        <f>MIN(D1947:M1947)</f>
        <v>4</v>
      </c>
      <c r="O1947" s="2">
        <f>C1947-N1947</f>
        <v>4</v>
      </c>
      <c r="P1947" s="24">
        <f>O1947/C1947</f>
        <v>0.5</v>
      </c>
    </row>
    <row r="1948" spans="1:16" ht="9.75" customHeight="1">
      <c r="A1948" s="18"/>
      <c r="B1948" s="18" t="s">
        <v>104</v>
      </c>
      <c r="C1948" s="18"/>
      <c r="D1948" s="26"/>
      <c r="E1948" s="2"/>
      <c r="F1948" s="2"/>
      <c r="G1948" s="2"/>
      <c r="H1948" s="2"/>
      <c r="I1948" s="2"/>
      <c r="J1948" s="2"/>
      <c r="K1948" s="2"/>
      <c r="L1948" s="2"/>
      <c r="M1948" s="27"/>
      <c r="N1948" s="26"/>
      <c r="O1948" s="2"/>
      <c r="P1948" s="24"/>
    </row>
    <row r="1949" spans="1:16" ht="9.75" customHeight="1">
      <c r="A1949" s="18"/>
      <c r="B1949" s="18" t="s">
        <v>104</v>
      </c>
      <c r="C1949" s="18"/>
      <c r="D1949" s="26"/>
      <c r="E1949" s="2"/>
      <c r="F1949" s="2"/>
      <c r="G1949" s="2"/>
      <c r="H1949" s="2"/>
      <c r="I1949" s="2"/>
      <c r="J1949" s="2"/>
      <c r="K1949" s="2"/>
      <c r="L1949" s="2"/>
      <c r="M1949" s="27"/>
      <c r="N1949" s="26"/>
      <c r="O1949" s="2"/>
      <c r="P1949" s="24"/>
    </row>
    <row r="1950" spans="1:16" ht="9.75" customHeight="1">
      <c r="A1950" s="18"/>
      <c r="B1950" s="18" t="s">
        <v>104</v>
      </c>
      <c r="C1950" s="18"/>
      <c r="D1950" s="26"/>
      <c r="E1950" s="2"/>
      <c r="F1950" s="2"/>
      <c r="G1950" s="2"/>
      <c r="H1950" s="2"/>
      <c r="I1950" s="2"/>
      <c r="J1950" s="2"/>
      <c r="K1950" s="2"/>
      <c r="L1950" s="2"/>
      <c r="M1950" s="27"/>
      <c r="N1950" s="26"/>
      <c r="O1950" s="2"/>
      <c r="P1950" s="24"/>
    </row>
    <row r="1951" spans="1:16" ht="9.75" customHeight="1">
      <c r="A1951" s="18"/>
      <c r="B1951" s="18" t="s">
        <v>104</v>
      </c>
      <c r="C1951" s="18"/>
      <c r="D1951" s="26"/>
      <c r="E1951" s="2"/>
      <c r="F1951" s="2"/>
      <c r="G1951" s="2"/>
      <c r="H1951" s="2"/>
      <c r="I1951" s="2"/>
      <c r="J1951" s="2"/>
      <c r="K1951" s="2"/>
      <c r="L1951" s="2"/>
      <c r="M1951" s="27"/>
      <c r="N1951" s="26"/>
      <c r="O1951" s="2"/>
      <c r="P1951" s="24"/>
    </row>
    <row r="1952" spans="1:16" ht="9.75" customHeight="1">
      <c r="A1952" s="18"/>
      <c r="B1952" s="18" t="s">
        <v>104</v>
      </c>
      <c r="C1952" s="18"/>
      <c r="D1952" s="26"/>
      <c r="E1952" s="2"/>
      <c r="F1952" s="2"/>
      <c r="G1952" s="2"/>
      <c r="H1952" s="2"/>
      <c r="I1952" s="2"/>
      <c r="J1952" s="2"/>
      <c r="K1952" s="2"/>
      <c r="L1952" s="2"/>
      <c r="M1952" s="27"/>
      <c r="N1952" s="26"/>
      <c r="O1952" s="2"/>
      <c r="P1952" s="24"/>
    </row>
    <row r="1953" spans="1:16" ht="9.75" customHeight="1">
      <c r="A1953" s="18"/>
      <c r="B1953" s="18" t="s">
        <v>104</v>
      </c>
      <c r="C1953" s="18"/>
      <c r="D1953" s="26"/>
      <c r="E1953" s="2"/>
      <c r="F1953" s="2"/>
      <c r="G1953" s="2"/>
      <c r="H1953" s="2"/>
      <c r="I1953" s="2"/>
      <c r="J1953" s="2"/>
      <c r="K1953" s="2"/>
      <c r="L1953" s="2"/>
      <c r="M1953" s="27"/>
      <c r="N1953" s="26"/>
      <c r="O1953" s="2"/>
      <c r="P1953" s="24"/>
    </row>
    <row r="1954" spans="1:16" ht="9.75" customHeight="1">
      <c r="A1954" s="18"/>
      <c r="B1954" s="18" t="s">
        <v>34</v>
      </c>
      <c r="C1954" s="18">
        <v>1</v>
      </c>
      <c r="D1954" s="115">
        <v>1</v>
      </c>
      <c r="E1954" s="116">
        <v>1</v>
      </c>
      <c r="F1954" s="116">
        <v>1</v>
      </c>
      <c r="G1954" s="116">
        <v>1</v>
      </c>
      <c r="H1954" s="116">
        <v>1</v>
      </c>
      <c r="I1954" s="116">
        <v>1</v>
      </c>
      <c r="J1954" s="116">
        <v>1</v>
      </c>
      <c r="K1954" s="116">
        <v>1</v>
      </c>
      <c r="L1954" s="116">
        <v>1</v>
      </c>
      <c r="M1954" s="147">
        <v>1</v>
      </c>
      <c r="N1954" s="26">
        <f t="shared" ref="N1954:N1955" si="370">MIN(D1954:M1954)</f>
        <v>1</v>
      </c>
      <c r="O1954" s="2">
        <f t="shared" ref="O1954:O1955" si="371">C1954-N1954</f>
        <v>0</v>
      </c>
      <c r="P1954" s="24">
        <f t="shared" ref="P1954:P1955" si="372">O1954/C1954</f>
        <v>0</v>
      </c>
    </row>
    <row r="1955" spans="1:16" ht="9.75" customHeight="1">
      <c r="A1955" s="18"/>
      <c r="B1955" s="18" t="s">
        <v>35</v>
      </c>
      <c r="C1955" s="18">
        <v>7</v>
      </c>
      <c r="D1955" s="115">
        <v>5</v>
      </c>
      <c r="E1955" s="116">
        <v>3</v>
      </c>
      <c r="F1955" s="116">
        <v>2</v>
      </c>
      <c r="G1955" s="116">
        <v>2</v>
      </c>
      <c r="H1955" s="116">
        <v>2</v>
      </c>
      <c r="I1955" s="116">
        <v>3</v>
      </c>
      <c r="J1955" s="116">
        <v>1</v>
      </c>
      <c r="K1955" s="116">
        <v>0</v>
      </c>
      <c r="L1955" s="116">
        <v>0</v>
      </c>
      <c r="M1955" s="147">
        <v>1</v>
      </c>
      <c r="N1955" s="26">
        <f t="shared" si="370"/>
        <v>0</v>
      </c>
      <c r="O1955" s="2">
        <f t="shared" si="371"/>
        <v>7</v>
      </c>
      <c r="P1955" s="24">
        <f t="shared" si="372"/>
        <v>1</v>
      </c>
    </row>
    <row r="1956" spans="1:16" ht="9.75" customHeight="1">
      <c r="A1956" s="18"/>
      <c r="B1956" s="18" t="s">
        <v>36</v>
      </c>
      <c r="C1956" s="18"/>
      <c r="D1956" s="26"/>
      <c r="E1956" s="2"/>
      <c r="F1956" s="2"/>
      <c r="G1956" s="2"/>
      <c r="H1956" s="2"/>
      <c r="I1956" s="2"/>
      <c r="J1956" s="2"/>
      <c r="K1956" s="2"/>
      <c r="L1956" s="2"/>
      <c r="M1956" s="27"/>
      <c r="N1956" s="26"/>
      <c r="O1956" s="2"/>
      <c r="P1956" s="24"/>
    </row>
    <row r="1957" spans="1:16" ht="9.75" customHeight="1">
      <c r="A1957" s="18"/>
      <c r="B1957" s="18" t="s">
        <v>37</v>
      </c>
      <c r="C1957" s="18"/>
      <c r="D1957" s="26"/>
      <c r="E1957" s="2"/>
      <c r="F1957" s="2"/>
      <c r="G1957" s="2"/>
      <c r="H1957" s="2"/>
      <c r="I1957" s="2"/>
      <c r="J1957" s="2"/>
      <c r="K1957" s="2"/>
      <c r="L1957" s="2"/>
      <c r="M1957" s="27"/>
      <c r="N1957" s="26"/>
      <c r="O1957" s="2"/>
      <c r="P1957" s="24"/>
    </row>
    <row r="1958" spans="1:16" ht="9.75" customHeight="1">
      <c r="A1958" s="32"/>
      <c r="B1958" s="33" t="s">
        <v>38</v>
      </c>
      <c r="C1958" s="33">
        <f t="shared" ref="C1958:M1958" si="373">SUM(C1942:C1957)</f>
        <v>16</v>
      </c>
      <c r="D1958" s="70">
        <f t="shared" si="373"/>
        <v>10</v>
      </c>
      <c r="E1958" s="71">
        <f t="shared" si="373"/>
        <v>8</v>
      </c>
      <c r="F1958" s="71">
        <f t="shared" si="373"/>
        <v>7</v>
      </c>
      <c r="G1958" s="71">
        <f t="shared" si="373"/>
        <v>7</v>
      </c>
      <c r="H1958" s="71">
        <f t="shared" si="373"/>
        <v>7</v>
      </c>
      <c r="I1958" s="71">
        <f t="shared" si="373"/>
        <v>8</v>
      </c>
      <c r="J1958" s="71">
        <f t="shared" si="373"/>
        <v>6</v>
      </c>
      <c r="K1958" s="71">
        <f t="shared" si="373"/>
        <v>5</v>
      </c>
      <c r="L1958" s="71">
        <f t="shared" si="373"/>
        <v>7</v>
      </c>
      <c r="M1958" s="93">
        <f t="shared" si="373"/>
        <v>9</v>
      </c>
      <c r="N1958" s="70">
        <f>MIN(D1958:M1958)</f>
        <v>5</v>
      </c>
      <c r="O1958" s="71">
        <f>C1958-N1958</f>
        <v>11</v>
      </c>
      <c r="P1958" s="40">
        <f>O1958/C1958</f>
        <v>0.6875</v>
      </c>
    </row>
    <row r="1959" spans="1:16" ht="9.75" customHeight="1">
      <c r="A1959" s="66" t="s">
        <v>305</v>
      </c>
      <c r="B1959" s="66" t="s">
        <v>23</v>
      </c>
      <c r="C1959" s="66"/>
      <c r="D1959" s="41"/>
      <c r="E1959" s="72"/>
      <c r="F1959" s="72"/>
      <c r="G1959" s="72"/>
      <c r="H1959" s="72"/>
      <c r="I1959" s="72"/>
      <c r="J1959" s="72"/>
      <c r="K1959" s="72"/>
      <c r="L1959" s="72"/>
      <c r="M1959" s="73"/>
      <c r="N1959" s="41"/>
      <c r="O1959" s="72"/>
      <c r="P1959" s="99"/>
    </row>
    <row r="1960" spans="1:16" ht="9.75" customHeight="1">
      <c r="A1960" s="18"/>
      <c r="B1960" s="18" t="s">
        <v>25</v>
      </c>
      <c r="C1960" s="18"/>
      <c r="D1960" s="26"/>
      <c r="E1960" s="2"/>
      <c r="F1960" s="2"/>
      <c r="G1960" s="2"/>
      <c r="H1960" s="2"/>
      <c r="I1960" s="2"/>
      <c r="J1960" s="2"/>
      <c r="K1960" s="2"/>
      <c r="L1960" s="2"/>
      <c r="M1960" s="27"/>
      <c r="N1960" s="26"/>
      <c r="O1960" s="2"/>
      <c r="P1960" s="24"/>
    </row>
    <row r="1961" spans="1:16" ht="9.75" customHeight="1">
      <c r="A1961" s="18"/>
      <c r="B1961" s="18" t="s">
        <v>27</v>
      </c>
      <c r="C1961" s="18"/>
      <c r="D1961" s="26"/>
      <c r="E1961" s="2"/>
      <c r="F1961" s="2"/>
      <c r="G1961" s="2"/>
      <c r="H1961" s="2"/>
      <c r="I1961" s="2"/>
      <c r="J1961" s="2"/>
      <c r="K1961" s="2"/>
      <c r="L1961" s="2"/>
      <c r="M1961" s="27"/>
      <c r="N1961" s="26"/>
      <c r="O1961" s="2"/>
      <c r="P1961" s="24"/>
    </row>
    <row r="1962" spans="1:16" ht="9.75" customHeight="1">
      <c r="A1962" s="18"/>
      <c r="B1962" s="18" t="s">
        <v>99</v>
      </c>
      <c r="C1962" s="18"/>
      <c r="D1962" s="26"/>
      <c r="E1962" s="2"/>
      <c r="F1962" s="2"/>
      <c r="G1962" s="2"/>
      <c r="H1962" s="2"/>
      <c r="I1962" s="2"/>
      <c r="J1962" s="2"/>
      <c r="K1962" s="2"/>
      <c r="L1962" s="2"/>
      <c r="M1962" s="27"/>
      <c r="N1962" s="26"/>
      <c r="O1962" s="2"/>
      <c r="P1962" s="24"/>
    </row>
    <row r="1963" spans="1:16" ht="9.75" customHeight="1">
      <c r="A1963" s="18"/>
      <c r="B1963" s="18" t="s">
        <v>99</v>
      </c>
      <c r="C1963" s="18"/>
      <c r="D1963" s="26"/>
      <c r="E1963" s="2"/>
      <c r="F1963" s="2"/>
      <c r="G1963" s="2"/>
      <c r="H1963" s="2"/>
      <c r="I1963" s="2"/>
      <c r="J1963" s="2"/>
      <c r="K1963" s="2"/>
      <c r="L1963" s="2"/>
      <c r="M1963" s="27"/>
      <c r="N1963" s="26"/>
      <c r="O1963" s="2"/>
      <c r="P1963" s="24"/>
    </row>
    <row r="1964" spans="1:16" ht="9.75" customHeight="1">
      <c r="A1964" s="18"/>
      <c r="B1964" s="18" t="s">
        <v>32</v>
      </c>
      <c r="C1964" s="18">
        <v>6</v>
      </c>
      <c r="D1964" s="115">
        <v>6</v>
      </c>
      <c r="E1964" s="116">
        <v>6</v>
      </c>
      <c r="F1964" s="116">
        <v>6</v>
      </c>
      <c r="G1964" s="116">
        <v>6</v>
      </c>
      <c r="H1964" s="116">
        <v>6</v>
      </c>
      <c r="I1964" s="116">
        <v>4</v>
      </c>
      <c r="J1964" s="116">
        <v>3</v>
      </c>
      <c r="K1964" s="116">
        <v>5</v>
      </c>
      <c r="L1964" s="116">
        <v>5</v>
      </c>
      <c r="M1964" s="147">
        <v>5</v>
      </c>
      <c r="N1964" s="26">
        <f>MIN(D1964:M1964)</f>
        <v>3</v>
      </c>
      <c r="O1964" s="2">
        <f>C1964-N1964</f>
        <v>3</v>
      </c>
      <c r="P1964" s="24">
        <f>O1964/C1964</f>
        <v>0.5</v>
      </c>
    </row>
    <row r="1965" spans="1:16" ht="9.75" customHeight="1">
      <c r="A1965" s="18"/>
      <c r="B1965" s="18" t="s">
        <v>104</v>
      </c>
      <c r="C1965" s="18"/>
      <c r="D1965" s="26"/>
      <c r="E1965" s="2"/>
      <c r="F1965" s="2"/>
      <c r="G1965" s="2"/>
      <c r="H1965" s="2"/>
      <c r="I1965" s="2"/>
      <c r="J1965" s="2"/>
      <c r="K1965" s="2"/>
      <c r="L1965" s="2"/>
      <c r="M1965" s="27"/>
      <c r="N1965" s="26"/>
      <c r="O1965" s="2"/>
      <c r="P1965" s="24"/>
    </row>
    <row r="1966" spans="1:16" ht="9.75" customHeight="1">
      <c r="A1966" s="18"/>
      <c r="B1966" s="18" t="s">
        <v>104</v>
      </c>
      <c r="C1966" s="18"/>
      <c r="D1966" s="26"/>
      <c r="E1966" s="2"/>
      <c r="F1966" s="2"/>
      <c r="G1966" s="2"/>
      <c r="H1966" s="2"/>
      <c r="I1966" s="2"/>
      <c r="J1966" s="2"/>
      <c r="K1966" s="2"/>
      <c r="L1966" s="2"/>
      <c r="M1966" s="27"/>
      <c r="N1966" s="26"/>
      <c r="O1966" s="2"/>
      <c r="P1966" s="24"/>
    </row>
    <row r="1967" spans="1:16" ht="9.75" customHeight="1">
      <c r="A1967" s="18"/>
      <c r="B1967" s="18" t="s">
        <v>104</v>
      </c>
      <c r="C1967" s="18"/>
      <c r="D1967" s="26"/>
      <c r="E1967" s="2"/>
      <c r="F1967" s="2"/>
      <c r="G1967" s="2"/>
      <c r="H1967" s="2"/>
      <c r="I1967" s="2"/>
      <c r="J1967" s="2"/>
      <c r="K1967" s="2"/>
      <c r="L1967" s="2"/>
      <c r="M1967" s="27"/>
      <c r="N1967" s="26"/>
      <c r="O1967" s="2"/>
      <c r="P1967" s="24"/>
    </row>
    <row r="1968" spans="1:16" ht="9.75" customHeight="1">
      <c r="A1968" s="18"/>
      <c r="B1968" s="18" t="s">
        <v>104</v>
      </c>
      <c r="C1968" s="18"/>
      <c r="D1968" s="26"/>
      <c r="E1968" s="2"/>
      <c r="F1968" s="2"/>
      <c r="G1968" s="2"/>
      <c r="H1968" s="2"/>
      <c r="I1968" s="2"/>
      <c r="J1968" s="2"/>
      <c r="K1968" s="2"/>
      <c r="L1968" s="2"/>
      <c r="M1968" s="27"/>
      <c r="N1968" s="26"/>
      <c r="O1968" s="2"/>
      <c r="P1968" s="24"/>
    </row>
    <row r="1969" spans="1:16" ht="9.75" customHeight="1">
      <c r="A1969" s="18"/>
      <c r="B1969" s="18" t="s">
        <v>104</v>
      </c>
      <c r="C1969" s="18"/>
      <c r="D1969" s="26"/>
      <c r="E1969" s="2"/>
      <c r="F1969" s="2"/>
      <c r="G1969" s="2"/>
      <c r="H1969" s="2"/>
      <c r="I1969" s="2"/>
      <c r="J1969" s="2"/>
      <c r="K1969" s="2"/>
      <c r="L1969" s="2"/>
      <c r="M1969" s="27"/>
      <c r="N1969" s="26"/>
      <c r="O1969" s="2"/>
      <c r="P1969" s="24"/>
    </row>
    <row r="1970" spans="1:16" ht="9.75" customHeight="1">
      <c r="A1970" s="18"/>
      <c r="B1970" s="18" t="s">
        <v>104</v>
      </c>
      <c r="C1970" s="18"/>
      <c r="D1970" s="26"/>
      <c r="E1970" s="2"/>
      <c r="F1970" s="2"/>
      <c r="G1970" s="2"/>
      <c r="H1970" s="2"/>
      <c r="I1970" s="2"/>
      <c r="J1970" s="2"/>
      <c r="K1970" s="2"/>
      <c r="L1970" s="2"/>
      <c r="M1970" s="27"/>
      <c r="N1970" s="26"/>
      <c r="O1970" s="2"/>
      <c r="P1970" s="24"/>
    </row>
    <row r="1971" spans="1:16" ht="9.75" customHeight="1">
      <c r="A1971" s="18"/>
      <c r="B1971" s="18" t="s">
        <v>34</v>
      </c>
      <c r="C1971" s="18">
        <v>2</v>
      </c>
      <c r="D1971" s="115">
        <v>1</v>
      </c>
      <c r="E1971" s="116">
        <v>1</v>
      </c>
      <c r="F1971" s="116">
        <v>1</v>
      </c>
      <c r="G1971" s="116">
        <v>1</v>
      </c>
      <c r="H1971" s="116">
        <v>1</v>
      </c>
      <c r="I1971" s="116">
        <v>1</v>
      </c>
      <c r="J1971" s="116">
        <v>1</v>
      </c>
      <c r="K1971" s="116">
        <v>1</v>
      </c>
      <c r="L1971" s="116">
        <v>1</v>
      </c>
      <c r="M1971" s="147">
        <v>2</v>
      </c>
      <c r="N1971" s="26">
        <f>MIN(D1971:M1971)</f>
        <v>1</v>
      </c>
      <c r="O1971" s="2">
        <f>C1971-N1971</f>
        <v>1</v>
      </c>
      <c r="P1971" s="24">
        <f>O1971/C1971</f>
        <v>0.5</v>
      </c>
    </row>
    <row r="1972" spans="1:16" ht="9.75" customHeight="1">
      <c r="A1972" s="18"/>
      <c r="B1972" s="18" t="s">
        <v>35</v>
      </c>
      <c r="C1972" s="18"/>
      <c r="D1972" s="26"/>
      <c r="E1972" s="2"/>
      <c r="F1972" s="2"/>
      <c r="G1972" s="2"/>
      <c r="H1972" s="2"/>
      <c r="I1972" s="2"/>
      <c r="J1972" s="2"/>
      <c r="K1972" s="2"/>
      <c r="L1972" s="2"/>
      <c r="M1972" s="27"/>
      <c r="N1972" s="26"/>
      <c r="O1972" s="2"/>
      <c r="P1972" s="24"/>
    </row>
    <row r="1973" spans="1:16" ht="9.75" customHeight="1">
      <c r="A1973" s="18"/>
      <c r="B1973" s="18" t="s">
        <v>36</v>
      </c>
      <c r="C1973" s="18"/>
      <c r="D1973" s="26"/>
      <c r="E1973" s="2"/>
      <c r="F1973" s="2"/>
      <c r="G1973" s="2"/>
      <c r="H1973" s="2"/>
      <c r="I1973" s="2"/>
      <c r="J1973" s="2"/>
      <c r="K1973" s="2"/>
      <c r="L1973" s="2"/>
      <c r="M1973" s="27"/>
      <c r="N1973" s="26"/>
      <c r="O1973" s="2"/>
      <c r="P1973" s="24"/>
    </row>
    <row r="1974" spans="1:16" ht="9.75" customHeight="1">
      <c r="A1974" s="18"/>
      <c r="B1974" s="18" t="s">
        <v>37</v>
      </c>
      <c r="C1974" s="18"/>
      <c r="D1974" s="26"/>
      <c r="E1974" s="2"/>
      <c r="F1974" s="2"/>
      <c r="G1974" s="2"/>
      <c r="H1974" s="2"/>
      <c r="I1974" s="2"/>
      <c r="J1974" s="2"/>
      <c r="K1974" s="2"/>
      <c r="L1974" s="2"/>
      <c r="M1974" s="27"/>
      <c r="N1974" s="26"/>
      <c r="O1974" s="2"/>
      <c r="P1974" s="24"/>
    </row>
    <row r="1975" spans="1:16" ht="9.75" customHeight="1">
      <c r="A1975" s="32"/>
      <c r="B1975" s="33" t="s">
        <v>38</v>
      </c>
      <c r="C1975" s="33">
        <f t="shared" ref="C1975:M1975" si="374">SUM(C1959:C1974)</f>
        <v>8</v>
      </c>
      <c r="D1975" s="70">
        <f t="shared" si="374"/>
        <v>7</v>
      </c>
      <c r="E1975" s="71">
        <f t="shared" si="374"/>
        <v>7</v>
      </c>
      <c r="F1975" s="71">
        <f t="shared" si="374"/>
        <v>7</v>
      </c>
      <c r="G1975" s="71">
        <f t="shared" si="374"/>
        <v>7</v>
      </c>
      <c r="H1975" s="71">
        <f t="shared" si="374"/>
        <v>7</v>
      </c>
      <c r="I1975" s="71">
        <f t="shared" si="374"/>
        <v>5</v>
      </c>
      <c r="J1975" s="71">
        <f t="shared" si="374"/>
        <v>4</v>
      </c>
      <c r="K1975" s="71">
        <f t="shared" si="374"/>
        <v>6</v>
      </c>
      <c r="L1975" s="71">
        <f t="shared" si="374"/>
        <v>6</v>
      </c>
      <c r="M1975" s="93">
        <f t="shared" si="374"/>
        <v>7</v>
      </c>
      <c r="N1975" s="70">
        <f>MIN(D1975:M1975)</f>
        <v>4</v>
      </c>
      <c r="O1975" s="71">
        <f>C1975-N1975</f>
        <v>4</v>
      </c>
      <c r="P1975" s="40">
        <f>O1975/C1975</f>
        <v>0.5</v>
      </c>
    </row>
    <row r="1976" spans="1:16" ht="9.75" customHeight="1">
      <c r="A1976" s="66" t="s">
        <v>306</v>
      </c>
      <c r="B1976" s="66" t="s">
        <v>23</v>
      </c>
      <c r="C1976" s="66"/>
      <c r="D1976" s="41"/>
      <c r="E1976" s="72"/>
      <c r="F1976" s="72"/>
      <c r="G1976" s="72"/>
      <c r="H1976" s="72"/>
      <c r="I1976" s="72"/>
      <c r="J1976" s="72"/>
      <c r="K1976" s="72"/>
      <c r="L1976" s="72"/>
      <c r="M1976" s="73"/>
      <c r="N1976" s="41"/>
      <c r="O1976" s="72"/>
      <c r="P1976" s="99"/>
    </row>
    <row r="1977" spans="1:16" ht="9.75" customHeight="1">
      <c r="A1977" s="18"/>
      <c r="B1977" s="18" t="s">
        <v>25</v>
      </c>
      <c r="C1977" s="18"/>
      <c r="D1977" s="26"/>
      <c r="E1977" s="2"/>
      <c r="F1977" s="2"/>
      <c r="G1977" s="2"/>
      <c r="H1977" s="2"/>
      <c r="I1977" s="2"/>
      <c r="J1977" s="2"/>
      <c r="K1977" s="2"/>
      <c r="L1977" s="2"/>
      <c r="M1977" s="27"/>
      <c r="N1977" s="26"/>
      <c r="O1977" s="2"/>
      <c r="P1977" s="24"/>
    </row>
    <row r="1978" spans="1:16" ht="9.75" customHeight="1">
      <c r="A1978" s="18"/>
      <c r="B1978" s="18" t="s">
        <v>27</v>
      </c>
      <c r="C1978" s="18"/>
      <c r="D1978" s="26"/>
      <c r="E1978" s="2"/>
      <c r="F1978" s="2"/>
      <c r="G1978" s="2"/>
      <c r="H1978" s="2"/>
      <c r="I1978" s="2"/>
      <c r="J1978" s="2"/>
      <c r="K1978" s="2"/>
      <c r="L1978" s="2"/>
      <c r="M1978" s="27"/>
      <c r="N1978" s="26"/>
      <c r="O1978" s="2"/>
      <c r="P1978" s="24"/>
    </row>
    <row r="1979" spans="1:16" ht="9.75" customHeight="1">
      <c r="A1979" s="18"/>
      <c r="B1979" s="18" t="s">
        <v>99</v>
      </c>
      <c r="C1979" s="18"/>
      <c r="D1979" s="26"/>
      <c r="E1979" s="2"/>
      <c r="F1979" s="2"/>
      <c r="G1979" s="2"/>
      <c r="H1979" s="2"/>
      <c r="I1979" s="2"/>
      <c r="J1979" s="2"/>
      <c r="K1979" s="2"/>
      <c r="L1979" s="2"/>
      <c r="M1979" s="27"/>
      <c r="N1979" s="26"/>
      <c r="O1979" s="2"/>
      <c r="P1979" s="24"/>
    </row>
    <row r="1980" spans="1:16" ht="9.75" customHeight="1">
      <c r="A1980" s="18"/>
      <c r="B1980" s="18" t="s">
        <v>99</v>
      </c>
      <c r="C1980" s="18"/>
      <c r="D1980" s="26"/>
      <c r="E1980" s="2"/>
      <c r="F1980" s="2"/>
      <c r="G1980" s="2"/>
      <c r="H1980" s="2"/>
      <c r="I1980" s="2"/>
      <c r="J1980" s="2"/>
      <c r="K1980" s="2"/>
      <c r="L1980" s="2"/>
      <c r="M1980" s="27"/>
      <c r="N1980" s="26"/>
      <c r="O1980" s="2"/>
      <c r="P1980" s="24"/>
    </row>
    <row r="1981" spans="1:16" ht="9.75" customHeight="1">
      <c r="A1981" s="18"/>
      <c r="B1981" s="18" t="s">
        <v>32</v>
      </c>
      <c r="C1981" s="18"/>
      <c r="D1981" s="26"/>
      <c r="E1981" s="2"/>
      <c r="F1981" s="2"/>
      <c r="G1981" s="2"/>
      <c r="H1981" s="2"/>
      <c r="I1981" s="2"/>
      <c r="J1981" s="2"/>
      <c r="K1981" s="2"/>
      <c r="L1981" s="2"/>
      <c r="M1981" s="27"/>
      <c r="N1981" s="26"/>
      <c r="O1981" s="2"/>
      <c r="P1981" s="24"/>
    </row>
    <row r="1982" spans="1:16" ht="9.75" customHeight="1">
      <c r="A1982" s="18"/>
      <c r="B1982" s="18" t="s">
        <v>104</v>
      </c>
      <c r="C1982" s="18"/>
      <c r="D1982" s="26"/>
      <c r="E1982" s="2"/>
      <c r="F1982" s="2"/>
      <c r="G1982" s="2"/>
      <c r="H1982" s="2"/>
      <c r="I1982" s="2"/>
      <c r="J1982" s="2"/>
      <c r="K1982" s="2"/>
      <c r="L1982" s="2"/>
      <c r="M1982" s="27"/>
      <c r="N1982" s="26"/>
      <c r="O1982" s="2"/>
      <c r="P1982" s="24"/>
    </row>
    <row r="1983" spans="1:16" ht="9.75" customHeight="1">
      <c r="A1983" s="18"/>
      <c r="B1983" s="18" t="s">
        <v>104</v>
      </c>
      <c r="C1983" s="18"/>
      <c r="D1983" s="26"/>
      <c r="E1983" s="2"/>
      <c r="F1983" s="2"/>
      <c r="G1983" s="2"/>
      <c r="H1983" s="2"/>
      <c r="I1983" s="2"/>
      <c r="J1983" s="2"/>
      <c r="K1983" s="2"/>
      <c r="L1983" s="2"/>
      <c r="M1983" s="27"/>
      <c r="N1983" s="26"/>
      <c r="O1983" s="2"/>
      <c r="P1983" s="24"/>
    </row>
    <row r="1984" spans="1:16" ht="9.75" customHeight="1">
      <c r="A1984" s="18"/>
      <c r="B1984" s="18" t="s">
        <v>104</v>
      </c>
      <c r="C1984" s="18"/>
      <c r="D1984" s="26"/>
      <c r="E1984" s="2"/>
      <c r="F1984" s="2"/>
      <c r="G1984" s="2"/>
      <c r="H1984" s="2"/>
      <c r="I1984" s="2"/>
      <c r="J1984" s="2"/>
      <c r="K1984" s="2"/>
      <c r="L1984" s="2"/>
      <c r="M1984" s="27"/>
      <c r="N1984" s="26"/>
      <c r="O1984" s="2"/>
      <c r="P1984" s="24"/>
    </row>
    <row r="1985" spans="1:16" ht="9.75" customHeight="1">
      <c r="A1985" s="18"/>
      <c r="B1985" s="18" t="s">
        <v>104</v>
      </c>
      <c r="C1985" s="18"/>
      <c r="D1985" s="26"/>
      <c r="E1985" s="2"/>
      <c r="F1985" s="2"/>
      <c r="G1985" s="2"/>
      <c r="H1985" s="2"/>
      <c r="I1985" s="2"/>
      <c r="J1985" s="2"/>
      <c r="K1985" s="2"/>
      <c r="L1985" s="2"/>
      <c r="M1985" s="27"/>
      <c r="N1985" s="26"/>
      <c r="O1985" s="2"/>
      <c r="P1985" s="24"/>
    </row>
    <row r="1986" spans="1:16" ht="9.75" customHeight="1">
      <c r="A1986" s="18"/>
      <c r="B1986" s="18" t="s">
        <v>104</v>
      </c>
      <c r="C1986" s="18"/>
      <c r="D1986" s="26"/>
      <c r="E1986" s="2"/>
      <c r="F1986" s="2"/>
      <c r="G1986" s="2"/>
      <c r="H1986" s="2"/>
      <c r="I1986" s="2"/>
      <c r="J1986" s="2"/>
      <c r="K1986" s="2"/>
      <c r="L1986" s="2"/>
      <c r="M1986" s="27"/>
      <c r="N1986" s="26"/>
      <c r="O1986" s="2"/>
      <c r="P1986" s="24"/>
    </row>
    <row r="1987" spans="1:16" ht="9.75" customHeight="1">
      <c r="A1987" s="18"/>
      <c r="B1987" s="18" t="s">
        <v>104</v>
      </c>
      <c r="C1987" s="18"/>
      <c r="D1987" s="26"/>
      <c r="E1987" s="2"/>
      <c r="F1987" s="2"/>
      <c r="G1987" s="2"/>
      <c r="H1987" s="2"/>
      <c r="I1987" s="2"/>
      <c r="J1987" s="2"/>
      <c r="K1987" s="2"/>
      <c r="L1987" s="2"/>
      <c r="M1987" s="27"/>
      <c r="N1987" s="26"/>
      <c r="O1987" s="2"/>
      <c r="P1987" s="24"/>
    </row>
    <row r="1988" spans="1:16" ht="9.75" customHeight="1">
      <c r="A1988" s="18"/>
      <c r="B1988" s="18" t="s">
        <v>34</v>
      </c>
      <c r="C1988" s="18"/>
      <c r="D1988" s="26"/>
      <c r="E1988" s="2"/>
      <c r="F1988" s="2"/>
      <c r="G1988" s="2"/>
      <c r="H1988" s="2"/>
      <c r="I1988" s="2"/>
      <c r="J1988" s="2"/>
      <c r="K1988" s="2"/>
      <c r="L1988" s="2"/>
      <c r="M1988" s="27"/>
      <c r="N1988" s="26"/>
      <c r="O1988" s="2"/>
      <c r="P1988" s="24"/>
    </row>
    <row r="1989" spans="1:16" ht="9.75" customHeight="1">
      <c r="A1989" s="18"/>
      <c r="B1989" s="18" t="s">
        <v>35</v>
      </c>
      <c r="C1989" s="18"/>
      <c r="D1989" s="26"/>
      <c r="E1989" s="2"/>
      <c r="F1989" s="2"/>
      <c r="G1989" s="2"/>
      <c r="H1989" s="2"/>
      <c r="I1989" s="2"/>
      <c r="J1989" s="2"/>
      <c r="K1989" s="2"/>
      <c r="L1989" s="2"/>
      <c r="M1989" s="27"/>
      <c r="N1989" s="26"/>
      <c r="O1989" s="2"/>
      <c r="P1989" s="24"/>
    </row>
    <row r="1990" spans="1:16" ht="9.75" customHeight="1">
      <c r="A1990" s="18"/>
      <c r="B1990" s="18" t="s">
        <v>307</v>
      </c>
      <c r="C1990" s="18">
        <v>8</v>
      </c>
      <c r="D1990" s="26"/>
      <c r="E1990" s="2"/>
      <c r="F1990" s="2"/>
      <c r="G1990" s="2"/>
      <c r="H1990" s="2"/>
      <c r="I1990" s="2"/>
      <c r="J1990" s="2"/>
      <c r="K1990" s="2"/>
      <c r="L1990" s="2"/>
      <c r="M1990" s="27"/>
      <c r="N1990" s="26"/>
      <c r="O1990" s="2"/>
      <c r="P1990" s="24"/>
    </row>
    <row r="1991" spans="1:16" ht="9.75" customHeight="1">
      <c r="A1991" s="18"/>
      <c r="B1991" s="18" t="s">
        <v>291</v>
      </c>
      <c r="C1991" s="18"/>
      <c r="D1991" s="26"/>
      <c r="E1991" s="2"/>
      <c r="F1991" s="2"/>
      <c r="G1991" s="2"/>
      <c r="H1991" s="2"/>
      <c r="I1991" s="2"/>
      <c r="J1991" s="2"/>
      <c r="K1991" s="2"/>
      <c r="L1991" s="2"/>
      <c r="M1991" s="27"/>
      <c r="N1991" s="26"/>
      <c r="O1991" s="2"/>
      <c r="P1991" s="24"/>
    </row>
    <row r="1992" spans="1:16" ht="9.75" customHeight="1">
      <c r="A1992" s="32"/>
      <c r="B1992" s="33" t="s">
        <v>38</v>
      </c>
      <c r="C1992" s="33">
        <f>SUM(C1976:C1991)</f>
        <v>8</v>
      </c>
      <c r="D1992" s="70"/>
      <c r="E1992" s="71"/>
      <c r="F1992" s="71"/>
      <c r="G1992" s="71"/>
      <c r="H1992" s="71"/>
      <c r="I1992" s="71"/>
      <c r="J1992" s="71"/>
      <c r="K1992" s="71"/>
      <c r="L1992" s="71"/>
      <c r="M1992" s="93"/>
      <c r="N1992" s="70"/>
      <c r="O1992" s="71"/>
      <c r="P1992" s="40"/>
    </row>
    <row r="1993" spans="1:16" ht="9.75" customHeight="1">
      <c r="A1993" s="66" t="s">
        <v>308</v>
      </c>
      <c r="B1993" s="66" t="s">
        <v>23</v>
      </c>
      <c r="C1993" s="66"/>
      <c r="D1993" s="41"/>
      <c r="E1993" s="72"/>
      <c r="F1993" s="72"/>
      <c r="G1993" s="72"/>
      <c r="H1993" s="72"/>
      <c r="I1993" s="72"/>
      <c r="J1993" s="72"/>
      <c r="K1993" s="72"/>
      <c r="L1993" s="72"/>
      <c r="M1993" s="73"/>
      <c r="N1993" s="41"/>
      <c r="O1993" s="72"/>
      <c r="P1993" s="99"/>
    </row>
    <row r="1994" spans="1:16" ht="9.75" customHeight="1">
      <c r="A1994" s="18"/>
      <c r="B1994" s="18" t="s">
        <v>25</v>
      </c>
      <c r="C1994" s="18"/>
      <c r="D1994" s="26"/>
      <c r="E1994" s="2"/>
      <c r="F1994" s="2"/>
      <c r="G1994" s="2"/>
      <c r="H1994" s="2"/>
      <c r="I1994" s="2"/>
      <c r="J1994" s="2"/>
      <c r="K1994" s="2"/>
      <c r="L1994" s="2"/>
      <c r="M1994" s="27"/>
      <c r="N1994" s="26"/>
      <c r="O1994" s="2"/>
      <c r="P1994" s="24"/>
    </row>
    <row r="1995" spans="1:16" ht="9.75" customHeight="1">
      <c r="A1995" s="18"/>
      <c r="B1995" s="18" t="s">
        <v>27</v>
      </c>
      <c r="C1995" s="18"/>
      <c r="D1995" s="26"/>
      <c r="E1995" s="2"/>
      <c r="F1995" s="2"/>
      <c r="G1995" s="2"/>
      <c r="H1995" s="2"/>
      <c r="I1995" s="2"/>
      <c r="J1995" s="2"/>
      <c r="K1995" s="2"/>
      <c r="L1995" s="2"/>
      <c r="M1995" s="27"/>
      <c r="N1995" s="26"/>
      <c r="O1995" s="2"/>
      <c r="P1995" s="24"/>
    </row>
    <row r="1996" spans="1:16" ht="9.75" customHeight="1">
      <c r="A1996" s="18"/>
      <c r="B1996" s="18" t="s">
        <v>99</v>
      </c>
      <c r="C1996" s="18"/>
      <c r="D1996" s="26"/>
      <c r="E1996" s="2"/>
      <c r="F1996" s="2"/>
      <c r="G1996" s="2"/>
      <c r="H1996" s="2"/>
      <c r="I1996" s="2"/>
      <c r="J1996" s="2"/>
      <c r="K1996" s="2"/>
      <c r="L1996" s="2"/>
      <c r="M1996" s="27"/>
      <c r="N1996" s="26"/>
      <c r="O1996" s="2"/>
      <c r="P1996" s="24"/>
    </row>
    <row r="1997" spans="1:16" ht="9.75" customHeight="1">
      <c r="A1997" s="18"/>
      <c r="B1997" s="18" t="s">
        <v>99</v>
      </c>
      <c r="C1997" s="18"/>
      <c r="D1997" s="26"/>
      <c r="E1997" s="2"/>
      <c r="F1997" s="2"/>
      <c r="G1997" s="2"/>
      <c r="H1997" s="2"/>
      <c r="I1997" s="2"/>
      <c r="J1997" s="2"/>
      <c r="K1997" s="2"/>
      <c r="L1997" s="2"/>
      <c r="M1997" s="27"/>
      <c r="N1997" s="26"/>
      <c r="O1997" s="2"/>
      <c r="P1997" s="24"/>
    </row>
    <row r="1998" spans="1:16" ht="9.75" customHeight="1">
      <c r="A1998" s="18"/>
      <c r="B1998" s="18" t="s">
        <v>32</v>
      </c>
      <c r="C1998" s="145">
        <v>3</v>
      </c>
      <c r="D1998" s="115">
        <v>1</v>
      </c>
      <c r="E1998" s="116">
        <v>1</v>
      </c>
      <c r="F1998" s="116">
        <v>1</v>
      </c>
      <c r="G1998" s="116">
        <v>1</v>
      </c>
      <c r="H1998" s="116">
        <v>1</v>
      </c>
      <c r="I1998" s="116">
        <v>1</v>
      </c>
      <c r="J1998" s="116">
        <v>1</v>
      </c>
      <c r="K1998" s="116">
        <v>1</v>
      </c>
      <c r="L1998" s="116">
        <v>1</v>
      </c>
      <c r="M1998" s="147">
        <v>1</v>
      </c>
      <c r="N1998" s="26">
        <f>MIN(D1998:M1998)</f>
        <v>1</v>
      </c>
      <c r="O1998" s="2">
        <f>C1998-N1998</f>
        <v>2</v>
      </c>
      <c r="P1998" s="24">
        <f>O1998/C1998</f>
        <v>0.66666666666666663</v>
      </c>
    </row>
    <row r="1999" spans="1:16" ht="9.75" customHeight="1">
      <c r="A1999" s="18"/>
      <c r="B1999" s="145" t="s">
        <v>104</v>
      </c>
      <c r="C1999" s="18"/>
      <c r="D1999" s="26"/>
      <c r="E1999" s="2"/>
      <c r="F1999" s="2"/>
      <c r="G1999" s="2"/>
      <c r="H1999" s="2"/>
      <c r="I1999" s="2"/>
      <c r="J1999" s="2"/>
      <c r="K1999" s="2"/>
      <c r="L1999" s="2"/>
      <c r="M1999" s="27"/>
      <c r="N1999" s="26"/>
      <c r="O1999" s="2"/>
      <c r="P1999" s="24"/>
    </row>
    <row r="2000" spans="1:16" ht="9.75" customHeight="1">
      <c r="A2000" s="18"/>
      <c r="B2000" s="145" t="s">
        <v>104</v>
      </c>
      <c r="C2000" s="18"/>
      <c r="D2000" s="26"/>
      <c r="E2000" s="2"/>
      <c r="F2000" s="2"/>
      <c r="G2000" s="2"/>
      <c r="H2000" s="2"/>
      <c r="I2000" s="2"/>
      <c r="J2000" s="2"/>
      <c r="K2000" s="2"/>
      <c r="L2000" s="2"/>
      <c r="M2000" s="27"/>
      <c r="N2000" s="26"/>
      <c r="O2000" s="2"/>
      <c r="P2000" s="24"/>
    </row>
    <row r="2001" spans="1:16" ht="9.75" customHeight="1">
      <c r="A2001" s="18"/>
      <c r="B2001" s="18" t="s">
        <v>104</v>
      </c>
      <c r="C2001" s="18"/>
      <c r="D2001" s="26"/>
      <c r="E2001" s="2"/>
      <c r="F2001" s="2"/>
      <c r="G2001" s="2"/>
      <c r="H2001" s="2"/>
      <c r="I2001" s="2"/>
      <c r="J2001" s="2"/>
      <c r="K2001" s="2"/>
      <c r="L2001" s="2"/>
      <c r="M2001" s="27"/>
      <c r="N2001" s="26"/>
      <c r="O2001" s="2"/>
      <c r="P2001" s="24"/>
    </row>
    <row r="2002" spans="1:16" ht="9.75" customHeight="1">
      <c r="A2002" s="18"/>
      <c r="B2002" s="18" t="s">
        <v>104</v>
      </c>
      <c r="C2002" s="18"/>
      <c r="D2002" s="26"/>
      <c r="E2002" s="2"/>
      <c r="F2002" s="2"/>
      <c r="G2002" s="2"/>
      <c r="H2002" s="2"/>
      <c r="I2002" s="2"/>
      <c r="J2002" s="2"/>
      <c r="K2002" s="2"/>
      <c r="L2002" s="2"/>
      <c r="M2002" s="27"/>
      <c r="N2002" s="26"/>
      <c r="O2002" s="2"/>
      <c r="P2002" s="24"/>
    </row>
    <row r="2003" spans="1:16" ht="9.75" customHeight="1">
      <c r="A2003" s="18"/>
      <c r="B2003" s="18" t="s">
        <v>104</v>
      </c>
      <c r="C2003" s="18"/>
      <c r="D2003" s="26"/>
      <c r="E2003" s="2"/>
      <c r="F2003" s="2"/>
      <c r="G2003" s="2"/>
      <c r="H2003" s="2"/>
      <c r="I2003" s="2"/>
      <c r="J2003" s="2"/>
      <c r="K2003" s="2"/>
      <c r="L2003" s="2"/>
      <c r="M2003" s="27"/>
      <c r="N2003" s="26"/>
      <c r="O2003" s="2"/>
      <c r="P2003" s="24"/>
    </row>
    <row r="2004" spans="1:16" ht="9.75" customHeight="1">
      <c r="A2004" s="18"/>
      <c r="B2004" s="18" t="s">
        <v>104</v>
      </c>
      <c r="C2004" s="18"/>
      <c r="D2004" s="26"/>
      <c r="E2004" s="2"/>
      <c r="F2004" s="2"/>
      <c r="G2004" s="2"/>
      <c r="H2004" s="2"/>
      <c r="I2004" s="2"/>
      <c r="J2004" s="2"/>
      <c r="K2004" s="2"/>
      <c r="L2004" s="2"/>
      <c r="M2004" s="27"/>
      <c r="N2004" s="26"/>
      <c r="O2004" s="2"/>
      <c r="P2004" s="24"/>
    </row>
    <row r="2005" spans="1:16" ht="9.75" customHeight="1">
      <c r="A2005" s="18"/>
      <c r="B2005" s="18" t="s">
        <v>34</v>
      </c>
      <c r="C2005" s="18">
        <v>2</v>
      </c>
      <c r="D2005" s="115">
        <v>1</v>
      </c>
      <c r="E2005" s="116">
        <v>1</v>
      </c>
      <c r="F2005" s="116">
        <v>1</v>
      </c>
      <c r="G2005" s="116">
        <v>1</v>
      </c>
      <c r="H2005" s="116">
        <v>1</v>
      </c>
      <c r="I2005" s="116">
        <v>1</v>
      </c>
      <c r="J2005" s="116">
        <v>1</v>
      </c>
      <c r="K2005" s="116">
        <v>1</v>
      </c>
      <c r="L2005" s="116">
        <v>1</v>
      </c>
      <c r="M2005" s="147">
        <v>1</v>
      </c>
      <c r="N2005" s="26">
        <f>MIN(D2005:M2005)</f>
        <v>1</v>
      </c>
      <c r="O2005" s="2">
        <f>C2005-N2005</f>
        <v>1</v>
      </c>
      <c r="P2005" s="24">
        <f>O2005/C2005</f>
        <v>0.5</v>
      </c>
    </row>
    <row r="2006" spans="1:16" ht="9.75" customHeight="1">
      <c r="A2006" s="18"/>
      <c r="B2006" s="18" t="s">
        <v>35</v>
      </c>
      <c r="C2006" s="18"/>
      <c r="D2006" s="26"/>
      <c r="E2006" s="2"/>
      <c r="F2006" s="2"/>
      <c r="G2006" s="2"/>
      <c r="H2006" s="2"/>
      <c r="I2006" s="2"/>
      <c r="J2006" s="2"/>
      <c r="K2006" s="2"/>
      <c r="L2006" s="2"/>
      <c r="M2006" s="27"/>
      <c r="N2006" s="26"/>
      <c r="O2006" s="2"/>
      <c r="P2006" s="24"/>
    </row>
    <row r="2007" spans="1:16" ht="9.75" customHeight="1">
      <c r="A2007" s="18"/>
      <c r="B2007" s="18" t="s">
        <v>36</v>
      </c>
      <c r="C2007" s="18"/>
      <c r="D2007" s="26"/>
      <c r="E2007" s="2"/>
      <c r="F2007" s="2"/>
      <c r="G2007" s="2"/>
      <c r="H2007" s="2"/>
      <c r="I2007" s="2"/>
      <c r="J2007" s="2"/>
      <c r="K2007" s="2"/>
      <c r="L2007" s="2"/>
      <c r="M2007" s="27"/>
      <c r="N2007" s="26"/>
      <c r="O2007" s="2"/>
      <c r="P2007" s="24"/>
    </row>
    <row r="2008" spans="1:16" ht="9.75" customHeight="1">
      <c r="A2008" s="18"/>
      <c r="B2008" s="18" t="s">
        <v>37</v>
      </c>
      <c r="C2008" s="145">
        <v>5</v>
      </c>
      <c r="D2008" s="115">
        <v>4</v>
      </c>
      <c r="E2008" s="116">
        <v>4</v>
      </c>
      <c r="F2008" s="116">
        <v>4</v>
      </c>
      <c r="G2008" s="116">
        <v>4</v>
      </c>
      <c r="H2008" s="116">
        <v>4</v>
      </c>
      <c r="I2008" s="116">
        <v>4</v>
      </c>
      <c r="J2008" s="116">
        <v>5</v>
      </c>
      <c r="K2008" s="116">
        <v>5</v>
      </c>
      <c r="L2008" s="116">
        <v>5</v>
      </c>
      <c r="M2008" s="147">
        <v>5</v>
      </c>
      <c r="N2008" s="26">
        <f t="shared" ref="N2008:N2010" si="375">MIN(D2008:M2008)</f>
        <v>4</v>
      </c>
      <c r="O2008" s="2">
        <f t="shared" ref="O2008:O2010" si="376">C2008-N2008</f>
        <v>1</v>
      </c>
      <c r="P2008" s="24">
        <f t="shared" ref="P2008:P2010" si="377">O2008/C2008</f>
        <v>0.2</v>
      </c>
    </row>
    <row r="2009" spans="1:16" ht="9.75" customHeight="1">
      <c r="A2009" s="32"/>
      <c r="B2009" s="33" t="s">
        <v>38</v>
      </c>
      <c r="C2009" s="33">
        <f t="shared" ref="C2009:M2009" si="378">SUM(C1993:C2008)</f>
        <v>10</v>
      </c>
      <c r="D2009" s="70">
        <f t="shared" si="378"/>
        <v>6</v>
      </c>
      <c r="E2009" s="71">
        <f t="shared" si="378"/>
        <v>6</v>
      </c>
      <c r="F2009" s="71">
        <f t="shared" si="378"/>
        <v>6</v>
      </c>
      <c r="G2009" s="71">
        <f t="shared" si="378"/>
        <v>6</v>
      </c>
      <c r="H2009" s="71">
        <f t="shared" si="378"/>
        <v>6</v>
      </c>
      <c r="I2009" s="71">
        <f t="shared" si="378"/>
        <v>6</v>
      </c>
      <c r="J2009" s="71">
        <f t="shared" si="378"/>
        <v>7</v>
      </c>
      <c r="K2009" s="71">
        <f t="shared" si="378"/>
        <v>7</v>
      </c>
      <c r="L2009" s="71">
        <f t="shared" si="378"/>
        <v>7</v>
      </c>
      <c r="M2009" s="93">
        <f t="shared" si="378"/>
        <v>7</v>
      </c>
      <c r="N2009" s="70">
        <f t="shared" si="375"/>
        <v>6</v>
      </c>
      <c r="O2009" s="71">
        <f t="shared" si="376"/>
        <v>4</v>
      </c>
      <c r="P2009" s="40">
        <f t="shared" si="377"/>
        <v>0.4</v>
      </c>
    </row>
    <row r="2010" spans="1:16" ht="9.75" customHeight="1">
      <c r="A2010" s="18" t="s">
        <v>309</v>
      </c>
      <c r="B2010" s="66" t="s">
        <v>23</v>
      </c>
      <c r="C2010" s="66">
        <v>120</v>
      </c>
      <c r="D2010" s="41">
        <f>C2010-23</f>
        <v>97</v>
      </c>
      <c r="E2010" s="72">
        <f>C2010-44</f>
        <v>76</v>
      </c>
      <c r="F2010" s="72">
        <f>C2010-82</f>
        <v>38</v>
      </c>
      <c r="G2010" s="72">
        <f>C2010-90</f>
        <v>30</v>
      </c>
      <c r="H2010" s="72">
        <f>C2010-91</f>
        <v>29</v>
      </c>
      <c r="I2010" s="159">
        <v>25</v>
      </c>
      <c r="J2010" s="159">
        <v>29</v>
      </c>
      <c r="K2010" s="159">
        <v>42</v>
      </c>
      <c r="L2010" s="159">
        <v>49</v>
      </c>
      <c r="M2010" s="175">
        <v>61</v>
      </c>
      <c r="N2010" s="41">
        <f t="shared" si="375"/>
        <v>25</v>
      </c>
      <c r="O2010" s="72">
        <f t="shared" si="376"/>
        <v>95</v>
      </c>
      <c r="P2010" s="99">
        <f t="shared" si="377"/>
        <v>0.79166666666666663</v>
      </c>
    </row>
    <row r="2011" spans="1:16" ht="9.75" customHeight="1">
      <c r="A2011" s="18"/>
      <c r="B2011" s="18" t="s">
        <v>25</v>
      </c>
      <c r="C2011" s="18"/>
      <c r="D2011" s="26"/>
      <c r="E2011" s="2"/>
      <c r="F2011" s="2"/>
      <c r="G2011" s="2"/>
      <c r="H2011" s="2"/>
      <c r="I2011" s="2"/>
      <c r="J2011" s="2"/>
      <c r="K2011" s="2"/>
      <c r="L2011" s="2"/>
      <c r="M2011" s="27"/>
      <c r="N2011" s="26"/>
      <c r="O2011" s="2"/>
      <c r="P2011" s="24"/>
    </row>
    <row r="2012" spans="1:16" ht="9.75" customHeight="1">
      <c r="A2012" s="18"/>
      <c r="B2012" s="18" t="s">
        <v>27</v>
      </c>
      <c r="C2012" s="18"/>
      <c r="D2012" s="26"/>
      <c r="E2012" s="2"/>
      <c r="F2012" s="2"/>
      <c r="G2012" s="2"/>
      <c r="H2012" s="2"/>
      <c r="I2012" s="2"/>
      <c r="J2012" s="2"/>
      <c r="K2012" s="2"/>
      <c r="L2012" s="2"/>
      <c r="M2012" s="27"/>
      <c r="N2012" s="26"/>
      <c r="O2012" s="2"/>
      <c r="P2012" s="24"/>
    </row>
    <row r="2013" spans="1:16" ht="9.75" customHeight="1">
      <c r="A2013" s="18"/>
      <c r="B2013" s="18" t="s">
        <v>99</v>
      </c>
      <c r="C2013" s="18"/>
      <c r="D2013" s="26"/>
      <c r="E2013" s="2"/>
      <c r="F2013" s="2"/>
      <c r="G2013" s="2"/>
      <c r="H2013" s="2"/>
      <c r="I2013" s="2"/>
      <c r="J2013" s="2"/>
      <c r="K2013" s="2"/>
      <c r="L2013" s="2"/>
      <c r="M2013" s="27"/>
      <c r="N2013" s="26"/>
      <c r="O2013" s="2"/>
      <c r="P2013" s="24"/>
    </row>
    <row r="2014" spans="1:16" ht="9.75" customHeight="1">
      <c r="A2014" s="18"/>
      <c r="B2014" s="18" t="s">
        <v>99</v>
      </c>
      <c r="C2014" s="18"/>
      <c r="D2014" s="26"/>
      <c r="E2014" s="2"/>
      <c r="F2014" s="2"/>
      <c r="G2014" s="2"/>
      <c r="H2014" s="2"/>
      <c r="I2014" s="2"/>
      <c r="J2014" s="2"/>
      <c r="K2014" s="2"/>
      <c r="L2014" s="2"/>
      <c r="M2014" s="27"/>
      <c r="N2014" s="26"/>
      <c r="O2014" s="2"/>
      <c r="P2014" s="24"/>
    </row>
    <row r="2015" spans="1:16" ht="9.75" customHeight="1">
      <c r="A2015" s="18"/>
      <c r="B2015" s="18" t="s">
        <v>32</v>
      </c>
      <c r="C2015" s="18"/>
      <c r="D2015" s="26"/>
      <c r="E2015" s="2"/>
      <c r="F2015" s="2"/>
      <c r="G2015" s="2"/>
      <c r="H2015" s="2"/>
      <c r="I2015" s="2"/>
      <c r="J2015" s="2"/>
      <c r="K2015" s="2"/>
      <c r="L2015" s="2"/>
      <c r="M2015" s="27"/>
      <c r="N2015" s="26"/>
      <c r="O2015" s="2"/>
      <c r="P2015" s="24"/>
    </row>
    <row r="2016" spans="1:16" ht="9.75" customHeight="1">
      <c r="A2016" s="18"/>
      <c r="B2016" s="18" t="s">
        <v>232</v>
      </c>
      <c r="C2016" s="18">
        <v>2</v>
      </c>
      <c r="D2016" s="115">
        <v>2</v>
      </c>
      <c r="E2016" s="116">
        <v>2</v>
      </c>
      <c r="F2016" s="116">
        <v>2</v>
      </c>
      <c r="G2016" s="116">
        <v>2</v>
      </c>
      <c r="H2016" s="116">
        <v>2</v>
      </c>
      <c r="I2016" s="116">
        <v>2</v>
      </c>
      <c r="J2016" s="116">
        <v>2</v>
      </c>
      <c r="K2016" s="116">
        <v>2</v>
      </c>
      <c r="L2016" s="116">
        <v>2</v>
      </c>
      <c r="M2016" s="147">
        <v>2</v>
      </c>
      <c r="N2016" s="26">
        <f t="shared" ref="N2016:N2017" si="379">MIN(D2016:M2016)</f>
        <v>2</v>
      </c>
      <c r="O2016" s="2">
        <f t="shared" ref="O2016:O2017" si="380">C2016-N2016</f>
        <v>0</v>
      </c>
      <c r="P2016" s="24">
        <f t="shared" ref="P2016:P2017" si="381">O2016/C2016</f>
        <v>0</v>
      </c>
    </row>
    <row r="2017" spans="1:16" ht="9.75" customHeight="1">
      <c r="A2017" s="18"/>
      <c r="B2017" s="18" t="s">
        <v>102</v>
      </c>
      <c r="C2017" s="18">
        <v>6</v>
      </c>
      <c r="D2017" s="115">
        <v>4</v>
      </c>
      <c r="E2017" s="116">
        <v>4</v>
      </c>
      <c r="F2017" s="116">
        <v>5</v>
      </c>
      <c r="G2017" s="116">
        <v>5</v>
      </c>
      <c r="H2017" s="116">
        <v>5</v>
      </c>
      <c r="I2017" s="116">
        <v>5</v>
      </c>
      <c r="J2017" s="116">
        <v>2</v>
      </c>
      <c r="K2017" s="116">
        <v>3</v>
      </c>
      <c r="L2017" s="116">
        <v>3</v>
      </c>
      <c r="M2017" s="147">
        <v>3</v>
      </c>
      <c r="N2017" s="26">
        <f t="shared" si="379"/>
        <v>2</v>
      </c>
      <c r="O2017" s="2">
        <f t="shared" si="380"/>
        <v>4</v>
      </c>
      <c r="P2017" s="24">
        <f t="shared" si="381"/>
        <v>0.66666666666666663</v>
      </c>
    </row>
    <row r="2018" spans="1:16" ht="9.75" customHeight="1">
      <c r="A2018" s="18"/>
      <c r="B2018" s="18" t="s">
        <v>104</v>
      </c>
      <c r="C2018" s="18"/>
      <c r="D2018" s="26"/>
      <c r="E2018" s="2"/>
      <c r="F2018" s="2"/>
      <c r="G2018" s="2"/>
      <c r="H2018" s="2"/>
      <c r="I2018" s="2"/>
      <c r="J2018" s="2"/>
      <c r="K2018" s="2"/>
      <c r="L2018" s="2"/>
      <c r="M2018" s="27"/>
      <c r="N2018" s="26"/>
      <c r="O2018" s="2"/>
      <c r="P2018" s="24"/>
    </row>
    <row r="2019" spans="1:16" ht="9.75" customHeight="1">
      <c r="A2019" s="18"/>
      <c r="B2019" s="18" t="s">
        <v>104</v>
      </c>
      <c r="C2019" s="18"/>
      <c r="D2019" s="26"/>
      <c r="E2019" s="2"/>
      <c r="F2019" s="2"/>
      <c r="G2019" s="2"/>
      <c r="H2019" s="2"/>
      <c r="I2019" s="2"/>
      <c r="J2019" s="2"/>
      <c r="K2019" s="2"/>
      <c r="L2019" s="2"/>
      <c r="M2019" s="27"/>
      <c r="N2019" s="26"/>
      <c r="O2019" s="2"/>
      <c r="P2019" s="24"/>
    </row>
    <row r="2020" spans="1:16" ht="9.75" customHeight="1">
      <c r="A2020" s="18"/>
      <c r="B2020" s="18" t="s">
        <v>104</v>
      </c>
      <c r="C2020" s="18"/>
      <c r="D2020" s="26"/>
      <c r="E2020" s="2"/>
      <c r="F2020" s="2"/>
      <c r="G2020" s="2"/>
      <c r="H2020" s="2"/>
      <c r="I2020" s="2"/>
      <c r="J2020" s="2"/>
      <c r="K2020" s="2"/>
      <c r="L2020" s="2"/>
      <c r="M2020" s="27"/>
      <c r="N2020" s="26"/>
      <c r="O2020" s="2"/>
      <c r="P2020" s="24"/>
    </row>
    <row r="2021" spans="1:16" ht="9.75" customHeight="1">
      <c r="A2021" s="18"/>
      <c r="B2021" s="18" t="s">
        <v>104</v>
      </c>
      <c r="C2021" s="18"/>
      <c r="D2021" s="26"/>
      <c r="E2021" s="2"/>
      <c r="F2021" s="2"/>
      <c r="G2021" s="2"/>
      <c r="H2021" s="2"/>
      <c r="I2021" s="2"/>
      <c r="J2021" s="2"/>
      <c r="K2021" s="2"/>
      <c r="L2021" s="2"/>
      <c r="M2021" s="27"/>
      <c r="N2021" s="26"/>
      <c r="O2021" s="2"/>
      <c r="P2021" s="24"/>
    </row>
    <row r="2022" spans="1:16" ht="9.75" customHeight="1">
      <c r="A2022" s="18"/>
      <c r="B2022" s="18" t="s">
        <v>34</v>
      </c>
      <c r="C2022" s="18">
        <v>5</v>
      </c>
      <c r="D2022" s="115">
        <v>3</v>
      </c>
      <c r="E2022" s="116">
        <v>4</v>
      </c>
      <c r="F2022" s="116">
        <v>4</v>
      </c>
      <c r="G2022" s="116">
        <v>4</v>
      </c>
      <c r="H2022" s="116">
        <v>4</v>
      </c>
      <c r="I2022" s="116">
        <v>5</v>
      </c>
      <c r="J2022" s="116">
        <v>5</v>
      </c>
      <c r="K2022" s="116">
        <v>5</v>
      </c>
      <c r="L2022" s="116">
        <v>5</v>
      </c>
      <c r="M2022" s="147">
        <v>4</v>
      </c>
      <c r="N2022" s="26">
        <f>MIN(D2022:M2022)</f>
        <v>3</v>
      </c>
      <c r="O2022" s="2">
        <f>C2022-N2022</f>
        <v>2</v>
      </c>
      <c r="P2022" s="24">
        <f>O2022/C2022</f>
        <v>0.4</v>
      </c>
    </row>
    <row r="2023" spans="1:16" ht="9.75" customHeight="1">
      <c r="A2023" s="18"/>
      <c r="B2023" s="18" t="s">
        <v>35</v>
      </c>
      <c r="C2023" s="18"/>
      <c r="D2023" s="26"/>
      <c r="E2023" s="2"/>
      <c r="F2023" s="2"/>
      <c r="G2023" s="2"/>
      <c r="H2023" s="2"/>
      <c r="I2023" s="2"/>
      <c r="J2023" s="2"/>
      <c r="K2023" s="2"/>
      <c r="L2023" s="2"/>
      <c r="M2023" s="27"/>
      <c r="N2023" s="26"/>
      <c r="O2023" s="2"/>
      <c r="P2023" s="24"/>
    </row>
    <row r="2024" spans="1:16" ht="9.75" customHeight="1">
      <c r="A2024" s="18"/>
      <c r="B2024" s="18" t="s">
        <v>36</v>
      </c>
      <c r="C2024" s="18"/>
      <c r="D2024" s="26"/>
      <c r="E2024" s="2"/>
      <c r="F2024" s="2"/>
      <c r="G2024" s="2"/>
      <c r="H2024" s="2"/>
      <c r="I2024" s="2"/>
      <c r="J2024" s="2"/>
      <c r="K2024" s="2"/>
      <c r="L2024" s="2"/>
      <c r="M2024" s="27"/>
      <c r="N2024" s="26"/>
      <c r="O2024" s="2"/>
      <c r="P2024" s="24"/>
    </row>
    <row r="2025" spans="1:16" ht="9.75" customHeight="1">
      <c r="A2025" s="18"/>
      <c r="B2025" s="18" t="s">
        <v>37</v>
      </c>
      <c r="C2025" s="18"/>
      <c r="D2025" s="26"/>
      <c r="E2025" s="2"/>
      <c r="F2025" s="2"/>
      <c r="G2025" s="2"/>
      <c r="H2025" s="2"/>
      <c r="I2025" s="2"/>
      <c r="J2025" s="2"/>
      <c r="K2025" s="2"/>
      <c r="L2025" s="2"/>
      <c r="M2025" s="27"/>
      <c r="N2025" s="26"/>
      <c r="O2025" s="2"/>
      <c r="P2025" s="24"/>
    </row>
    <row r="2026" spans="1:16" ht="9.75" customHeight="1">
      <c r="A2026" s="18"/>
      <c r="B2026" s="33" t="s">
        <v>38</v>
      </c>
      <c r="C2026" s="94">
        <f t="shared" ref="C2026:M2026" si="382">SUM(C2010:C2025)</f>
        <v>133</v>
      </c>
      <c r="D2026" s="67">
        <f t="shared" si="382"/>
        <v>106</v>
      </c>
      <c r="E2026" s="68">
        <f t="shared" si="382"/>
        <v>86</v>
      </c>
      <c r="F2026" s="68">
        <f t="shared" si="382"/>
        <v>49</v>
      </c>
      <c r="G2026" s="68">
        <f t="shared" si="382"/>
        <v>41</v>
      </c>
      <c r="H2026" s="68">
        <f t="shared" si="382"/>
        <v>40</v>
      </c>
      <c r="I2026" s="68">
        <f t="shared" si="382"/>
        <v>37</v>
      </c>
      <c r="J2026" s="68">
        <f t="shared" si="382"/>
        <v>38</v>
      </c>
      <c r="K2026" s="68">
        <f t="shared" si="382"/>
        <v>52</v>
      </c>
      <c r="L2026" s="68">
        <f t="shared" si="382"/>
        <v>59</v>
      </c>
      <c r="M2026" s="69">
        <f t="shared" si="382"/>
        <v>70</v>
      </c>
      <c r="N2026" s="67">
        <f>MIN(D2026:M2026)</f>
        <v>37</v>
      </c>
      <c r="O2026" s="68">
        <f>C2026-N2026</f>
        <v>96</v>
      </c>
      <c r="P2026" s="190">
        <f>O2026/C2026</f>
        <v>0.72180451127819545</v>
      </c>
    </row>
    <row r="2027" spans="1:16" ht="9.75" customHeight="1">
      <c r="A2027" s="66" t="s">
        <v>310</v>
      </c>
      <c r="B2027" s="66" t="s">
        <v>23</v>
      </c>
      <c r="C2027" s="66"/>
      <c r="D2027" s="41"/>
      <c r="E2027" s="72"/>
      <c r="F2027" s="72"/>
      <c r="G2027" s="72"/>
      <c r="H2027" s="72"/>
      <c r="I2027" s="72"/>
      <c r="J2027" s="72"/>
      <c r="K2027" s="72"/>
      <c r="L2027" s="72"/>
      <c r="M2027" s="73"/>
      <c r="N2027" s="41"/>
      <c r="O2027" s="72"/>
      <c r="P2027" s="99"/>
    </row>
    <row r="2028" spans="1:16" ht="9.75" customHeight="1">
      <c r="A2028" s="57"/>
      <c r="B2028" s="18" t="s">
        <v>25</v>
      </c>
      <c r="C2028" s="18"/>
      <c r="D2028" s="26"/>
      <c r="E2028" s="2"/>
      <c r="F2028" s="2"/>
      <c r="G2028" s="2"/>
      <c r="H2028" s="2"/>
      <c r="I2028" s="2"/>
      <c r="J2028" s="2"/>
      <c r="K2028" s="2"/>
      <c r="L2028" s="2"/>
      <c r="M2028" s="27"/>
      <c r="N2028" s="26"/>
      <c r="O2028" s="2"/>
      <c r="P2028" s="24"/>
    </row>
    <row r="2029" spans="1:16" ht="9.75" customHeight="1">
      <c r="A2029" s="57"/>
      <c r="B2029" s="18" t="s">
        <v>27</v>
      </c>
      <c r="C2029" s="18">
        <v>250</v>
      </c>
      <c r="D2029" s="115">
        <v>245</v>
      </c>
      <c r="E2029" s="116">
        <v>241</v>
      </c>
      <c r="F2029" s="116">
        <v>241</v>
      </c>
      <c r="G2029" s="116">
        <v>243</v>
      </c>
      <c r="H2029" s="116">
        <v>243</v>
      </c>
      <c r="I2029" s="116">
        <v>240</v>
      </c>
      <c r="J2029" s="116">
        <v>241</v>
      </c>
      <c r="K2029" s="116">
        <v>245</v>
      </c>
      <c r="L2029" s="116">
        <v>246</v>
      </c>
      <c r="M2029" s="147">
        <v>248</v>
      </c>
      <c r="N2029" s="26">
        <f>MIN(D2029:M2029)</f>
        <v>240</v>
      </c>
      <c r="O2029" s="2">
        <f>C2029-N2029</f>
        <v>10</v>
      </c>
      <c r="P2029" s="24">
        <f>O2029/C2029</f>
        <v>0.04</v>
      </c>
    </row>
    <row r="2030" spans="1:16" ht="9.75" customHeight="1">
      <c r="A2030" s="57"/>
      <c r="B2030" s="18" t="s">
        <v>99</v>
      </c>
      <c r="C2030" s="18"/>
      <c r="D2030" s="26"/>
      <c r="E2030" s="2"/>
      <c r="F2030" s="2"/>
      <c r="G2030" s="2"/>
      <c r="H2030" s="2"/>
      <c r="I2030" s="2"/>
      <c r="J2030" s="2"/>
      <c r="K2030" s="2"/>
      <c r="L2030" s="2"/>
      <c r="M2030" s="27"/>
      <c r="N2030" s="26"/>
      <c r="O2030" s="2"/>
      <c r="P2030" s="24"/>
    </row>
    <row r="2031" spans="1:16" ht="9.75" customHeight="1">
      <c r="A2031" s="18"/>
      <c r="B2031" s="18" t="s">
        <v>99</v>
      </c>
      <c r="C2031" s="18"/>
      <c r="D2031" s="26"/>
      <c r="E2031" s="2"/>
      <c r="F2031" s="2"/>
      <c r="G2031" s="2"/>
      <c r="H2031" s="2"/>
      <c r="I2031" s="2"/>
      <c r="J2031" s="2"/>
      <c r="K2031" s="2"/>
      <c r="L2031" s="2"/>
      <c r="M2031" s="27"/>
      <c r="N2031" s="26"/>
      <c r="O2031" s="2"/>
      <c r="P2031" s="24"/>
    </row>
    <row r="2032" spans="1:16" ht="9.75" customHeight="1">
      <c r="A2032" s="18"/>
      <c r="B2032" s="18" t="s">
        <v>32</v>
      </c>
      <c r="C2032" s="18"/>
      <c r="D2032" s="26"/>
      <c r="E2032" s="2"/>
      <c r="F2032" s="2"/>
      <c r="G2032" s="2"/>
      <c r="H2032" s="2"/>
      <c r="I2032" s="2"/>
      <c r="J2032" s="2"/>
      <c r="K2032" s="2"/>
      <c r="L2032" s="2"/>
      <c r="M2032" s="27"/>
      <c r="N2032" s="26"/>
      <c r="O2032" s="2"/>
      <c r="P2032" s="24"/>
    </row>
    <row r="2033" spans="1:16" ht="9.75" customHeight="1">
      <c r="A2033" s="18"/>
      <c r="B2033" s="18" t="s">
        <v>102</v>
      </c>
      <c r="C2033" s="18">
        <v>8</v>
      </c>
      <c r="D2033" s="115">
        <v>8</v>
      </c>
      <c r="E2033" s="116">
        <v>8</v>
      </c>
      <c r="F2033" s="116">
        <v>8</v>
      </c>
      <c r="G2033" s="116">
        <v>8</v>
      </c>
      <c r="H2033" s="116">
        <v>8</v>
      </c>
      <c r="I2033" s="116">
        <v>8</v>
      </c>
      <c r="J2033" s="116">
        <v>8</v>
      </c>
      <c r="K2033" s="116">
        <v>8</v>
      </c>
      <c r="L2033" s="116">
        <v>8</v>
      </c>
      <c r="M2033" s="147">
        <v>8</v>
      </c>
      <c r="N2033" s="26">
        <f>MIN(D2033:M2033)</f>
        <v>8</v>
      </c>
      <c r="O2033" s="2">
        <f>C2033-N2033</f>
        <v>0</v>
      </c>
      <c r="P2033" s="24">
        <f>O2033/C2033</f>
        <v>0</v>
      </c>
    </row>
    <row r="2034" spans="1:16" ht="9.75" customHeight="1">
      <c r="A2034" s="18"/>
      <c r="B2034" s="18" t="s">
        <v>104</v>
      </c>
      <c r="C2034" s="18"/>
      <c r="D2034" s="26"/>
      <c r="E2034" s="2"/>
      <c r="F2034" s="2"/>
      <c r="G2034" s="2"/>
      <c r="H2034" s="2"/>
      <c r="I2034" s="2"/>
      <c r="J2034" s="2"/>
      <c r="K2034" s="2"/>
      <c r="L2034" s="2"/>
      <c r="M2034" s="27"/>
      <c r="N2034" s="26"/>
      <c r="O2034" s="2"/>
      <c r="P2034" s="24"/>
    </row>
    <row r="2035" spans="1:16" ht="9.75" customHeight="1">
      <c r="A2035" s="18"/>
      <c r="B2035" s="18" t="s">
        <v>104</v>
      </c>
      <c r="C2035" s="18"/>
      <c r="D2035" s="26"/>
      <c r="E2035" s="2"/>
      <c r="F2035" s="2"/>
      <c r="G2035" s="2"/>
      <c r="H2035" s="2"/>
      <c r="I2035" s="2"/>
      <c r="J2035" s="2"/>
      <c r="K2035" s="2"/>
      <c r="L2035" s="2"/>
      <c r="M2035" s="27"/>
      <c r="N2035" s="26"/>
      <c r="O2035" s="2"/>
      <c r="P2035" s="24"/>
    </row>
    <row r="2036" spans="1:16" ht="9.75" customHeight="1">
      <c r="A2036" s="18"/>
      <c r="B2036" s="18" t="s">
        <v>104</v>
      </c>
      <c r="C2036" s="18"/>
      <c r="D2036" s="26"/>
      <c r="E2036" s="2"/>
      <c r="F2036" s="2"/>
      <c r="G2036" s="2"/>
      <c r="H2036" s="2"/>
      <c r="I2036" s="2"/>
      <c r="J2036" s="2"/>
      <c r="K2036" s="2"/>
      <c r="L2036" s="2"/>
      <c r="M2036" s="27"/>
      <c r="N2036" s="26"/>
      <c r="O2036" s="2"/>
      <c r="P2036" s="24"/>
    </row>
    <row r="2037" spans="1:16" ht="9.75" customHeight="1">
      <c r="A2037" s="18"/>
      <c r="B2037" s="18" t="s">
        <v>104</v>
      </c>
      <c r="C2037" s="18"/>
      <c r="D2037" s="26"/>
      <c r="E2037" s="2"/>
      <c r="F2037" s="2"/>
      <c r="G2037" s="2"/>
      <c r="H2037" s="2"/>
      <c r="I2037" s="2"/>
      <c r="J2037" s="2"/>
      <c r="K2037" s="2"/>
      <c r="L2037" s="2"/>
      <c r="M2037" s="27"/>
      <c r="N2037" s="26"/>
      <c r="O2037" s="2"/>
      <c r="P2037" s="24"/>
    </row>
    <row r="2038" spans="1:16" ht="9.75" customHeight="1">
      <c r="A2038" s="18"/>
      <c r="B2038" s="18" t="s">
        <v>104</v>
      </c>
      <c r="C2038" s="18"/>
      <c r="D2038" s="26"/>
      <c r="E2038" s="2"/>
      <c r="F2038" s="2"/>
      <c r="G2038" s="2"/>
      <c r="H2038" s="2"/>
      <c r="I2038" s="2"/>
      <c r="J2038" s="2"/>
      <c r="K2038" s="2"/>
      <c r="L2038" s="2"/>
      <c r="M2038" s="27"/>
      <c r="N2038" s="26"/>
      <c r="O2038" s="2"/>
      <c r="P2038" s="24"/>
    </row>
    <row r="2039" spans="1:16" ht="9.75" customHeight="1">
      <c r="A2039" s="18"/>
      <c r="B2039" s="18" t="s">
        <v>34</v>
      </c>
      <c r="C2039" s="18">
        <v>1</v>
      </c>
      <c r="D2039" s="115">
        <v>1</v>
      </c>
      <c r="E2039" s="116">
        <v>1</v>
      </c>
      <c r="F2039" s="116">
        <v>1</v>
      </c>
      <c r="G2039" s="116">
        <v>1</v>
      </c>
      <c r="H2039" s="116">
        <v>1</v>
      </c>
      <c r="I2039" s="116">
        <v>1</v>
      </c>
      <c r="J2039" s="116">
        <v>1</v>
      </c>
      <c r="K2039" s="116">
        <v>1</v>
      </c>
      <c r="L2039" s="116">
        <v>1</v>
      </c>
      <c r="M2039" s="147">
        <v>1</v>
      </c>
      <c r="N2039" s="26">
        <f t="shared" ref="N2039:N2041" si="383">MIN(D2039:M2039)</f>
        <v>1</v>
      </c>
      <c r="O2039" s="2">
        <f t="shared" ref="O2039:O2041" si="384">C2039-N2039</f>
        <v>0</v>
      </c>
      <c r="P2039" s="24">
        <f t="shared" ref="P2039:P2041" si="385">O2039/C2039</f>
        <v>0</v>
      </c>
    </row>
    <row r="2040" spans="1:16" ht="9.75" customHeight="1">
      <c r="A2040" s="18"/>
      <c r="B2040" s="18" t="s">
        <v>268</v>
      </c>
      <c r="C2040" s="18">
        <v>6</v>
      </c>
      <c r="D2040" s="115">
        <v>6</v>
      </c>
      <c r="E2040" s="116">
        <v>6</v>
      </c>
      <c r="F2040" s="116">
        <v>6</v>
      </c>
      <c r="G2040" s="116">
        <v>6</v>
      </c>
      <c r="H2040" s="116">
        <v>6</v>
      </c>
      <c r="I2040" s="116">
        <v>6</v>
      </c>
      <c r="J2040" s="116">
        <v>6</v>
      </c>
      <c r="K2040" s="116">
        <v>5</v>
      </c>
      <c r="L2040" s="116">
        <v>5</v>
      </c>
      <c r="M2040" s="147">
        <v>5</v>
      </c>
      <c r="N2040" s="26">
        <f t="shared" si="383"/>
        <v>5</v>
      </c>
      <c r="O2040" s="2">
        <f t="shared" si="384"/>
        <v>1</v>
      </c>
      <c r="P2040" s="24">
        <f t="shared" si="385"/>
        <v>0.16666666666666666</v>
      </c>
    </row>
    <row r="2041" spans="1:16" ht="9.75" customHeight="1">
      <c r="A2041" s="18"/>
      <c r="B2041" s="18" t="s">
        <v>36</v>
      </c>
      <c r="C2041" s="18">
        <v>2</v>
      </c>
      <c r="D2041" s="115">
        <v>2</v>
      </c>
      <c r="E2041" s="116">
        <v>2</v>
      </c>
      <c r="F2041" s="116">
        <v>2</v>
      </c>
      <c r="G2041" s="116">
        <v>2</v>
      </c>
      <c r="H2041" s="116">
        <v>2</v>
      </c>
      <c r="I2041" s="116">
        <v>2</v>
      </c>
      <c r="J2041" s="116">
        <v>2</v>
      </c>
      <c r="K2041" s="116">
        <v>0</v>
      </c>
      <c r="L2041" s="116">
        <v>0</v>
      </c>
      <c r="M2041" s="147">
        <v>0</v>
      </c>
      <c r="N2041" s="26">
        <f t="shared" si="383"/>
        <v>0</v>
      </c>
      <c r="O2041" s="2">
        <f t="shared" si="384"/>
        <v>2</v>
      </c>
      <c r="P2041" s="24">
        <f t="shared" si="385"/>
        <v>1</v>
      </c>
    </row>
    <row r="2042" spans="1:16" ht="9.75" customHeight="1">
      <c r="A2042" s="18"/>
      <c r="B2042" s="18" t="s">
        <v>37</v>
      </c>
      <c r="C2042" s="18"/>
      <c r="D2042" s="26"/>
      <c r="E2042" s="2"/>
      <c r="F2042" s="2"/>
      <c r="G2042" s="2"/>
      <c r="H2042" s="2"/>
      <c r="I2042" s="2"/>
      <c r="J2042" s="2"/>
      <c r="K2042" s="2"/>
      <c r="L2042" s="2"/>
      <c r="M2042" s="27"/>
      <c r="N2042" s="26"/>
      <c r="O2042" s="2"/>
      <c r="P2042" s="24"/>
    </row>
    <row r="2043" spans="1:16" ht="9.75" customHeight="1">
      <c r="A2043" s="32"/>
      <c r="B2043" s="33" t="s">
        <v>38</v>
      </c>
      <c r="C2043" s="94">
        <f t="shared" ref="C2043:M2043" si="386">SUM(C2027:C2042)</f>
        <v>267</v>
      </c>
      <c r="D2043" s="67">
        <f t="shared" si="386"/>
        <v>262</v>
      </c>
      <c r="E2043" s="68">
        <f t="shared" si="386"/>
        <v>258</v>
      </c>
      <c r="F2043" s="68">
        <f t="shared" si="386"/>
        <v>258</v>
      </c>
      <c r="G2043" s="68">
        <f t="shared" si="386"/>
        <v>260</v>
      </c>
      <c r="H2043" s="68">
        <f t="shared" si="386"/>
        <v>260</v>
      </c>
      <c r="I2043" s="68">
        <f t="shared" si="386"/>
        <v>257</v>
      </c>
      <c r="J2043" s="68">
        <f t="shared" si="386"/>
        <v>258</v>
      </c>
      <c r="K2043" s="68">
        <f t="shared" si="386"/>
        <v>259</v>
      </c>
      <c r="L2043" s="68">
        <f t="shared" si="386"/>
        <v>260</v>
      </c>
      <c r="M2043" s="69">
        <f t="shared" si="386"/>
        <v>262</v>
      </c>
      <c r="N2043" s="67">
        <f>MIN(D2043:M2043)</f>
        <v>257</v>
      </c>
      <c r="O2043" s="68">
        <f>C2043-N2043</f>
        <v>10</v>
      </c>
      <c r="P2043" s="190">
        <f>O2043/C2043</f>
        <v>3.7453183520599252E-2</v>
      </c>
    </row>
    <row r="2044" spans="1:16" ht="9.75" customHeight="1">
      <c r="A2044" s="66" t="s">
        <v>311</v>
      </c>
      <c r="B2044" s="66" t="s">
        <v>23</v>
      </c>
      <c r="C2044" s="66"/>
      <c r="D2044" s="41"/>
      <c r="E2044" s="72"/>
      <c r="F2044" s="72"/>
      <c r="G2044" s="72"/>
      <c r="H2044" s="72"/>
      <c r="I2044" s="72"/>
      <c r="J2044" s="72"/>
      <c r="K2044" s="72"/>
      <c r="L2044" s="72"/>
      <c r="M2044" s="73"/>
      <c r="N2044" s="41"/>
      <c r="O2044" s="72"/>
      <c r="P2044" s="99"/>
    </row>
    <row r="2045" spans="1:16" ht="9.75" customHeight="1">
      <c r="A2045" s="57"/>
      <c r="B2045" s="18" t="s">
        <v>25</v>
      </c>
      <c r="C2045" s="18"/>
      <c r="D2045" s="26"/>
      <c r="E2045" s="2"/>
      <c r="F2045" s="2"/>
      <c r="G2045" s="2"/>
      <c r="H2045" s="2"/>
      <c r="I2045" s="2"/>
      <c r="J2045" s="2"/>
      <c r="K2045" s="2"/>
      <c r="L2045" s="2"/>
      <c r="M2045" s="27"/>
      <c r="N2045" s="26"/>
      <c r="O2045" s="2"/>
      <c r="P2045" s="24"/>
    </row>
    <row r="2046" spans="1:16" ht="9.75" customHeight="1">
      <c r="A2046" s="57"/>
      <c r="B2046" s="18" t="s">
        <v>27</v>
      </c>
      <c r="C2046" s="18">
        <v>178</v>
      </c>
      <c r="D2046" s="115">
        <v>173</v>
      </c>
      <c r="E2046" s="116">
        <v>167</v>
      </c>
      <c r="F2046" s="116">
        <v>163</v>
      </c>
      <c r="G2046" s="116">
        <v>158</v>
      </c>
      <c r="H2046" s="116">
        <v>156</v>
      </c>
      <c r="I2046" s="116">
        <v>157</v>
      </c>
      <c r="J2046" s="116">
        <v>160</v>
      </c>
      <c r="K2046" s="116">
        <v>160</v>
      </c>
      <c r="L2046" s="116">
        <v>160</v>
      </c>
      <c r="M2046" s="147">
        <v>164</v>
      </c>
      <c r="N2046" s="26">
        <f>MIN(D2046:M2046)</f>
        <v>156</v>
      </c>
      <c r="O2046" s="2">
        <f>C2046-N2046</f>
        <v>22</v>
      </c>
      <c r="P2046" s="24">
        <f>O2046/C2046</f>
        <v>0.12359550561797752</v>
      </c>
    </row>
    <row r="2047" spans="1:16" ht="9.75" customHeight="1">
      <c r="A2047" s="57"/>
      <c r="B2047" s="18" t="s">
        <v>99</v>
      </c>
      <c r="C2047" s="18"/>
      <c r="D2047" s="26"/>
      <c r="E2047" s="2"/>
      <c r="F2047" s="2"/>
      <c r="G2047" s="2"/>
      <c r="H2047" s="2"/>
      <c r="I2047" s="2"/>
      <c r="J2047" s="2"/>
      <c r="K2047" s="2"/>
      <c r="L2047" s="2"/>
      <c r="M2047" s="27"/>
      <c r="N2047" s="26"/>
      <c r="O2047" s="2"/>
      <c r="P2047" s="24"/>
    </row>
    <row r="2048" spans="1:16" ht="9.75" customHeight="1">
      <c r="A2048" s="18"/>
      <c r="B2048" s="18" t="s">
        <v>99</v>
      </c>
      <c r="C2048" s="18"/>
      <c r="D2048" s="26"/>
      <c r="E2048" s="2"/>
      <c r="F2048" s="2"/>
      <c r="G2048" s="2"/>
      <c r="H2048" s="2"/>
      <c r="I2048" s="2"/>
      <c r="J2048" s="2"/>
      <c r="K2048" s="2"/>
      <c r="L2048" s="2"/>
      <c r="M2048" s="27"/>
      <c r="N2048" s="26"/>
      <c r="O2048" s="2"/>
      <c r="P2048" s="24"/>
    </row>
    <row r="2049" spans="1:16" ht="9.75" customHeight="1">
      <c r="A2049" s="18"/>
      <c r="B2049" s="18" t="s">
        <v>32</v>
      </c>
      <c r="C2049" s="18"/>
      <c r="D2049" s="26"/>
      <c r="E2049" s="2"/>
      <c r="F2049" s="2"/>
      <c r="G2049" s="2"/>
      <c r="H2049" s="2"/>
      <c r="I2049" s="2"/>
      <c r="J2049" s="2"/>
      <c r="K2049" s="2"/>
      <c r="L2049" s="2"/>
      <c r="M2049" s="27"/>
      <c r="N2049" s="26"/>
      <c r="O2049" s="2"/>
      <c r="P2049" s="24"/>
    </row>
    <row r="2050" spans="1:16" ht="9.75" customHeight="1">
      <c r="A2050" s="18"/>
      <c r="B2050" s="18" t="s">
        <v>141</v>
      </c>
      <c r="C2050" s="18">
        <v>63</v>
      </c>
      <c r="D2050" s="115">
        <v>63</v>
      </c>
      <c r="E2050" s="116">
        <v>63</v>
      </c>
      <c r="F2050" s="116">
        <v>63</v>
      </c>
      <c r="G2050" s="116">
        <v>62</v>
      </c>
      <c r="H2050" s="116">
        <v>62</v>
      </c>
      <c r="I2050" s="116">
        <v>61</v>
      </c>
      <c r="J2050" s="116">
        <v>61</v>
      </c>
      <c r="K2050" s="116">
        <v>61</v>
      </c>
      <c r="L2050" s="116">
        <v>61</v>
      </c>
      <c r="M2050" s="147">
        <v>61</v>
      </c>
      <c r="N2050" s="26">
        <f t="shared" ref="N2050:N2051" si="387">MIN(D2050:M2050)</f>
        <v>61</v>
      </c>
      <c r="O2050" s="2">
        <f t="shared" ref="O2050:O2051" si="388">C2050-N2050</f>
        <v>2</v>
      </c>
      <c r="P2050" s="24">
        <f t="shared" ref="P2050:P2051" si="389">O2050/C2050</f>
        <v>3.1746031746031744E-2</v>
      </c>
    </row>
    <row r="2051" spans="1:16" ht="9.75" customHeight="1">
      <c r="A2051" s="18"/>
      <c r="B2051" s="18" t="s">
        <v>102</v>
      </c>
      <c r="C2051" s="18">
        <v>8</v>
      </c>
      <c r="D2051" s="115">
        <v>8</v>
      </c>
      <c r="E2051" s="116">
        <v>8</v>
      </c>
      <c r="F2051" s="116">
        <v>8</v>
      </c>
      <c r="G2051" s="116">
        <v>8</v>
      </c>
      <c r="H2051" s="116">
        <v>8</v>
      </c>
      <c r="I2051" s="116">
        <v>7</v>
      </c>
      <c r="J2051" s="116">
        <v>7</v>
      </c>
      <c r="K2051" s="116">
        <v>7</v>
      </c>
      <c r="L2051" s="116">
        <v>8</v>
      </c>
      <c r="M2051" s="147">
        <v>8</v>
      </c>
      <c r="N2051" s="26">
        <f t="shared" si="387"/>
        <v>7</v>
      </c>
      <c r="O2051" s="2">
        <f t="shared" si="388"/>
        <v>1</v>
      </c>
      <c r="P2051" s="24">
        <f t="shared" si="389"/>
        <v>0.125</v>
      </c>
    </row>
    <row r="2052" spans="1:16" ht="9.75" customHeight="1">
      <c r="A2052" s="18"/>
      <c r="B2052" s="18" t="s">
        <v>104</v>
      </c>
      <c r="C2052" s="18"/>
      <c r="D2052" s="26"/>
      <c r="E2052" s="2"/>
      <c r="F2052" s="2"/>
      <c r="G2052" s="2"/>
      <c r="H2052" s="2"/>
      <c r="I2052" s="2"/>
      <c r="J2052" s="2"/>
      <c r="K2052" s="2"/>
      <c r="L2052" s="2"/>
      <c r="M2052" s="27"/>
      <c r="N2052" s="26"/>
      <c r="O2052" s="2"/>
      <c r="P2052" s="24"/>
    </row>
    <row r="2053" spans="1:16" ht="9.75" customHeight="1">
      <c r="A2053" s="18"/>
      <c r="B2053" s="18" t="s">
        <v>104</v>
      </c>
      <c r="C2053" s="18"/>
      <c r="D2053" s="26"/>
      <c r="E2053" s="2"/>
      <c r="F2053" s="2"/>
      <c r="G2053" s="2"/>
      <c r="H2053" s="2"/>
      <c r="I2053" s="2"/>
      <c r="J2053" s="2"/>
      <c r="K2053" s="2"/>
      <c r="L2053" s="2"/>
      <c r="M2053" s="27"/>
      <c r="N2053" s="26"/>
      <c r="O2053" s="2"/>
      <c r="P2053" s="24"/>
    </row>
    <row r="2054" spans="1:16" ht="9.75" customHeight="1">
      <c r="A2054" s="18"/>
      <c r="B2054" s="18" t="s">
        <v>104</v>
      </c>
      <c r="C2054" s="18"/>
      <c r="D2054" s="26"/>
      <c r="E2054" s="2"/>
      <c r="F2054" s="2"/>
      <c r="G2054" s="2"/>
      <c r="H2054" s="2"/>
      <c r="I2054" s="2"/>
      <c r="J2054" s="2"/>
      <c r="K2054" s="2"/>
      <c r="L2054" s="2"/>
      <c r="M2054" s="27"/>
      <c r="N2054" s="26"/>
      <c r="O2054" s="2"/>
      <c r="P2054" s="24"/>
    </row>
    <row r="2055" spans="1:16" ht="9.75" customHeight="1">
      <c r="A2055" s="18"/>
      <c r="B2055" s="18" t="s">
        <v>104</v>
      </c>
      <c r="C2055" s="18"/>
      <c r="D2055" s="26"/>
      <c r="E2055" s="2"/>
      <c r="F2055" s="2"/>
      <c r="G2055" s="2"/>
      <c r="H2055" s="2"/>
      <c r="I2055" s="2"/>
      <c r="J2055" s="2"/>
      <c r="K2055" s="2"/>
      <c r="L2055" s="2"/>
      <c r="M2055" s="27"/>
      <c r="N2055" s="26"/>
      <c r="O2055" s="2"/>
      <c r="P2055" s="24"/>
    </row>
    <row r="2056" spans="1:16" ht="9.75" customHeight="1">
      <c r="A2056" s="18"/>
      <c r="B2056" s="18" t="s">
        <v>34</v>
      </c>
      <c r="C2056" s="18">
        <v>6</v>
      </c>
      <c r="D2056" s="115">
        <v>6</v>
      </c>
      <c r="E2056" s="116">
        <v>6</v>
      </c>
      <c r="F2056" s="116">
        <v>6</v>
      </c>
      <c r="G2056" s="116">
        <v>6</v>
      </c>
      <c r="H2056" s="116">
        <v>6</v>
      </c>
      <c r="I2056" s="116">
        <v>6</v>
      </c>
      <c r="J2056" s="116">
        <v>6</v>
      </c>
      <c r="K2056" s="116">
        <v>6</v>
      </c>
      <c r="L2056" s="116">
        <v>6</v>
      </c>
      <c r="M2056" s="147">
        <v>6</v>
      </c>
      <c r="N2056" s="26">
        <f t="shared" ref="N2056:N2057" si="390">MIN(D2056:M2056)</f>
        <v>6</v>
      </c>
      <c r="O2056" s="2">
        <f t="shared" ref="O2056:O2057" si="391">C2056-N2056</f>
        <v>0</v>
      </c>
      <c r="P2056" s="24">
        <f t="shared" ref="P2056:P2057" si="392">O2056/C2056</f>
        <v>0</v>
      </c>
    </row>
    <row r="2057" spans="1:16" ht="9.75" customHeight="1">
      <c r="A2057" s="18"/>
      <c r="B2057" s="18" t="s">
        <v>268</v>
      </c>
      <c r="C2057" s="18">
        <v>2</v>
      </c>
      <c r="D2057" s="115">
        <v>1</v>
      </c>
      <c r="E2057" s="116">
        <v>1</v>
      </c>
      <c r="F2057" s="116">
        <v>1</v>
      </c>
      <c r="G2057" s="116">
        <v>2</v>
      </c>
      <c r="H2057" s="116">
        <v>2</v>
      </c>
      <c r="I2057" s="116">
        <v>2</v>
      </c>
      <c r="J2057" s="116">
        <v>2</v>
      </c>
      <c r="K2057" s="116">
        <v>2</v>
      </c>
      <c r="L2057" s="116">
        <v>2</v>
      </c>
      <c r="M2057" s="147">
        <v>2</v>
      </c>
      <c r="N2057" s="26">
        <f t="shared" si="390"/>
        <v>1</v>
      </c>
      <c r="O2057" s="2">
        <f t="shared" si="391"/>
        <v>1</v>
      </c>
      <c r="P2057" s="24">
        <f t="shared" si="392"/>
        <v>0.5</v>
      </c>
    </row>
    <row r="2058" spans="1:16" ht="9.75" customHeight="1">
      <c r="A2058" s="18"/>
      <c r="B2058" s="18" t="s">
        <v>36</v>
      </c>
      <c r="C2058" s="18"/>
      <c r="D2058" s="26"/>
      <c r="E2058" s="2"/>
      <c r="F2058" s="2"/>
      <c r="G2058" s="2"/>
      <c r="H2058" s="2"/>
      <c r="I2058" s="2"/>
      <c r="J2058" s="2"/>
      <c r="K2058" s="2"/>
      <c r="L2058" s="2"/>
      <c r="M2058" s="27"/>
      <c r="N2058" s="26"/>
      <c r="O2058" s="2"/>
      <c r="P2058" s="24"/>
    </row>
    <row r="2059" spans="1:16" ht="9.75" customHeight="1">
      <c r="A2059" s="18"/>
      <c r="B2059" s="18" t="s">
        <v>37</v>
      </c>
      <c r="C2059" s="18"/>
      <c r="D2059" s="26"/>
      <c r="E2059" s="2"/>
      <c r="F2059" s="2"/>
      <c r="G2059" s="2"/>
      <c r="H2059" s="2"/>
      <c r="I2059" s="2"/>
      <c r="J2059" s="2"/>
      <c r="K2059" s="2"/>
      <c r="L2059" s="2"/>
      <c r="M2059" s="27"/>
      <c r="N2059" s="26"/>
      <c r="O2059" s="2"/>
      <c r="P2059" s="24"/>
    </row>
    <row r="2060" spans="1:16" ht="9.75" customHeight="1">
      <c r="A2060" s="32"/>
      <c r="B2060" s="33" t="s">
        <v>38</v>
      </c>
      <c r="C2060" s="94">
        <f t="shared" ref="C2060:M2060" si="393">SUM(C2044:C2059)</f>
        <v>257</v>
      </c>
      <c r="D2060" s="67">
        <f t="shared" si="393"/>
        <v>251</v>
      </c>
      <c r="E2060" s="68">
        <f t="shared" si="393"/>
        <v>245</v>
      </c>
      <c r="F2060" s="68">
        <f t="shared" si="393"/>
        <v>241</v>
      </c>
      <c r="G2060" s="68">
        <f t="shared" si="393"/>
        <v>236</v>
      </c>
      <c r="H2060" s="68">
        <f t="shared" si="393"/>
        <v>234</v>
      </c>
      <c r="I2060" s="68">
        <f t="shared" si="393"/>
        <v>233</v>
      </c>
      <c r="J2060" s="68">
        <f t="shared" si="393"/>
        <v>236</v>
      </c>
      <c r="K2060" s="68">
        <f t="shared" si="393"/>
        <v>236</v>
      </c>
      <c r="L2060" s="68">
        <f t="shared" si="393"/>
        <v>237</v>
      </c>
      <c r="M2060" s="69">
        <f t="shared" si="393"/>
        <v>241</v>
      </c>
      <c r="N2060" s="67">
        <f>MIN(D2060:M2060)</f>
        <v>233</v>
      </c>
      <c r="O2060" s="68">
        <f>C2060-N2060</f>
        <v>24</v>
      </c>
      <c r="P2060" s="190">
        <f>O2060/C2060</f>
        <v>9.3385214007782102E-2</v>
      </c>
    </row>
    <row r="2061" spans="1:16" ht="9.75" customHeight="1">
      <c r="A2061" s="66" t="s">
        <v>312</v>
      </c>
      <c r="B2061" s="66" t="s">
        <v>23</v>
      </c>
      <c r="C2061" s="66"/>
      <c r="D2061" s="41"/>
      <c r="E2061" s="72"/>
      <c r="F2061" s="72"/>
      <c r="G2061" s="72"/>
      <c r="H2061" s="72"/>
      <c r="I2061" s="72"/>
      <c r="J2061" s="72"/>
      <c r="K2061" s="72"/>
      <c r="L2061" s="72"/>
      <c r="M2061" s="73"/>
      <c r="N2061" s="41"/>
      <c r="O2061" s="72"/>
      <c r="P2061" s="99"/>
    </row>
    <row r="2062" spans="1:16" ht="9.75" customHeight="1">
      <c r="A2062" s="57"/>
      <c r="B2062" s="18" t="s">
        <v>25</v>
      </c>
      <c r="C2062" s="18">
        <v>180</v>
      </c>
      <c r="D2062" s="115">
        <v>93</v>
      </c>
      <c r="E2062" s="116">
        <v>48</v>
      </c>
      <c r="F2062" s="116">
        <v>28</v>
      </c>
      <c r="G2062" s="116">
        <v>28</v>
      </c>
      <c r="H2062" s="116">
        <v>26</v>
      </c>
      <c r="I2062" s="116">
        <v>34</v>
      </c>
      <c r="J2062" s="116">
        <v>27</v>
      </c>
      <c r="K2062" s="116">
        <v>39</v>
      </c>
      <c r="L2062" s="116">
        <v>52</v>
      </c>
      <c r="M2062" s="147">
        <v>87</v>
      </c>
      <c r="N2062" s="26">
        <f>MIN(D2062:M2062)</f>
        <v>26</v>
      </c>
      <c r="O2062" s="2">
        <f>C2062-N2062</f>
        <v>154</v>
      </c>
      <c r="P2062" s="24">
        <f>O2062/C2062</f>
        <v>0.85555555555555551</v>
      </c>
    </row>
    <row r="2063" spans="1:16" ht="9.75" customHeight="1">
      <c r="A2063" s="57"/>
      <c r="B2063" s="18" t="s">
        <v>27</v>
      </c>
      <c r="C2063" s="18"/>
      <c r="D2063" s="26"/>
      <c r="E2063" s="2"/>
      <c r="F2063" s="2"/>
      <c r="G2063" s="2"/>
      <c r="H2063" s="2"/>
      <c r="I2063" s="2"/>
      <c r="J2063" s="2"/>
      <c r="K2063" s="2"/>
      <c r="L2063" s="2"/>
      <c r="M2063" s="27"/>
      <c r="N2063" s="26"/>
      <c r="O2063" s="2"/>
      <c r="P2063" s="24"/>
    </row>
    <row r="2064" spans="1:16" ht="9.75" customHeight="1">
      <c r="A2064" s="57"/>
      <c r="B2064" s="18" t="s">
        <v>99</v>
      </c>
      <c r="C2064" s="18">
        <v>47</v>
      </c>
      <c r="D2064" s="115">
        <v>34</v>
      </c>
      <c r="E2064" s="116">
        <v>21</v>
      </c>
      <c r="F2064" s="116">
        <v>12</v>
      </c>
      <c r="G2064" s="116">
        <v>11</v>
      </c>
      <c r="H2064" s="116">
        <v>7</v>
      </c>
      <c r="I2064" s="116">
        <v>4</v>
      </c>
      <c r="J2064" s="116">
        <v>3</v>
      </c>
      <c r="K2064" s="116">
        <v>11</v>
      </c>
      <c r="L2064" s="116">
        <v>18</v>
      </c>
      <c r="M2064" s="147">
        <v>25</v>
      </c>
      <c r="N2064" s="26">
        <f>MIN(D2064:M2064)</f>
        <v>3</v>
      </c>
      <c r="O2064" s="2">
        <f>C2064-N2064</f>
        <v>44</v>
      </c>
      <c r="P2064" s="24">
        <f>O2064/C2064</f>
        <v>0.93617021276595747</v>
      </c>
    </row>
    <row r="2065" spans="1:16" ht="9.75" customHeight="1">
      <c r="A2065" s="18"/>
      <c r="B2065" s="18" t="s">
        <v>99</v>
      </c>
      <c r="C2065" s="18"/>
      <c r="D2065" s="26"/>
      <c r="E2065" s="2"/>
      <c r="F2065" s="2"/>
      <c r="G2065" s="2"/>
      <c r="H2065" s="2"/>
      <c r="I2065" s="2"/>
      <c r="J2065" s="2"/>
      <c r="K2065" s="2"/>
      <c r="L2065" s="2"/>
      <c r="M2065" s="27"/>
      <c r="N2065" s="26"/>
      <c r="O2065" s="2"/>
      <c r="P2065" s="24"/>
    </row>
    <row r="2066" spans="1:16" ht="9.75" customHeight="1">
      <c r="A2066" s="18"/>
      <c r="B2066" s="18" t="s">
        <v>32</v>
      </c>
      <c r="C2066" s="18"/>
      <c r="D2066" s="26"/>
      <c r="E2066" s="2"/>
      <c r="F2066" s="2"/>
      <c r="G2066" s="2"/>
      <c r="H2066" s="2"/>
      <c r="I2066" s="2"/>
      <c r="J2066" s="2"/>
      <c r="K2066" s="2"/>
      <c r="L2066" s="2"/>
      <c r="M2066" s="27"/>
      <c r="N2066" s="26"/>
      <c r="O2066" s="2"/>
      <c r="P2066" s="24"/>
    </row>
    <row r="2067" spans="1:16" ht="9.75" customHeight="1">
      <c r="A2067" s="18"/>
      <c r="B2067" s="18" t="s">
        <v>216</v>
      </c>
      <c r="C2067" s="18">
        <v>3</v>
      </c>
      <c r="D2067" s="115">
        <v>3</v>
      </c>
      <c r="E2067" s="116">
        <v>2</v>
      </c>
      <c r="F2067" s="116">
        <v>1</v>
      </c>
      <c r="G2067" s="116">
        <v>2</v>
      </c>
      <c r="H2067" s="116">
        <v>2</v>
      </c>
      <c r="I2067" s="116">
        <v>0</v>
      </c>
      <c r="J2067" s="116">
        <v>2</v>
      </c>
      <c r="K2067" s="116">
        <v>3</v>
      </c>
      <c r="L2067" s="116">
        <v>3</v>
      </c>
      <c r="M2067" s="147">
        <v>3</v>
      </c>
      <c r="N2067" s="26">
        <f t="shared" ref="N2067:N2069" si="394">MIN(D2067:M2067)</f>
        <v>0</v>
      </c>
      <c r="O2067" s="2">
        <f t="shared" ref="O2067:O2069" si="395">C2067-N2067</f>
        <v>3</v>
      </c>
      <c r="P2067" s="24">
        <f t="shared" ref="P2067:P2069" si="396">O2067/C2067</f>
        <v>1</v>
      </c>
    </row>
    <row r="2068" spans="1:16" ht="9.75" customHeight="1">
      <c r="A2068" s="18"/>
      <c r="B2068" s="18" t="s">
        <v>102</v>
      </c>
      <c r="C2068" s="18">
        <v>8</v>
      </c>
      <c r="D2068" s="115">
        <v>7</v>
      </c>
      <c r="E2068" s="116">
        <v>7</v>
      </c>
      <c r="F2068" s="116">
        <v>5</v>
      </c>
      <c r="G2068" s="116">
        <v>6</v>
      </c>
      <c r="H2068" s="116">
        <v>6</v>
      </c>
      <c r="I2068" s="116">
        <v>7</v>
      </c>
      <c r="J2068" s="116">
        <v>8</v>
      </c>
      <c r="K2068" s="116">
        <v>7</v>
      </c>
      <c r="L2068" s="116">
        <v>7</v>
      </c>
      <c r="M2068" s="147">
        <v>5</v>
      </c>
      <c r="N2068" s="26">
        <f t="shared" si="394"/>
        <v>5</v>
      </c>
      <c r="O2068" s="2">
        <f t="shared" si="395"/>
        <v>3</v>
      </c>
      <c r="P2068" s="24">
        <f t="shared" si="396"/>
        <v>0.375</v>
      </c>
    </row>
    <row r="2069" spans="1:16" ht="9.75" customHeight="1">
      <c r="A2069" s="18"/>
      <c r="B2069" s="18" t="s">
        <v>313</v>
      </c>
      <c r="C2069" s="18">
        <v>3</v>
      </c>
      <c r="D2069" s="115">
        <v>3</v>
      </c>
      <c r="E2069" s="116">
        <v>3</v>
      </c>
      <c r="F2069" s="116">
        <v>3</v>
      </c>
      <c r="G2069" s="116">
        <v>2</v>
      </c>
      <c r="H2069" s="116">
        <v>3</v>
      </c>
      <c r="I2069" s="116">
        <v>3</v>
      </c>
      <c r="J2069" s="116">
        <v>3</v>
      </c>
      <c r="K2069" s="116">
        <v>3</v>
      </c>
      <c r="L2069" s="116">
        <v>3</v>
      </c>
      <c r="M2069" s="147">
        <v>3</v>
      </c>
      <c r="N2069" s="26">
        <f t="shared" si="394"/>
        <v>2</v>
      </c>
      <c r="O2069" s="2">
        <f t="shared" si="395"/>
        <v>1</v>
      </c>
      <c r="P2069" s="24">
        <f t="shared" si="396"/>
        <v>0.33333333333333331</v>
      </c>
    </row>
    <row r="2070" spans="1:16" ht="9.75" customHeight="1">
      <c r="A2070" s="18"/>
      <c r="B2070" s="18" t="s">
        <v>104</v>
      </c>
      <c r="C2070" s="18"/>
      <c r="D2070" s="26"/>
      <c r="E2070" s="2"/>
      <c r="F2070" s="2"/>
      <c r="G2070" s="2"/>
      <c r="H2070" s="2"/>
      <c r="I2070" s="2"/>
      <c r="J2070" s="2"/>
      <c r="K2070" s="2"/>
      <c r="L2070" s="2"/>
      <c r="M2070" s="27"/>
      <c r="N2070" s="26"/>
      <c r="O2070" s="2"/>
      <c r="P2070" s="24"/>
    </row>
    <row r="2071" spans="1:16" ht="9.75" customHeight="1">
      <c r="A2071" s="18"/>
      <c r="B2071" s="18" t="s">
        <v>104</v>
      </c>
      <c r="C2071" s="18"/>
      <c r="D2071" s="26"/>
      <c r="E2071" s="2"/>
      <c r="F2071" s="2"/>
      <c r="G2071" s="2"/>
      <c r="H2071" s="2"/>
      <c r="I2071" s="2"/>
      <c r="J2071" s="2"/>
      <c r="K2071" s="2"/>
      <c r="L2071" s="2"/>
      <c r="M2071" s="27"/>
      <c r="N2071" s="26"/>
      <c r="O2071" s="2"/>
      <c r="P2071" s="24"/>
    </row>
    <row r="2072" spans="1:16" ht="9.75" customHeight="1">
      <c r="A2072" s="18"/>
      <c r="B2072" s="18" t="s">
        <v>104</v>
      </c>
      <c r="C2072" s="18"/>
      <c r="D2072" s="26"/>
      <c r="E2072" s="2"/>
      <c r="F2072" s="2"/>
      <c r="G2072" s="2"/>
      <c r="H2072" s="2"/>
      <c r="I2072" s="2"/>
      <c r="J2072" s="2"/>
      <c r="K2072" s="2"/>
      <c r="L2072" s="2"/>
      <c r="M2072" s="27"/>
      <c r="N2072" s="26"/>
      <c r="O2072" s="2"/>
      <c r="P2072" s="24"/>
    </row>
    <row r="2073" spans="1:16" ht="9.75" customHeight="1">
      <c r="A2073" s="18"/>
      <c r="B2073" s="18" t="s">
        <v>34</v>
      </c>
      <c r="C2073" s="18">
        <v>6</v>
      </c>
      <c r="D2073" s="115">
        <v>5</v>
      </c>
      <c r="E2073" s="116">
        <v>5</v>
      </c>
      <c r="F2073" s="116">
        <v>5</v>
      </c>
      <c r="G2073" s="116">
        <v>5</v>
      </c>
      <c r="H2073" s="116">
        <v>5</v>
      </c>
      <c r="I2073" s="116">
        <v>5</v>
      </c>
      <c r="J2073" s="116">
        <v>5</v>
      </c>
      <c r="K2073" s="116">
        <v>6</v>
      </c>
      <c r="L2073" s="116">
        <v>6</v>
      </c>
      <c r="M2073" s="147">
        <v>6</v>
      </c>
      <c r="N2073" s="26">
        <f t="shared" ref="N2073:N2074" si="397">MIN(D2073:M2073)</f>
        <v>5</v>
      </c>
      <c r="O2073" s="2">
        <f t="shared" ref="O2073:O2074" si="398">C2073-N2073</f>
        <v>1</v>
      </c>
      <c r="P2073" s="24">
        <f t="shared" ref="P2073:P2074" si="399">O2073/C2073</f>
        <v>0.16666666666666666</v>
      </c>
    </row>
    <row r="2074" spans="1:16" ht="9.75" customHeight="1">
      <c r="A2074" s="18"/>
      <c r="B2074" s="18" t="s">
        <v>268</v>
      </c>
      <c r="C2074" s="18">
        <v>5</v>
      </c>
      <c r="D2074" s="115">
        <v>1</v>
      </c>
      <c r="E2074" s="116">
        <v>1</v>
      </c>
      <c r="F2074" s="116">
        <v>1</v>
      </c>
      <c r="G2074" s="116">
        <v>1</v>
      </c>
      <c r="H2074" s="116">
        <v>2</v>
      </c>
      <c r="I2074" s="116">
        <v>2</v>
      </c>
      <c r="J2074" s="116">
        <v>1</v>
      </c>
      <c r="K2074" s="116">
        <v>1</v>
      </c>
      <c r="L2074" s="116">
        <v>1</v>
      </c>
      <c r="M2074" s="147">
        <v>1</v>
      </c>
      <c r="N2074" s="26">
        <f t="shared" si="397"/>
        <v>1</v>
      </c>
      <c r="O2074" s="2">
        <f t="shared" si="398"/>
        <v>4</v>
      </c>
      <c r="P2074" s="24">
        <f t="shared" si="399"/>
        <v>0.8</v>
      </c>
    </row>
    <row r="2075" spans="1:16" ht="9.75" customHeight="1">
      <c r="A2075" s="18"/>
      <c r="B2075" s="18" t="s">
        <v>36</v>
      </c>
      <c r="C2075" s="18"/>
      <c r="D2075" s="26"/>
      <c r="E2075" s="2"/>
      <c r="F2075" s="2"/>
      <c r="G2075" s="2"/>
      <c r="H2075" s="2"/>
      <c r="I2075" s="2"/>
      <c r="J2075" s="2"/>
      <c r="K2075" s="2"/>
      <c r="L2075" s="2"/>
      <c r="M2075" s="27"/>
      <c r="N2075" s="26"/>
      <c r="O2075" s="2"/>
      <c r="P2075" s="24"/>
    </row>
    <row r="2076" spans="1:16" ht="9.75" customHeight="1">
      <c r="A2076" s="18"/>
      <c r="B2076" s="18" t="s">
        <v>37</v>
      </c>
      <c r="C2076" s="18"/>
      <c r="D2076" s="26"/>
      <c r="E2076" s="2"/>
      <c r="F2076" s="2"/>
      <c r="G2076" s="2"/>
      <c r="H2076" s="2"/>
      <c r="I2076" s="2"/>
      <c r="J2076" s="2"/>
      <c r="K2076" s="2"/>
      <c r="L2076" s="2"/>
      <c r="M2076" s="27"/>
      <c r="N2076" s="26"/>
      <c r="O2076" s="2"/>
      <c r="P2076" s="24"/>
    </row>
    <row r="2077" spans="1:16" ht="9.75" customHeight="1">
      <c r="A2077" s="32"/>
      <c r="B2077" s="33" t="s">
        <v>38</v>
      </c>
      <c r="C2077" s="70">
        <f t="shared" ref="C2077:M2077" si="400">SUM(C2061:C2076)</f>
        <v>252</v>
      </c>
      <c r="D2077" s="70">
        <f t="shared" si="400"/>
        <v>146</v>
      </c>
      <c r="E2077" s="71">
        <f t="shared" si="400"/>
        <v>87</v>
      </c>
      <c r="F2077" s="71">
        <f t="shared" si="400"/>
        <v>55</v>
      </c>
      <c r="G2077" s="71">
        <f t="shared" si="400"/>
        <v>55</v>
      </c>
      <c r="H2077" s="71">
        <f t="shared" si="400"/>
        <v>51</v>
      </c>
      <c r="I2077" s="71">
        <f t="shared" si="400"/>
        <v>55</v>
      </c>
      <c r="J2077" s="71">
        <f t="shared" si="400"/>
        <v>49</v>
      </c>
      <c r="K2077" s="71">
        <f t="shared" si="400"/>
        <v>70</v>
      </c>
      <c r="L2077" s="71">
        <f t="shared" si="400"/>
        <v>90</v>
      </c>
      <c r="M2077" s="93">
        <f t="shared" si="400"/>
        <v>130</v>
      </c>
      <c r="N2077" s="71">
        <f t="shared" ref="N2077:N2079" si="401">MIN(D2077:M2077)</f>
        <v>49</v>
      </c>
      <c r="O2077" s="71">
        <f t="shared" ref="O2077:O2079" si="402">C2077-N2077</f>
        <v>203</v>
      </c>
      <c r="P2077" s="40">
        <f t="shared" ref="P2077:P2079" si="403">O2077/C2077</f>
        <v>0.80555555555555558</v>
      </c>
    </row>
    <row r="2078" spans="1:16" ht="9.75" customHeight="1">
      <c r="A2078" s="66" t="s">
        <v>314</v>
      </c>
      <c r="B2078" s="66" t="s">
        <v>23</v>
      </c>
      <c r="C2078" s="66">
        <v>156</v>
      </c>
      <c r="D2078" s="115">
        <v>139</v>
      </c>
      <c r="E2078" s="116">
        <v>102</v>
      </c>
      <c r="F2078" s="116">
        <v>86</v>
      </c>
      <c r="G2078" s="116">
        <v>78</v>
      </c>
      <c r="H2078" s="116">
        <v>78</v>
      </c>
      <c r="I2078" s="116">
        <v>72</v>
      </c>
      <c r="J2078" s="116">
        <v>85</v>
      </c>
      <c r="K2078" s="116">
        <v>72</v>
      </c>
      <c r="L2078" s="116">
        <v>96</v>
      </c>
      <c r="M2078" s="147">
        <v>110</v>
      </c>
      <c r="N2078" s="26">
        <f t="shared" si="401"/>
        <v>72</v>
      </c>
      <c r="O2078" s="2">
        <f t="shared" si="402"/>
        <v>84</v>
      </c>
      <c r="P2078" s="24">
        <f t="shared" si="403"/>
        <v>0.53846153846153844</v>
      </c>
    </row>
    <row r="2079" spans="1:16" ht="9.75" customHeight="1">
      <c r="A2079" s="57"/>
      <c r="B2079" s="18" t="s">
        <v>25</v>
      </c>
      <c r="C2079" s="18">
        <v>89</v>
      </c>
      <c r="D2079" s="115">
        <v>60</v>
      </c>
      <c r="E2079" s="116">
        <v>46</v>
      </c>
      <c r="F2079" s="116">
        <v>39</v>
      </c>
      <c r="G2079" s="116">
        <v>30</v>
      </c>
      <c r="H2079" s="116">
        <v>32</v>
      </c>
      <c r="I2079" s="116">
        <v>36</v>
      </c>
      <c r="J2079" s="116">
        <v>35</v>
      </c>
      <c r="K2079" s="116">
        <v>43</v>
      </c>
      <c r="L2079" s="116">
        <v>53</v>
      </c>
      <c r="M2079" s="147">
        <v>65</v>
      </c>
      <c r="N2079" s="26">
        <f t="shared" si="401"/>
        <v>30</v>
      </c>
      <c r="O2079" s="2">
        <f t="shared" si="402"/>
        <v>59</v>
      </c>
      <c r="P2079" s="24">
        <f t="shared" si="403"/>
        <v>0.6629213483146067</v>
      </c>
    </row>
    <row r="2080" spans="1:16" ht="9.75" customHeight="1">
      <c r="A2080" s="57"/>
      <c r="B2080" s="18" t="s">
        <v>27</v>
      </c>
      <c r="C2080" s="18"/>
      <c r="D2080" s="26"/>
      <c r="E2080" s="2"/>
      <c r="F2080" s="2"/>
      <c r="G2080" s="2"/>
      <c r="H2080" s="2"/>
      <c r="I2080" s="2"/>
      <c r="J2080" s="2"/>
      <c r="K2080" s="2"/>
      <c r="L2080" s="2"/>
      <c r="M2080" s="27"/>
      <c r="N2080" s="26"/>
      <c r="O2080" s="2"/>
      <c r="P2080" s="24"/>
    </row>
    <row r="2081" spans="1:16" ht="9.75" customHeight="1">
      <c r="A2081" s="57"/>
      <c r="B2081" s="18" t="s">
        <v>99</v>
      </c>
      <c r="C2081" s="18"/>
      <c r="D2081" s="26"/>
      <c r="E2081" s="2"/>
      <c r="F2081" s="2"/>
      <c r="G2081" s="2"/>
      <c r="H2081" s="2"/>
      <c r="I2081" s="2"/>
      <c r="J2081" s="2"/>
      <c r="K2081" s="2"/>
      <c r="L2081" s="2"/>
      <c r="M2081" s="27"/>
      <c r="N2081" s="26"/>
      <c r="O2081" s="2"/>
      <c r="P2081" s="24"/>
    </row>
    <row r="2082" spans="1:16" ht="9.75" customHeight="1">
      <c r="A2082" s="18"/>
      <c r="B2082" s="18" t="s">
        <v>99</v>
      </c>
      <c r="C2082" s="18"/>
      <c r="D2082" s="26"/>
      <c r="E2082" s="2"/>
      <c r="F2082" s="2"/>
      <c r="G2082" s="2"/>
      <c r="H2082" s="2"/>
      <c r="I2082" s="2"/>
      <c r="J2082" s="2"/>
      <c r="K2082" s="2"/>
      <c r="L2082" s="2"/>
      <c r="M2082" s="27"/>
      <c r="N2082" s="26"/>
      <c r="O2082" s="2"/>
      <c r="P2082" s="24"/>
    </row>
    <row r="2083" spans="1:16" ht="9.75" customHeight="1">
      <c r="A2083" s="18"/>
      <c r="B2083" s="18" t="s">
        <v>32</v>
      </c>
      <c r="C2083" s="18"/>
      <c r="D2083" s="26"/>
      <c r="E2083" s="2"/>
      <c r="F2083" s="2"/>
      <c r="G2083" s="2"/>
      <c r="H2083" s="2"/>
      <c r="I2083" s="2"/>
      <c r="J2083" s="2"/>
      <c r="K2083" s="2"/>
      <c r="L2083" s="2"/>
      <c r="M2083" s="27"/>
      <c r="N2083" s="26"/>
      <c r="O2083" s="2"/>
      <c r="P2083" s="24"/>
    </row>
    <row r="2084" spans="1:16" ht="9.75" customHeight="1">
      <c r="A2084" s="18"/>
      <c r="B2084" s="18" t="s">
        <v>102</v>
      </c>
      <c r="C2084" s="18">
        <v>8</v>
      </c>
      <c r="D2084" s="115">
        <v>8</v>
      </c>
      <c r="E2084" s="116">
        <v>7</v>
      </c>
      <c r="F2084" s="116">
        <v>6</v>
      </c>
      <c r="G2084" s="116">
        <v>5</v>
      </c>
      <c r="H2084" s="116">
        <v>5</v>
      </c>
      <c r="I2084" s="116">
        <v>4</v>
      </c>
      <c r="J2084" s="116">
        <v>6</v>
      </c>
      <c r="K2084" s="116">
        <v>6</v>
      </c>
      <c r="L2084" s="116">
        <v>6</v>
      </c>
      <c r="M2084" s="147">
        <v>6</v>
      </c>
      <c r="N2084" s="26">
        <f>MIN(D2084:M2084)</f>
        <v>4</v>
      </c>
      <c r="O2084" s="2">
        <f>C2084-N2084</f>
        <v>4</v>
      </c>
      <c r="P2084" s="24">
        <f>O2084/C2084</f>
        <v>0.5</v>
      </c>
    </row>
    <row r="2085" spans="1:16" ht="9.75" customHeight="1">
      <c r="A2085" s="18"/>
      <c r="B2085" s="18" t="s">
        <v>104</v>
      </c>
      <c r="C2085" s="18"/>
      <c r="D2085" s="26"/>
      <c r="E2085" s="2"/>
      <c r="F2085" s="2"/>
      <c r="G2085" s="2"/>
      <c r="H2085" s="2"/>
      <c r="I2085" s="2"/>
      <c r="J2085" s="2"/>
      <c r="K2085" s="2"/>
      <c r="L2085" s="2"/>
      <c r="M2085" s="27"/>
      <c r="N2085" s="26"/>
      <c r="O2085" s="2"/>
      <c r="P2085" s="24"/>
    </row>
    <row r="2086" spans="1:16" ht="9.75" customHeight="1">
      <c r="A2086" s="18"/>
      <c r="B2086" s="18" t="s">
        <v>104</v>
      </c>
      <c r="C2086" s="18"/>
      <c r="D2086" s="26"/>
      <c r="E2086" s="2"/>
      <c r="F2086" s="2"/>
      <c r="G2086" s="2"/>
      <c r="H2086" s="2"/>
      <c r="I2086" s="2"/>
      <c r="J2086" s="2"/>
      <c r="K2086" s="2"/>
      <c r="L2086" s="2"/>
      <c r="M2086" s="27"/>
      <c r="N2086" s="26"/>
      <c r="O2086" s="2"/>
      <c r="P2086" s="24"/>
    </row>
    <row r="2087" spans="1:16" ht="9.75" customHeight="1">
      <c r="A2087" s="18"/>
      <c r="B2087" s="18" t="s">
        <v>104</v>
      </c>
      <c r="C2087" s="18"/>
      <c r="D2087" s="26"/>
      <c r="E2087" s="2"/>
      <c r="F2087" s="2"/>
      <c r="G2087" s="2"/>
      <c r="H2087" s="2"/>
      <c r="I2087" s="2"/>
      <c r="J2087" s="2"/>
      <c r="K2087" s="2"/>
      <c r="L2087" s="2"/>
      <c r="M2087" s="27"/>
      <c r="N2087" s="26"/>
      <c r="O2087" s="2"/>
      <c r="P2087" s="24"/>
    </row>
    <row r="2088" spans="1:16" ht="9.75" customHeight="1">
      <c r="A2088" s="18"/>
      <c r="B2088" s="18" t="s">
        <v>104</v>
      </c>
      <c r="C2088" s="18"/>
      <c r="D2088" s="26"/>
      <c r="E2088" s="2"/>
      <c r="F2088" s="2"/>
      <c r="G2088" s="2"/>
      <c r="H2088" s="2"/>
      <c r="I2088" s="2"/>
      <c r="J2088" s="2"/>
      <c r="K2088" s="2"/>
      <c r="L2088" s="2"/>
      <c r="M2088" s="27"/>
      <c r="N2088" s="26"/>
      <c r="O2088" s="2"/>
      <c r="P2088" s="24"/>
    </row>
    <row r="2089" spans="1:16" ht="9.75" customHeight="1">
      <c r="A2089" s="18"/>
      <c r="B2089" s="18" t="s">
        <v>104</v>
      </c>
      <c r="C2089" s="18"/>
      <c r="D2089" s="26"/>
      <c r="E2089" s="2"/>
      <c r="F2089" s="2"/>
      <c r="G2089" s="2"/>
      <c r="H2089" s="2"/>
      <c r="I2089" s="2"/>
      <c r="J2089" s="2"/>
      <c r="K2089" s="2"/>
      <c r="L2089" s="2"/>
      <c r="M2089" s="27"/>
      <c r="N2089" s="26"/>
      <c r="O2089" s="2"/>
      <c r="P2089" s="24"/>
    </row>
    <row r="2090" spans="1:16" ht="9.75" customHeight="1">
      <c r="A2090" s="18"/>
      <c r="B2090" s="18" t="s">
        <v>34</v>
      </c>
      <c r="C2090" s="18">
        <v>6</v>
      </c>
      <c r="D2090" s="115">
        <v>6</v>
      </c>
      <c r="E2090" s="116">
        <v>6</v>
      </c>
      <c r="F2090" s="116">
        <v>6</v>
      </c>
      <c r="G2090" s="116">
        <v>6</v>
      </c>
      <c r="H2090" s="116">
        <v>6</v>
      </c>
      <c r="I2090" s="116">
        <v>6</v>
      </c>
      <c r="J2090" s="116">
        <v>6</v>
      </c>
      <c r="K2090" s="116">
        <v>6</v>
      </c>
      <c r="L2090" s="116">
        <v>6</v>
      </c>
      <c r="M2090" s="147">
        <v>6</v>
      </c>
      <c r="N2090" s="26">
        <f t="shared" ref="N2090:N2091" si="404">MIN(D2090:M2090)</f>
        <v>6</v>
      </c>
      <c r="O2090" s="2">
        <f t="shared" ref="O2090:O2091" si="405">C2090-N2090</f>
        <v>0</v>
      </c>
      <c r="P2090" s="24">
        <f t="shared" ref="P2090:P2091" si="406">O2090/C2090</f>
        <v>0</v>
      </c>
    </row>
    <row r="2091" spans="1:16" ht="9.75" customHeight="1">
      <c r="A2091" s="18"/>
      <c r="B2091" s="18" t="s">
        <v>268</v>
      </c>
      <c r="C2091" s="18">
        <v>2</v>
      </c>
      <c r="D2091" s="115">
        <v>2</v>
      </c>
      <c r="E2091" s="116">
        <v>2</v>
      </c>
      <c r="F2091" s="116">
        <v>2</v>
      </c>
      <c r="G2091" s="116">
        <v>2</v>
      </c>
      <c r="H2091" s="116">
        <v>2</v>
      </c>
      <c r="I2091" s="116">
        <v>1</v>
      </c>
      <c r="J2091" s="116">
        <v>1</v>
      </c>
      <c r="K2091" s="116">
        <v>1</v>
      </c>
      <c r="L2091" s="116">
        <v>1</v>
      </c>
      <c r="M2091" s="147">
        <v>1</v>
      </c>
      <c r="N2091" s="26">
        <f t="shared" si="404"/>
        <v>1</v>
      </c>
      <c r="O2091" s="2">
        <f t="shared" si="405"/>
        <v>1</v>
      </c>
      <c r="P2091" s="24">
        <f t="shared" si="406"/>
        <v>0.5</v>
      </c>
    </row>
    <row r="2092" spans="1:16" ht="9.75" customHeight="1">
      <c r="A2092" s="18"/>
      <c r="B2092" s="18" t="s">
        <v>36</v>
      </c>
      <c r="C2092" s="18"/>
      <c r="D2092" s="26"/>
      <c r="E2092" s="2"/>
      <c r="F2092" s="2"/>
      <c r="G2092" s="2"/>
      <c r="H2092" s="2"/>
      <c r="I2092" s="2"/>
      <c r="J2092" s="2"/>
      <c r="K2092" s="2"/>
      <c r="L2092" s="2"/>
      <c r="M2092" s="27"/>
      <c r="N2092" s="26"/>
      <c r="O2092" s="2"/>
      <c r="P2092" s="24"/>
    </row>
    <row r="2093" spans="1:16" ht="9.75" customHeight="1">
      <c r="A2093" s="18"/>
      <c r="B2093" s="18" t="s">
        <v>37</v>
      </c>
      <c r="C2093" s="18"/>
      <c r="D2093" s="26"/>
      <c r="E2093" s="2"/>
      <c r="F2093" s="2"/>
      <c r="G2093" s="2"/>
      <c r="H2093" s="2"/>
      <c r="I2093" s="2"/>
      <c r="J2093" s="2"/>
      <c r="K2093" s="2"/>
      <c r="L2093" s="2"/>
      <c r="M2093" s="27"/>
      <c r="N2093" s="26"/>
      <c r="O2093" s="2"/>
      <c r="P2093" s="24"/>
    </row>
    <row r="2094" spans="1:16" ht="9.75" customHeight="1">
      <c r="A2094" s="32"/>
      <c r="B2094" s="33" t="s">
        <v>38</v>
      </c>
      <c r="C2094" s="33">
        <f t="shared" ref="C2094:M2094" si="407">SUM(C2078:C2093)</f>
        <v>261</v>
      </c>
      <c r="D2094" s="70">
        <f t="shared" si="407"/>
        <v>215</v>
      </c>
      <c r="E2094" s="71">
        <f t="shared" si="407"/>
        <v>163</v>
      </c>
      <c r="F2094" s="71">
        <f t="shared" si="407"/>
        <v>139</v>
      </c>
      <c r="G2094" s="71">
        <f t="shared" si="407"/>
        <v>121</v>
      </c>
      <c r="H2094" s="71">
        <f t="shared" si="407"/>
        <v>123</v>
      </c>
      <c r="I2094" s="71">
        <f t="shared" si="407"/>
        <v>119</v>
      </c>
      <c r="J2094" s="71">
        <f t="shared" si="407"/>
        <v>133</v>
      </c>
      <c r="K2094" s="71">
        <f t="shared" si="407"/>
        <v>128</v>
      </c>
      <c r="L2094" s="71">
        <f t="shared" si="407"/>
        <v>162</v>
      </c>
      <c r="M2094" s="93">
        <f t="shared" si="407"/>
        <v>188</v>
      </c>
      <c r="N2094" s="70">
        <f>MIN(D2094:M2094)</f>
        <v>119</v>
      </c>
      <c r="O2094" s="71">
        <f>C2094-N2094</f>
        <v>142</v>
      </c>
      <c r="P2094" s="40">
        <f>O2094/C2094</f>
        <v>0.54406130268199238</v>
      </c>
    </row>
    <row r="2095" spans="1:16" ht="9.75" customHeight="1">
      <c r="A2095" s="66" t="s">
        <v>315</v>
      </c>
      <c r="B2095" s="66" t="s">
        <v>23</v>
      </c>
      <c r="C2095" s="66"/>
      <c r="D2095" s="41"/>
      <c r="E2095" s="72"/>
      <c r="F2095" s="72"/>
      <c r="G2095" s="72"/>
      <c r="H2095" s="72"/>
      <c r="I2095" s="72"/>
      <c r="J2095" s="72"/>
      <c r="K2095" s="72"/>
      <c r="L2095" s="72"/>
      <c r="M2095" s="73"/>
      <c r="N2095" s="41"/>
      <c r="O2095" s="72"/>
      <c r="P2095" s="99"/>
    </row>
    <row r="2096" spans="1:16" ht="9.75" customHeight="1">
      <c r="A2096" s="57"/>
      <c r="B2096" s="18" t="s">
        <v>25</v>
      </c>
      <c r="C2096" s="18">
        <v>253</v>
      </c>
      <c r="D2096" s="115">
        <v>251</v>
      </c>
      <c r="E2096" s="116">
        <v>252</v>
      </c>
      <c r="F2096" s="116">
        <v>251</v>
      </c>
      <c r="G2096" s="116">
        <v>249</v>
      </c>
      <c r="H2096" s="116">
        <v>250</v>
      </c>
      <c r="I2096" s="116">
        <v>250</v>
      </c>
      <c r="J2096" s="116">
        <v>250</v>
      </c>
      <c r="K2096" s="116">
        <v>250</v>
      </c>
      <c r="L2096" s="116">
        <v>250</v>
      </c>
      <c r="M2096" s="147">
        <v>251</v>
      </c>
      <c r="N2096" s="26">
        <f>MIN(D2096:M2096)</f>
        <v>249</v>
      </c>
      <c r="O2096" s="2">
        <f>C2096-N2096</f>
        <v>4</v>
      </c>
      <c r="P2096" s="24">
        <f>O2096/C2096</f>
        <v>1.5810276679841896E-2</v>
      </c>
    </row>
    <row r="2097" spans="1:16" ht="9.75" customHeight="1">
      <c r="A2097" s="57"/>
      <c r="B2097" s="18" t="s">
        <v>27</v>
      </c>
      <c r="C2097" s="18"/>
      <c r="D2097" s="26"/>
      <c r="E2097" s="2"/>
      <c r="F2097" s="2"/>
      <c r="G2097" s="2"/>
      <c r="H2097" s="2"/>
      <c r="I2097" s="2"/>
      <c r="J2097" s="2"/>
      <c r="K2097" s="2"/>
      <c r="L2097" s="2"/>
      <c r="M2097" s="27"/>
      <c r="N2097" s="26"/>
      <c r="O2097" s="2"/>
      <c r="P2097" s="24"/>
    </row>
    <row r="2098" spans="1:16" ht="9.75" customHeight="1">
      <c r="A2098" s="57"/>
      <c r="B2098" s="18" t="s">
        <v>99</v>
      </c>
      <c r="C2098" s="18"/>
      <c r="D2098" s="26"/>
      <c r="E2098" s="2"/>
      <c r="F2098" s="2"/>
      <c r="G2098" s="2"/>
      <c r="H2098" s="2"/>
      <c r="I2098" s="2"/>
      <c r="J2098" s="2"/>
      <c r="K2098" s="2"/>
      <c r="L2098" s="2"/>
      <c r="M2098" s="27"/>
      <c r="N2098" s="26"/>
      <c r="O2098" s="2"/>
      <c r="P2098" s="24"/>
    </row>
    <row r="2099" spans="1:16" ht="9.75" customHeight="1">
      <c r="A2099" s="18"/>
      <c r="B2099" s="18" t="s">
        <v>99</v>
      </c>
      <c r="C2099" s="18"/>
      <c r="D2099" s="26"/>
      <c r="E2099" s="2"/>
      <c r="F2099" s="2"/>
      <c r="G2099" s="2"/>
      <c r="H2099" s="2"/>
      <c r="I2099" s="2"/>
      <c r="J2099" s="2"/>
      <c r="K2099" s="2"/>
      <c r="L2099" s="2"/>
      <c r="M2099" s="27"/>
      <c r="N2099" s="26"/>
      <c r="O2099" s="2"/>
      <c r="P2099" s="24"/>
    </row>
    <row r="2100" spans="1:16" ht="9.75" customHeight="1">
      <c r="A2100" s="18"/>
      <c r="B2100" s="18" t="s">
        <v>32</v>
      </c>
      <c r="C2100" s="18"/>
      <c r="D2100" s="26"/>
      <c r="E2100" s="2"/>
      <c r="F2100" s="2"/>
      <c r="G2100" s="2"/>
      <c r="H2100" s="2"/>
      <c r="I2100" s="2"/>
      <c r="J2100" s="2"/>
      <c r="K2100" s="2"/>
      <c r="L2100" s="2"/>
      <c r="M2100" s="27"/>
      <c r="N2100" s="26"/>
      <c r="O2100" s="2"/>
      <c r="P2100" s="24"/>
    </row>
    <row r="2101" spans="1:16" ht="9.75" customHeight="1">
      <c r="A2101" s="18"/>
      <c r="B2101" s="18" t="s">
        <v>102</v>
      </c>
      <c r="C2101" s="18">
        <v>8</v>
      </c>
      <c r="D2101" s="115">
        <v>8</v>
      </c>
      <c r="E2101" s="116">
        <v>8</v>
      </c>
      <c r="F2101" s="116">
        <v>8</v>
      </c>
      <c r="G2101" s="116">
        <v>8</v>
      </c>
      <c r="H2101" s="116">
        <v>8</v>
      </c>
      <c r="I2101" s="116">
        <v>8</v>
      </c>
      <c r="J2101" s="116">
        <v>8</v>
      </c>
      <c r="K2101" s="116">
        <v>8</v>
      </c>
      <c r="L2101" s="116">
        <v>8</v>
      </c>
      <c r="M2101" s="147">
        <v>8</v>
      </c>
      <c r="N2101" s="26">
        <f>MIN(D2101:M2101)</f>
        <v>8</v>
      </c>
      <c r="O2101" s="2">
        <f>C2101-N2101</f>
        <v>0</v>
      </c>
      <c r="P2101" s="24">
        <f>O2101/C2101</f>
        <v>0</v>
      </c>
    </row>
    <row r="2102" spans="1:16" ht="9.75" customHeight="1">
      <c r="A2102" s="18"/>
      <c r="B2102" s="18" t="s">
        <v>104</v>
      </c>
      <c r="C2102" s="18"/>
      <c r="D2102" s="26"/>
      <c r="E2102" s="2"/>
      <c r="F2102" s="2"/>
      <c r="G2102" s="2"/>
      <c r="H2102" s="2"/>
      <c r="I2102" s="2"/>
      <c r="J2102" s="2"/>
      <c r="K2102" s="2"/>
      <c r="L2102" s="2"/>
      <c r="M2102" s="27"/>
      <c r="N2102" s="26"/>
      <c r="O2102" s="2"/>
      <c r="P2102" s="24"/>
    </row>
    <row r="2103" spans="1:16" ht="9.75" customHeight="1">
      <c r="A2103" s="18"/>
      <c r="B2103" s="18" t="s">
        <v>104</v>
      </c>
      <c r="C2103" s="18"/>
      <c r="D2103" s="26"/>
      <c r="E2103" s="2"/>
      <c r="F2103" s="2"/>
      <c r="G2103" s="2"/>
      <c r="H2103" s="2"/>
      <c r="I2103" s="2"/>
      <c r="J2103" s="2"/>
      <c r="K2103" s="2"/>
      <c r="L2103" s="2"/>
      <c r="M2103" s="27"/>
      <c r="N2103" s="26"/>
      <c r="O2103" s="2"/>
      <c r="P2103" s="24"/>
    </row>
    <row r="2104" spans="1:16" ht="9.75" customHeight="1">
      <c r="A2104" s="18"/>
      <c r="B2104" s="18" t="s">
        <v>104</v>
      </c>
      <c r="C2104" s="18"/>
      <c r="D2104" s="26"/>
      <c r="E2104" s="2"/>
      <c r="F2104" s="2"/>
      <c r="G2104" s="2"/>
      <c r="H2104" s="2"/>
      <c r="I2104" s="2"/>
      <c r="J2104" s="2"/>
      <c r="K2104" s="2"/>
      <c r="L2104" s="2"/>
      <c r="M2104" s="27"/>
      <c r="N2104" s="26"/>
      <c r="O2104" s="2"/>
      <c r="P2104" s="24"/>
    </row>
    <row r="2105" spans="1:16" ht="9.75" customHeight="1">
      <c r="A2105" s="18"/>
      <c r="B2105" s="18" t="s">
        <v>104</v>
      </c>
      <c r="C2105" s="18"/>
      <c r="D2105" s="26"/>
      <c r="E2105" s="2"/>
      <c r="F2105" s="2"/>
      <c r="G2105" s="2"/>
      <c r="H2105" s="2"/>
      <c r="I2105" s="2"/>
      <c r="J2105" s="2"/>
      <c r="K2105" s="2"/>
      <c r="L2105" s="2"/>
      <c r="M2105" s="27"/>
      <c r="N2105" s="26"/>
      <c r="O2105" s="2"/>
      <c r="P2105" s="24"/>
    </row>
    <row r="2106" spans="1:16" ht="9.75" customHeight="1">
      <c r="A2106" s="18"/>
      <c r="B2106" s="18" t="s">
        <v>104</v>
      </c>
      <c r="C2106" s="18"/>
      <c r="D2106" s="26"/>
      <c r="E2106" s="2"/>
      <c r="F2106" s="2"/>
      <c r="G2106" s="2"/>
      <c r="H2106" s="2"/>
      <c r="I2106" s="2"/>
      <c r="J2106" s="2"/>
      <c r="K2106" s="2"/>
      <c r="L2106" s="2"/>
      <c r="M2106" s="27"/>
      <c r="N2106" s="26"/>
      <c r="O2106" s="2"/>
      <c r="P2106" s="24"/>
    </row>
    <row r="2107" spans="1:16" ht="9.75" customHeight="1">
      <c r="A2107" s="18"/>
      <c r="B2107" s="18" t="s">
        <v>34</v>
      </c>
      <c r="C2107" s="18">
        <v>5</v>
      </c>
      <c r="D2107" s="115">
        <v>5</v>
      </c>
      <c r="E2107" s="116">
        <v>5</v>
      </c>
      <c r="F2107" s="116">
        <v>5</v>
      </c>
      <c r="G2107" s="116">
        <v>5</v>
      </c>
      <c r="H2107" s="116">
        <v>5</v>
      </c>
      <c r="I2107" s="116">
        <v>5</v>
      </c>
      <c r="J2107" s="116">
        <v>5</v>
      </c>
      <c r="K2107" s="116">
        <v>5</v>
      </c>
      <c r="L2107" s="116">
        <v>5</v>
      </c>
      <c r="M2107" s="147">
        <v>5</v>
      </c>
      <c r="N2107" s="26">
        <f t="shared" ref="N2107:N2108" si="408">MIN(D2107:M2107)</f>
        <v>5</v>
      </c>
      <c r="O2107" s="2">
        <f t="shared" ref="O2107:O2108" si="409">C2107-N2107</f>
        <v>0</v>
      </c>
      <c r="P2107" s="24">
        <f t="shared" ref="P2107:P2108" si="410">O2107/C2107</f>
        <v>0</v>
      </c>
    </row>
    <row r="2108" spans="1:16" ht="9.75" customHeight="1">
      <c r="A2108" s="18"/>
      <c r="B2108" s="18" t="s">
        <v>268</v>
      </c>
      <c r="C2108" s="18">
        <v>1</v>
      </c>
      <c r="D2108" s="115">
        <v>1</v>
      </c>
      <c r="E2108" s="116">
        <v>1</v>
      </c>
      <c r="F2108" s="116">
        <v>1</v>
      </c>
      <c r="G2108" s="116">
        <v>1</v>
      </c>
      <c r="H2108" s="116">
        <v>1</v>
      </c>
      <c r="I2108" s="116">
        <v>1</v>
      </c>
      <c r="J2108" s="116">
        <v>1</v>
      </c>
      <c r="K2108" s="116">
        <v>1</v>
      </c>
      <c r="L2108" s="116">
        <v>1</v>
      </c>
      <c r="M2108" s="147">
        <v>1</v>
      </c>
      <c r="N2108" s="26">
        <f t="shared" si="408"/>
        <v>1</v>
      </c>
      <c r="O2108" s="2">
        <f t="shared" si="409"/>
        <v>0</v>
      </c>
      <c r="P2108" s="24">
        <f t="shared" si="410"/>
        <v>0</v>
      </c>
    </row>
    <row r="2109" spans="1:16" ht="9.75" customHeight="1">
      <c r="A2109" s="18"/>
      <c r="B2109" s="18" t="s">
        <v>36</v>
      </c>
      <c r="C2109" s="18"/>
      <c r="D2109" s="26"/>
      <c r="E2109" s="2"/>
      <c r="F2109" s="2"/>
      <c r="G2109" s="2"/>
      <c r="H2109" s="2"/>
      <c r="I2109" s="2"/>
      <c r="J2109" s="2"/>
      <c r="K2109" s="2"/>
      <c r="L2109" s="2"/>
      <c r="M2109" s="27"/>
      <c r="N2109" s="26"/>
      <c r="O2109" s="2"/>
      <c r="P2109" s="24"/>
    </row>
    <row r="2110" spans="1:16" ht="9.75" customHeight="1">
      <c r="A2110" s="18"/>
      <c r="B2110" s="18" t="s">
        <v>37</v>
      </c>
      <c r="C2110" s="18"/>
      <c r="D2110" s="26"/>
      <c r="E2110" s="2"/>
      <c r="F2110" s="2"/>
      <c r="G2110" s="2"/>
      <c r="H2110" s="2"/>
      <c r="I2110" s="2"/>
      <c r="J2110" s="2"/>
      <c r="K2110" s="2"/>
      <c r="L2110" s="2"/>
      <c r="M2110" s="27"/>
      <c r="N2110" s="26"/>
      <c r="O2110" s="2"/>
      <c r="P2110" s="24"/>
    </row>
    <row r="2111" spans="1:16" ht="9.75" customHeight="1">
      <c r="A2111" s="32"/>
      <c r="B2111" s="33" t="s">
        <v>38</v>
      </c>
      <c r="C2111" s="94">
        <f t="shared" ref="C2111:M2111" si="411">SUM(C2095:C2110)</f>
        <v>267</v>
      </c>
      <c r="D2111" s="70">
        <f t="shared" si="411"/>
        <v>265</v>
      </c>
      <c r="E2111" s="71">
        <f t="shared" si="411"/>
        <v>266</v>
      </c>
      <c r="F2111" s="71">
        <f t="shared" si="411"/>
        <v>265</v>
      </c>
      <c r="G2111" s="71">
        <f t="shared" si="411"/>
        <v>263</v>
      </c>
      <c r="H2111" s="71">
        <f t="shared" si="411"/>
        <v>264</v>
      </c>
      <c r="I2111" s="71">
        <f t="shared" si="411"/>
        <v>264</v>
      </c>
      <c r="J2111" s="71">
        <f t="shared" si="411"/>
        <v>264</v>
      </c>
      <c r="K2111" s="71">
        <f t="shared" si="411"/>
        <v>264</v>
      </c>
      <c r="L2111" s="71">
        <f t="shared" si="411"/>
        <v>264</v>
      </c>
      <c r="M2111" s="93">
        <f t="shared" si="411"/>
        <v>265</v>
      </c>
      <c r="N2111" s="70">
        <f>MIN(D2111:M2111)</f>
        <v>263</v>
      </c>
      <c r="O2111" s="71">
        <f>C2111-N2111</f>
        <v>4</v>
      </c>
      <c r="P2111" s="40">
        <f>O2111/C2111</f>
        <v>1.4981273408239701E-2</v>
      </c>
    </row>
    <row r="2112" spans="1:16" ht="9.75" customHeight="1">
      <c r="A2112" s="66" t="s">
        <v>316</v>
      </c>
      <c r="B2112" s="66" t="s">
        <v>23</v>
      </c>
      <c r="C2112" s="66"/>
      <c r="D2112" s="41"/>
      <c r="E2112" s="72"/>
      <c r="F2112" s="72"/>
      <c r="G2112" s="72"/>
      <c r="H2112" s="72"/>
      <c r="I2112" s="72"/>
      <c r="J2112" s="72"/>
      <c r="K2112" s="72"/>
      <c r="L2112" s="72"/>
      <c r="M2112" s="73"/>
      <c r="N2112" s="41"/>
      <c r="O2112" s="72"/>
      <c r="P2112" s="99"/>
    </row>
    <row r="2113" spans="1:16" ht="9.75" customHeight="1">
      <c r="A2113" s="18"/>
      <c r="B2113" s="18" t="s">
        <v>25</v>
      </c>
      <c r="C2113" s="18">
        <v>63</v>
      </c>
      <c r="D2113" s="115">
        <v>63</v>
      </c>
      <c r="E2113" s="116">
        <v>63</v>
      </c>
      <c r="F2113" s="116">
        <v>63</v>
      </c>
      <c r="G2113" s="116">
        <v>63</v>
      </c>
      <c r="H2113" s="116">
        <v>63</v>
      </c>
      <c r="I2113" s="2">
        <v>62</v>
      </c>
      <c r="J2113" s="2">
        <v>62</v>
      </c>
      <c r="K2113" s="2">
        <v>62</v>
      </c>
      <c r="L2113" s="2">
        <v>62</v>
      </c>
      <c r="M2113" s="27">
        <v>63</v>
      </c>
      <c r="N2113" s="26">
        <f t="shared" ref="N2113:N2114" si="412">MIN(D2113:M2113)</f>
        <v>62</v>
      </c>
      <c r="O2113" s="2">
        <f t="shared" ref="O2113:O2114" si="413">C2113-N2113</f>
        <v>1</v>
      </c>
      <c r="P2113" s="24">
        <f t="shared" ref="P2113:P2114" si="414">O2113/C2113</f>
        <v>1.5873015873015872E-2</v>
      </c>
    </row>
    <row r="2114" spans="1:16" ht="9.75" customHeight="1">
      <c r="A2114" s="18"/>
      <c r="B2114" s="18" t="s">
        <v>27</v>
      </c>
      <c r="C2114" s="18">
        <v>257</v>
      </c>
      <c r="D2114" s="115">
        <v>247</v>
      </c>
      <c r="E2114" s="116">
        <v>347</v>
      </c>
      <c r="F2114" s="116">
        <v>247</v>
      </c>
      <c r="G2114" s="116">
        <v>247</v>
      </c>
      <c r="H2114" s="116">
        <v>247</v>
      </c>
      <c r="I2114" s="2">
        <v>247</v>
      </c>
      <c r="J2114" s="2">
        <v>247</v>
      </c>
      <c r="K2114" s="2">
        <v>252</v>
      </c>
      <c r="L2114" s="2">
        <v>252</v>
      </c>
      <c r="M2114" s="27">
        <v>252</v>
      </c>
      <c r="N2114" s="26">
        <f t="shared" si="412"/>
        <v>247</v>
      </c>
      <c r="O2114" s="2">
        <f t="shared" si="413"/>
        <v>10</v>
      </c>
      <c r="P2114" s="24">
        <f t="shared" si="414"/>
        <v>3.8910505836575876E-2</v>
      </c>
    </row>
    <row r="2115" spans="1:16" ht="9.75" customHeight="1">
      <c r="A2115" s="18"/>
      <c r="B2115" s="18" t="s">
        <v>99</v>
      </c>
      <c r="C2115" s="18"/>
      <c r="D2115" s="26"/>
      <c r="E2115" s="2"/>
      <c r="F2115" s="2"/>
      <c r="G2115" s="2"/>
      <c r="H2115" s="2"/>
      <c r="I2115" s="2"/>
      <c r="J2115" s="2"/>
      <c r="K2115" s="2"/>
      <c r="L2115" s="2"/>
      <c r="M2115" s="27"/>
      <c r="N2115" s="26"/>
      <c r="O2115" s="2"/>
      <c r="P2115" s="24"/>
    </row>
    <row r="2116" spans="1:16" ht="9.75" customHeight="1">
      <c r="A2116" s="18"/>
      <c r="B2116" s="18" t="s">
        <v>99</v>
      </c>
      <c r="C2116" s="18"/>
      <c r="D2116" s="26"/>
      <c r="E2116" s="2"/>
      <c r="F2116" s="2"/>
      <c r="G2116" s="2"/>
      <c r="H2116" s="2"/>
      <c r="I2116" s="2"/>
      <c r="J2116" s="2"/>
      <c r="K2116" s="2"/>
      <c r="L2116" s="2"/>
      <c r="M2116" s="27"/>
      <c r="N2116" s="26"/>
      <c r="O2116" s="2"/>
      <c r="P2116" s="24"/>
    </row>
    <row r="2117" spans="1:16" ht="9.75" customHeight="1">
      <c r="A2117" s="18"/>
      <c r="B2117" s="18" t="s">
        <v>32</v>
      </c>
      <c r="C2117" s="18"/>
      <c r="D2117" s="26"/>
      <c r="E2117" s="2"/>
      <c r="F2117" s="2"/>
      <c r="G2117" s="2"/>
      <c r="H2117" s="2"/>
      <c r="I2117" s="2"/>
      <c r="J2117" s="2"/>
      <c r="K2117" s="2"/>
      <c r="L2117" s="2"/>
      <c r="M2117" s="27"/>
      <c r="N2117" s="26"/>
      <c r="O2117" s="2"/>
      <c r="P2117" s="24"/>
    </row>
    <row r="2118" spans="1:16" ht="9.75" customHeight="1">
      <c r="A2118" s="18"/>
      <c r="B2118" s="18" t="s">
        <v>104</v>
      </c>
      <c r="C2118" s="18"/>
      <c r="D2118" s="26"/>
      <c r="E2118" s="2"/>
      <c r="F2118" s="2"/>
      <c r="G2118" s="2"/>
      <c r="H2118" s="2"/>
      <c r="I2118" s="2"/>
      <c r="J2118" s="2"/>
      <c r="K2118" s="2"/>
      <c r="L2118" s="2"/>
      <c r="M2118" s="27"/>
      <c r="N2118" s="26"/>
      <c r="O2118" s="2"/>
      <c r="P2118" s="24"/>
    </row>
    <row r="2119" spans="1:16" ht="9.75" customHeight="1">
      <c r="A2119" s="18"/>
      <c r="B2119" s="18" t="s">
        <v>104</v>
      </c>
      <c r="C2119" s="18"/>
      <c r="D2119" s="26"/>
      <c r="E2119" s="2"/>
      <c r="F2119" s="2"/>
      <c r="G2119" s="2"/>
      <c r="H2119" s="2"/>
      <c r="I2119" s="2"/>
      <c r="J2119" s="2"/>
      <c r="K2119" s="2"/>
      <c r="L2119" s="2"/>
      <c r="M2119" s="27"/>
      <c r="N2119" s="26"/>
      <c r="O2119" s="2"/>
      <c r="P2119" s="24"/>
    </row>
    <row r="2120" spans="1:16" ht="9.75" customHeight="1">
      <c r="A2120" s="18"/>
      <c r="B2120" s="18" t="s">
        <v>104</v>
      </c>
      <c r="C2120" s="18"/>
      <c r="D2120" s="26"/>
      <c r="E2120" s="2"/>
      <c r="F2120" s="2"/>
      <c r="G2120" s="2"/>
      <c r="H2120" s="2"/>
      <c r="I2120" s="2"/>
      <c r="J2120" s="2"/>
      <c r="K2120" s="2"/>
      <c r="L2120" s="2"/>
      <c r="M2120" s="27"/>
      <c r="N2120" s="26"/>
      <c r="O2120" s="2"/>
      <c r="P2120" s="24"/>
    </row>
    <row r="2121" spans="1:16" ht="9.75" customHeight="1">
      <c r="A2121" s="18"/>
      <c r="B2121" s="18" t="s">
        <v>104</v>
      </c>
      <c r="C2121" s="18"/>
      <c r="D2121" s="26"/>
      <c r="E2121" s="2"/>
      <c r="F2121" s="2"/>
      <c r="G2121" s="2"/>
      <c r="H2121" s="2"/>
      <c r="I2121" s="2"/>
      <c r="J2121" s="2"/>
      <c r="K2121" s="2"/>
      <c r="L2121" s="2"/>
      <c r="M2121" s="27"/>
      <c r="N2121" s="26"/>
      <c r="O2121" s="2"/>
      <c r="P2121" s="24"/>
    </row>
    <row r="2122" spans="1:16" ht="9.75" customHeight="1">
      <c r="A2122" s="18"/>
      <c r="B2122" s="18" t="s">
        <v>104</v>
      </c>
      <c r="C2122" s="18"/>
      <c r="D2122" s="26"/>
      <c r="E2122" s="2"/>
      <c r="F2122" s="2"/>
      <c r="G2122" s="2"/>
      <c r="H2122" s="2"/>
      <c r="I2122" s="2"/>
      <c r="J2122" s="2"/>
      <c r="K2122" s="2"/>
      <c r="L2122" s="2"/>
      <c r="M2122" s="27"/>
      <c r="N2122" s="26"/>
      <c r="O2122" s="2"/>
      <c r="P2122" s="24"/>
    </row>
    <row r="2123" spans="1:16" ht="9.75" customHeight="1">
      <c r="A2123" s="18"/>
      <c r="B2123" s="18" t="s">
        <v>104</v>
      </c>
      <c r="C2123" s="18"/>
      <c r="D2123" s="26"/>
      <c r="E2123" s="2"/>
      <c r="F2123" s="2"/>
      <c r="G2123" s="2"/>
      <c r="H2123" s="2"/>
      <c r="I2123" s="2"/>
      <c r="J2123" s="2"/>
      <c r="K2123" s="2"/>
      <c r="L2123" s="2"/>
      <c r="M2123" s="27"/>
      <c r="N2123" s="26"/>
      <c r="O2123" s="2"/>
      <c r="P2123" s="24"/>
    </row>
    <row r="2124" spans="1:16" ht="9.75" customHeight="1">
      <c r="A2124" s="18"/>
      <c r="B2124" s="18" t="s">
        <v>34</v>
      </c>
      <c r="C2124" s="18"/>
      <c r="D2124" s="26"/>
      <c r="E2124" s="2"/>
      <c r="F2124" s="2"/>
      <c r="G2124" s="2"/>
      <c r="H2124" s="2"/>
      <c r="I2124" s="2"/>
      <c r="J2124" s="2"/>
      <c r="K2124" s="2"/>
      <c r="L2124" s="2"/>
      <c r="M2124" s="27"/>
      <c r="N2124" s="26"/>
      <c r="O2124" s="2"/>
      <c r="P2124" s="24"/>
    </row>
    <row r="2125" spans="1:16" ht="9.75" customHeight="1">
      <c r="A2125" s="18"/>
      <c r="B2125" s="18" t="s">
        <v>35</v>
      </c>
      <c r="C2125" s="18"/>
      <c r="D2125" s="26"/>
      <c r="E2125" s="2"/>
      <c r="F2125" s="2"/>
      <c r="G2125" s="2"/>
      <c r="H2125" s="2"/>
      <c r="I2125" s="2"/>
      <c r="J2125" s="2"/>
      <c r="K2125" s="2"/>
      <c r="L2125" s="2"/>
      <c r="M2125" s="27"/>
      <c r="N2125" s="26"/>
      <c r="O2125" s="2"/>
      <c r="P2125" s="24"/>
    </row>
    <row r="2126" spans="1:16" ht="9.75" customHeight="1">
      <c r="A2126" s="18"/>
      <c r="B2126" s="18" t="s">
        <v>36</v>
      </c>
      <c r="C2126" s="18"/>
      <c r="D2126" s="26"/>
      <c r="E2126" s="2"/>
      <c r="F2126" s="2"/>
      <c r="G2126" s="2"/>
      <c r="H2126" s="2"/>
      <c r="I2126" s="2"/>
      <c r="J2126" s="2"/>
      <c r="K2126" s="2"/>
      <c r="L2126" s="2"/>
      <c r="M2126" s="27"/>
      <c r="N2126" s="26"/>
      <c r="O2126" s="2"/>
      <c r="P2126" s="24"/>
    </row>
    <row r="2127" spans="1:16" ht="9.75" customHeight="1">
      <c r="A2127" s="18"/>
      <c r="B2127" s="18" t="s">
        <v>37</v>
      </c>
      <c r="C2127" s="18"/>
      <c r="D2127" s="26"/>
      <c r="E2127" s="2"/>
      <c r="F2127" s="2"/>
      <c r="G2127" s="2"/>
      <c r="H2127" s="2"/>
      <c r="I2127" s="2"/>
      <c r="J2127" s="2"/>
      <c r="K2127" s="2"/>
      <c r="L2127" s="2"/>
      <c r="M2127" s="27"/>
      <c r="N2127" s="26"/>
      <c r="O2127" s="2"/>
      <c r="P2127" s="24"/>
    </row>
    <row r="2128" spans="1:16" ht="9.75" customHeight="1">
      <c r="A2128" s="32"/>
      <c r="B2128" s="70" t="s">
        <v>38</v>
      </c>
      <c r="C2128" s="70">
        <f t="shared" ref="C2128:M2128" si="415">SUM(C2112:C2127)</f>
        <v>320</v>
      </c>
      <c r="D2128" s="70">
        <f t="shared" si="415"/>
        <v>310</v>
      </c>
      <c r="E2128" s="71">
        <f t="shared" si="415"/>
        <v>410</v>
      </c>
      <c r="F2128" s="71">
        <f t="shared" si="415"/>
        <v>310</v>
      </c>
      <c r="G2128" s="71">
        <f t="shared" si="415"/>
        <v>310</v>
      </c>
      <c r="H2128" s="71">
        <f t="shared" si="415"/>
        <v>310</v>
      </c>
      <c r="I2128" s="71">
        <f t="shared" si="415"/>
        <v>309</v>
      </c>
      <c r="J2128" s="71">
        <f t="shared" si="415"/>
        <v>309</v>
      </c>
      <c r="K2128" s="71">
        <f t="shared" si="415"/>
        <v>314</v>
      </c>
      <c r="L2128" s="71">
        <f t="shared" si="415"/>
        <v>314</v>
      </c>
      <c r="M2128" s="93">
        <f t="shared" si="415"/>
        <v>315</v>
      </c>
      <c r="N2128" s="71">
        <f>MIN(D2128:M2128)</f>
        <v>309</v>
      </c>
      <c r="O2128" s="71">
        <f>C2128-N2128</f>
        <v>11</v>
      </c>
      <c r="P2128" s="40">
        <f>O2128/C2128</f>
        <v>3.4375000000000003E-2</v>
      </c>
    </row>
    <row r="2129" spans="1:16" ht="9.75" customHeight="1">
      <c r="A2129" s="66" t="s">
        <v>317</v>
      </c>
      <c r="B2129" s="66" t="s">
        <v>23</v>
      </c>
      <c r="C2129" s="18"/>
      <c r="D2129" s="26"/>
      <c r="E2129" s="2"/>
      <c r="F2129" s="2"/>
      <c r="G2129" s="2"/>
      <c r="H2129" s="2"/>
      <c r="I2129" s="2"/>
      <c r="J2129" s="2"/>
      <c r="K2129" s="2"/>
      <c r="L2129" s="2"/>
      <c r="M2129" s="27"/>
      <c r="N2129" s="26"/>
      <c r="O2129" s="2"/>
      <c r="P2129" s="24"/>
    </row>
    <row r="2130" spans="1:16" ht="9.75" customHeight="1">
      <c r="A2130" s="18"/>
      <c r="B2130" s="18" t="s">
        <v>25</v>
      </c>
      <c r="C2130" s="18"/>
      <c r="D2130" s="26"/>
      <c r="E2130" s="2"/>
      <c r="F2130" s="2"/>
      <c r="G2130" s="2"/>
      <c r="H2130" s="2"/>
      <c r="I2130" s="2"/>
      <c r="J2130" s="2"/>
      <c r="K2130" s="2"/>
      <c r="L2130" s="2"/>
      <c r="M2130" s="27"/>
      <c r="N2130" s="26"/>
      <c r="O2130" s="2"/>
      <c r="P2130" s="24"/>
    </row>
    <row r="2131" spans="1:16" ht="9.75" customHeight="1">
      <c r="A2131" s="18"/>
      <c r="B2131" s="18" t="s">
        <v>30</v>
      </c>
      <c r="C2131" s="145">
        <v>328</v>
      </c>
      <c r="D2131" s="26">
        <f>C2131-35-24-16</f>
        <v>253</v>
      </c>
      <c r="E2131" s="2">
        <f>C2131-43-40-20</f>
        <v>225</v>
      </c>
      <c r="F2131" s="2">
        <f>C2131-50-52-50</f>
        <v>176</v>
      </c>
      <c r="G2131" s="2">
        <f>C2131-55-45-20</f>
        <v>208</v>
      </c>
      <c r="H2131" s="2">
        <f>C2131-53-38-20</f>
        <v>217</v>
      </c>
      <c r="I2131" s="52">
        <f>C2131-55-38-19</f>
        <v>216</v>
      </c>
      <c r="J2131" s="52">
        <f>C2131-53-44-19</f>
        <v>212</v>
      </c>
      <c r="K2131" s="52">
        <f>C2131-51-42-18</f>
        <v>217</v>
      </c>
      <c r="L2131" s="52">
        <f>C2131-38-32-14</f>
        <v>244</v>
      </c>
      <c r="M2131" s="52">
        <f>C2131-25-23-12</f>
        <v>268</v>
      </c>
      <c r="N2131" s="26">
        <f>MIN(D2131:M2131)</f>
        <v>176</v>
      </c>
      <c r="O2131" s="2">
        <f>C2131-N2131</f>
        <v>152</v>
      </c>
      <c r="P2131" s="24">
        <f>O2131/C2131</f>
        <v>0.46341463414634149</v>
      </c>
    </row>
    <row r="2132" spans="1:16" ht="9.75" customHeight="1">
      <c r="A2132" s="18"/>
      <c r="B2132" s="18" t="s">
        <v>27</v>
      </c>
      <c r="C2132" s="18"/>
      <c r="D2132" s="26"/>
      <c r="E2132" s="2"/>
      <c r="F2132" s="2"/>
      <c r="G2132" s="2"/>
      <c r="H2132" s="191"/>
      <c r="I2132" s="2"/>
      <c r="J2132" s="2"/>
      <c r="K2132" s="2"/>
      <c r="L2132" s="2"/>
      <c r="M2132" s="27"/>
      <c r="N2132" s="26"/>
      <c r="O2132" s="2"/>
      <c r="P2132" s="24"/>
    </row>
    <row r="2133" spans="1:16" ht="9.75" customHeight="1">
      <c r="A2133" s="18"/>
      <c r="B2133" s="18" t="s">
        <v>99</v>
      </c>
      <c r="C2133" s="18"/>
      <c r="D2133" s="26"/>
      <c r="E2133" s="2"/>
      <c r="F2133" s="2"/>
      <c r="G2133" s="2"/>
      <c r="H2133" s="2"/>
      <c r="I2133" s="2"/>
      <c r="J2133" s="2"/>
      <c r="K2133" s="2"/>
      <c r="L2133" s="2"/>
      <c r="M2133" s="27"/>
      <c r="N2133" s="26"/>
      <c r="O2133" s="2"/>
      <c r="P2133" s="24"/>
    </row>
    <row r="2134" spans="1:16" ht="9.75" customHeight="1">
      <c r="A2134" s="18"/>
      <c r="B2134" s="18" t="s">
        <v>99</v>
      </c>
      <c r="C2134" s="18"/>
      <c r="D2134" s="26"/>
      <c r="E2134" s="2"/>
      <c r="F2134" s="2"/>
      <c r="G2134" s="2"/>
      <c r="H2134" s="2"/>
      <c r="I2134" s="2"/>
      <c r="J2134" s="2"/>
      <c r="K2134" s="2"/>
      <c r="L2134" s="2"/>
      <c r="M2134" s="27"/>
      <c r="N2134" s="26"/>
      <c r="O2134" s="2"/>
      <c r="P2134" s="24"/>
    </row>
    <row r="2135" spans="1:16" ht="9.75" customHeight="1">
      <c r="A2135" s="18"/>
      <c r="B2135" s="18" t="s">
        <v>204</v>
      </c>
      <c r="C2135" s="18">
        <v>8</v>
      </c>
      <c r="D2135" s="115">
        <v>7</v>
      </c>
      <c r="E2135" s="116">
        <v>7</v>
      </c>
      <c r="F2135" s="116">
        <v>7</v>
      </c>
      <c r="G2135" s="116">
        <v>7</v>
      </c>
      <c r="H2135" s="116">
        <v>7</v>
      </c>
      <c r="I2135" s="116">
        <v>2</v>
      </c>
      <c r="J2135" s="116">
        <v>2</v>
      </c>
      <c r="K2135" s="116">
        <v>3</v>
      </c>
      <c r="L2135" s="116">
        <v>4</v>
      </c>
      <c r="M2135" s="147">
        <v>4</v>
      </c>
      <c r="N2135" s="26">
        <f t="shared" ref="N2135:N2138" si="416">MIN(D2135:M2135)</f>
        <v>2</v>
      </c>
      <c r="O2135" s="2">
        <f t="shared" ref="O2135:O2138" si="417">C2135-N2135</f>
        <v>6</v>
      </c>
      <c r="P2135" s="24">
        <f t="shared" ref="P2135:P2138" si="418">O2135/C2135</f>
        <v>0.75</v>
      </c>
    </row>
    <row r="2136" spans="1:16" ht="9.75" customHeight="1">
      <c r="A2136" s="18"/>
      <c r="B2136" s="18" t="s">
        <v>318</v>
      </c>
      <c r="C2136" s="18">
        <v>2</v>
      </c>
      <c r="D2136" s="115">
        <v>2</v>
      </c>
      <c r="E2136" s="116">
        <v>2</v>
      </c>
      <c r="F2136" s="116">
        <v>2</v>
      </c>
      <c r="G2136" s="116">
        <v>2</v>
      </c>
      <c r="H2136" s="116">
        <v>2</v>
      </c>
      <c r="I2136" s="116">
        <v>2</v>
      </c>
      <c r="J2136" s="116">
        <v>2</v>
      </c>
      <c r="K2136" s="116">
        <v>2</v>
      </c>
      <c r="L2136" s="116">
        <v>1</v>
      </c>
      <c r="M2136" s="147">
        <v>2</v>
      </c>
      <c r="N2136" s="26">
        <f t="shared" si="416"/>
        <v>1</v>
      </c>
      <c r="O2136" s="2">
        <f t="shared" si="417"/>
        <v>1</v>
      </c>
      <c r="P2136" s="24">
        <f t="shared" si="418"/>
        <v>0.5</v>
      </c>
    </row>
    <row r="2137" spans="1:16" ht="9.75" customHeight="1">
      <c r="A2137" s="18"/>
      <c r="B2137" s="18" t="s">
        <v>102</v>
      </c>
      <c r="C2137" s="18">
        <v>4</v>
      </c>
      <c r="D2137" s="115">
        <v>4</v>
      </c>
      <c r="E2137" s="116">
        <v>4</v>
      </c>
      <c r="F2137" s="116">
        <v>4</v>
      </c>
      <c r="G2137" s="116">
        <v>4</v>
      </c>
      <c r="H2137" s="116">
        <v>4</v>
      </c>
      <c r="I2137" s="116">
        <v>4</v>
      </c>
      <c r="J2137" s="116">
        <v>3</v>
      </c>
      <c r="K2137" s="116">
        <v>3</v>
      </c>
      <c r="L2137" s="116">
        <v>2</v>
      </c>
      <c r="M2137" s="147">
        <v>3</v>
      </c>
      <c r="N2137" s="26">
        <f t="shared" si="416"/>
        <v>2</v>
      </c>
      <c r="O2137" s="2">
        <f t="shared" si="417"/>
        <v>2</v>
      </c>
      <c r="P2137" s="24">
        <f t="shared" si="418"/>
        <v>0.5</v>
      </c>
    </row>
    <row r="2138" spans="1:16" ht="9.75" customHeight="1">
      <c r="A2138" s="18"/>
      <c r="B2138" s="18" t="s">
        <v>319</v>
      </c>
      <c r="C2138" s="18">
        <v>17</v>
      </c>
      <c r="D2138" s="26">
        <f>C2138-4</f>
        <v>13</v>
      </c>
      <c r="E2138" s="2">
        <f>C2138-6</f>
        <v>11</v>
      </c>
      <c r="F2138" s="2">
        <f>C2138-4</f>
        <v>13</v>
      </c>
      <c r="G2138" s="2">
        <f>C2138-5</f>
        <v>12</v>
      </c>
      <c r="H2138" s="2">
        <f>C2138-6</f>
        <v>11</v>
      </c>
      <c r="I2138" s="116">
        <v>13</v>
      </c>
      <c r="J2138" s="116">
        <v>10</v>
      </c>
      <c r="K2138" s="116">
        <v>13</v>
      </c>
      <c r="L2138" s="116">
        <v>13</v>
      </c>
      <c r="M2138" s="147">
        <v>16</v>
      </c>
      <c r="N2138" s="26">
        <f t="shared" si="416"/>
        <v>10</v>
      </c>
      <c r="O2138" s="2">
        <f t="shared" si="417"/>
        <v>7</v>
      </c>
      <c r="P2138" s="24">
        <f t="shared" si="418"/>
        <v>0.41176470588235292</v>
      </c>
    </row>
    <row r="2139" spans="1:16" ht="9.75" customHeight="1">
      <c r="A2139" s="18"/>
      <c r="B2139" s="18" t="s">
        <v>174</v>
      </c>
      <c r="C2139" s="18"/>
      <c r="D2139" s="26"/>
      <c r="E2139" s="2"/>
      <c r="F2139" s="2"/>
      <c r="G2139" s="2"/>
      <c r="H2139" s="2"/>
      <c r="I2139" s="2"/>
      <c r="J2139" s="2"/>
      <c r="K2139" s="2"/>
      <c r="L2139" s="2"/>
      <c r="M2139" s="27"/>
      <c r="N2139" s="26"/>
      <c r="O2139" s="2"/>
      <c r="P2139" s="24"/>
    </row>
    <row r="2140" spans="1:16" ht="9.75" customHeight="1">
      <c r="A2140" s="18"/>
      <c r="B2140" s="18" t="s">
        <v>174</v>
      </c>
      <c r="C2140" s="18"/>
      <c r="D2140" s="26"/>
      <c r="E2140" s="2"/>
      <c r="F2140" s="2"/>
      <c r="G2140" s="2"/>
      <c r="H2140" s="2"/>
      <c r="I2140" s="2"/>
      <c r="J2140" s="2"/>
      <c r="K2140" s="2"/>
      <c r="L2140" s="2"/>
      <c r="M2140" s="27"/>
      <c r="N2140" s="26"/>
      <c r="O2140" s="2"/>
      <c r="P2140" s="24"/>
    </row>
    <row r="2141" spans="1:16" ht="9.75" customHeight="1">
      <c r="A2141" s="18"/>
      <c r="B2141" s="18" t="s">
        <v>104</v>
      </c>
      <c r="C2141" s="18"/>
      <c r="D2141" s="26"/>
      <c r="E2141" s="2"/>
      <c r="F2141" s="2"/>
      <c r="G2141" s="2"/>
      <c r="H2141" s="2"/>
      <c r="I2141" s="2"/>
      <c r="J2141" s="2"/>
      <c r="K2141" s="2"/>
      <c r="L2141" s="2"/>
      <c r="M2141" s="27"/>
      <c r="N2141" s="26"/>
      <c r="O2141" s="2"/>
      <c r="P2141" s="24"/>
    </row>
    <row r="2142" spans="1:16" ht="9.75" customHeight="1">
      <c r="A2142" s="18"/>
      <c r="B2142" s="18" t="s">
        <v>34</v>
      </c>
      <c r="C2142" s="18">
        <v>12</v>
      </c>
      <c r="D2142" s="192" t="s">
        <v>320</v>
      </c>
      <c r="E2142" s="2">
        <f>C2142-5</f>
        <v>7</v>
      </c>
      <c r="F2142" s="2">
        <f>C2142-6</f>
        <v>6</v>
      </c>
      <c r="G2142" s="2">
        <f>C2142-7</f>
        <v>5</v>
      </c>
      <c r="H2142" s="116">
        <v>10</v>
      </c>
      <c r="I2142" s="116">
        <v>9</v>
      </c>
      <c r="J2142" s="116">
        <v>9</v>
      </c>
      <c r="K2142" s="116">
        <v>10</v>
      </c>
      <c r="L2142" s="116">
        <v>12</v>
      </c>
      <c r="M2142" s="147">
        <v>12</v>
      </c>
      <c r="N2142" s="26">
        <f t="shared" ref="N2142:N2143" si="419">MIN(D2142:M2142)</f>
        <v>5</v>
      </c>
      <c r="O2142" s="2">
        <f t="shared" ref="O2142:O2143" si="420">C2142-N2142</f>
        <v>7</v>
      </c>
      <c r="P2142" s="24">
        <f t="shared" ref="P2142:P2143" si="421">O2142/C2142</f>
        <v>0.58333333333333337</v>
      </c>
    </row>
    <row r="2143" spans="1:16" ht="9.75" customHeight="1">
      <c r="A2143" s="18"/>
      <c r="B2143" s="145" t="s">
        <v>268</v>
      </c>
      <c r="C2143" s="145">
        <v>11</v>
      </c>
      <c r="D2143" s="115">
        <v>5</v>
      </c>
      <c r="E2143" s="116">
        <v>5</v>
      </c>
      <c r="F2143" s="116">
        <v>5</v>
      </c>
      <c r="G2143" s="116">
        <v>5</v>
      </c>
      <c r="H2143" s="116">
        <v>5</v>
      </c>
      <c r="I2143" s="2">
        <f>2+1+3</f>
        <v>6</v>
      </c>
      <c r="J2143" s="2">
        <f>2+1+2</f>
        <v>5</v>
      </c>
      <c r="K2143" s="2">
        <f>2+1+1</f>
        <v>4</v>
      </c>
      <c r="L2143" s="2">
        <f>2+2+1</f>
        <v>5</v>
      </c>
      <c r="M2143" s="147">
        <v>5</v>
      </c>
      <c r="N2143" s="26">
        <f t="shared" si="419"/>
        <v>4</v>
      </c>
      <c r="O2143" s="2">
        <f t="shared" si="420"/>
        <v>7</v>
      </c>
      <c r="P2143" s="24">
        <f t="shared" si="421"/>
        <v>0.63636363636363635</v>
      </c>
    </row>
    <row r="2144" spans="1:16" ht="9.75" customHeight="1">
      <c r="A2144" s="18"/>
      <c r="B2144" s="18" t="s">
        <v>36</v>
      </c>
      <c r="C2144" s="18"/>
      <c r="D2144" s="26"/>
      <c r="E2144" s="2"/>
      <c r="F2144" s="2"/>
      <c r="G2144" s="2"/>
      <c r="H2144" s="2"/>
      <c r="I2144" s="2"/>
      <c r="J2144" s="2"/>
      <c r="K2144" s="2"/>
      <c r="L2144" s="2"/>
      <c r="M2144" s="27"/>
      <c r="N2144" s="26"/>
      <c r="O2144" s="2"/>
      <c r="P2144" s="24"/>
    </row>
    <row r="2145" spans="1:16" ht="9.75" customHeight="1">
      <c r="A2145" s="18"/>
      <c r="B2145" s="18" t="s">
        <v>37</v>
      </c>
      <c r="C2145" s="18">
        <v>2</v>
      </c>
      <c r="D2145" s="115">
        <v>1</v>
      </c>
      <c r="E2145" s="116">
        <v>1</v>
      </c>
      <c r="F2145" s="116">
        <v>1</v>
      </c>
      <c r="G2145" s="116">
        <v>1</v>
      </c>
      <c r="H2145" s="116">
        <v>1</v>
      </c>
      <c r="I2145" s="116">
        <v>0</v>
      </c>
      <c r="J2145" s="116">
        <v>1</v>
      </c>
      <c r="K2145" s="116">
        <v>1</v>
      </c>
      <c r="L2145" s="116">
        <v>1</v>
      </c>
      <c r="M2145" s="147">
        <v>1</v>
      </c>
      <c r="N2145" s="26">
        <f t="shared" ref="N2145:N2146" si="422">MIN(D2145:M2145)</f>
        <v>0</v>
      </c>
      <c r="O2145" s="2">
        <f t="shared" ref="O2145:O2146" si="423">C2145-N2145</f>
        <v>2</v>
      </c>
      <c r="P2145" s="24">
        <f t="shared" ref="P2145:P2146" si="424">O2145/C2145</f>
        <v>1</v>
      </c>
    </row>
    <row r="2146" spans="1:16" ht="9.75" customHeight="1">
      <c r="A2146" s="32"/>
      <c r="B2146" s="70" t="s">
        <v>38</v>
      </c>
      <c r="C2146" s="70">
        <f t="shared" ref="C2146:M2146" si="425">SUM(C2129:C2145)</f>
        <v>384</v>
      </c>
      <c r="D2146" s="70">
        <f t="shared" si="425"/>
        <v>285</v>
      </c>
      <c r="E2146" s="71">
        <f t="shared" si="425"/>
        <v>262</v>
      </c>
      <c r="F2146" s="71">
        <f t="shared" si="425"/>
        <v>214</v>
      </c>
      <c r="G2146" s="71">
        <f t="shared" si="425"/>
        <v>244</v>
      </c>
      <c r="H2146" s="71">
        <f t="shared" si="425"/>
        <v>257</v>
      </c>
      <c r="I2146" s="71">
        <f t="shared" si="425"/>
        <v>252</v>
      </c>
      <c r="J2146" s="71">
        <f t="shared" si="425"/>
        <v>244</v>
      </c>
      <c r="K2146" s="71">
        <f t="shared" si="425"/>
        <v>253</v>
      </c>
      <c r="L2146" s="71">
        <f t="shared" si="425"/>
        <v>282</v>
      </c>
      <c r="M2146" s="93">
        <f t="shared" si="425"/>
        <v>311</v>
      </c>
      <c r="N2146" s="71">
        <f t="shared" si="422"/>
        <v>214</v>
      </c>
      <c r="O2146" s="71">
        <f t="shared" si="423"/>
        <v>170</v>
      </c>
      <c r="P2146" s="40">
        <f t="shared" si="424"/>
        <v>0.44270833333333331</v>
      </c>
    </row>
    <row r="2147" spans="1:16" ht="9.75" customHeight="1">
      <c r="A2147" s="66" t="s">
        <v>321</v>
      </c>
      <c r="B2147" s="66" t="s">
        <v>23</v>
      </c>
      <c r="C2147" s="18"/>
      <c r="D2147" s="26"/>
      <c r="E2147" s="2"/>
      <c r="F2147" s="2"/>
      <c r="G2147" s="2"/>
      <c r="H2147" s="2"/>
      <c r="I2147" s="2"/>
      <c r="J2147" s="2"/>
      <c r="K2147" s="2"/>
      <c r="L2147" s="2"/>
      <c r="M2147" s="27"/>
      <c r="N2147" s="41"/>
      <c r="O2147" s="72"/>
      <c r="P2147" s="99"/>
    </row>
    <row r="2148" spans="1:16" ht="9.75" customHeight="1">
      <c r="A2148" s="18"/>
      <c r="B2148" s="18" t="s">
        <v>25</v>
      </c>
      <c r="C2148" s="18"/>
      <c r="D2148" s="26"/>
      <c r="E2148" s="2"/>
      <c r="F2148" s="2"/>
      <c r="G2148" s="2"/>
      <c r="H2148" s="2"/>
      <c r="I2148" s="2"/>
      <c r="J2148" s="2"/>
      <c r="K2148" s="2"/>
      <c r="L2148" s="2"/>
      <c r="M2148" s="27"/>
      <c r="N2148" s="26"/>
      <c r="O2148" s="2"/>
      <c r="P2148" s="24"/>
    </row>
    <row r="2149" spans="1:16" ht="9.75" customHeight="1">
      <c r="A2149" s="18"/>
      <c r="B2149" s="18" t="s">
        <v>30</v>
      </c>
      <c r="C2149" s="18">
        <v>654</v>
      </c>
      <c r="D2149" s="115">
        <v>611</v>
      </c>
      <c r="E2149" s="116">
        <v>602</v>
      </c>
      <c r="F2149" s="116">
        <v>587</v>
      </c>
      <c r="G2149" s="116">
        <v>587</v>
      </c>
      <c r="H2149" s="116">
        <v>578</v>
      </c>
      <c r="I2149" s="2">
        <f>C2149-29</f>
        <v>625</v>
      </c>
      <c r="J2149" s="2">
        <f>C2149-29</f>
        <v>625</v>
      </c>
      <c r="K2149" s="2">
        <f>C2149-30</f>
        <v>624</v>
      </c>
      <c r="L2149" s="2">
        <f>C2149-22</f>
        <v>632</v>
      </c>
      <c r="M2149" s="27">
        <f>C2149-14</f>
        <v>640</v>
      </c>
      <c r="N2149" s="26">
        <f>MIN(D2149:M2149)</f>
        <v>578</v>
      </c>
      <c r="O2149" s="2">
        <f>C2149-N2149</f>
        <v>76</v>
      </c>
      <c r="P2149" s="24">
        <f>O2149/C2149</f>
        <v>0.11620795107033639</v>
      </c>
    </row>
    <row r="2150" spans="1:16" ht="9.75" customHeight="1">
      <c r="A2150" s="18"/>
      <c r="B2150" s="18" t="s">
        <v>99</v>
      </c>
      <c r="C2150" s="18"/>
      <c r="D2150" s="26"/>
      <c r="E2150" s="2"/>
      <c r="F2150" s="2"/>
      <c r="G2150" s="2"/>
      <c r="H2150" s="2"/>
      <c r="I2150" s="2"/>
      <c r="J2150" s="2"/>
      <c r="K2150" s="2"/>
      <c r="L2150" s="2"/>
      <c r="M2150" s="27"/>
      <c r="N2150" s="26"/>
      <c r="O2150" s="2"/>
      <c r="P2150" s="24"/>
    </row>
    <row r="2151" spans="1:16" ht="9.75" customHeight="1">
      <c r="A2151" s="18"/>
      <c r="B2151" s="18" t="s">
        <v>99</v>
      </c>
      <c r="C2151" s="18"/>
      <c r="D2151" s="26"/>
      <c r="E2151" s="2"/>
      <c r="F2151" s="2"/>
      <c r="G2151" s="2"/>
      <c r="H2151" s="2"/>
      <c r="I2151" s="2"/>
      <c r="J2151" s="2"/>
      <c r="K2151" s="2"/>
      <c r="L2151" s="2"/>
      <c r="M2151" s="27"/>
      <c r="N2151" s="26"/>
      <c r="O2151" s="2"/>
      <c r="P2151" s="24"/>
    </row>
    <row r="2152" spans="1:16" ht="9.75" customHeight="1">
      <c r="A2152" s="18"/>
      <c r="B2152" s="18" t="s">
        <v>32</v>
      </c>
      <c r="C2152" s="18"/>
      <c r="D2152" s="26"/>
      <c r="E2152" s="2"/>
      <c r="F2152" s="2"/>
      <c r="G2152" s="2"/>
      <c r="H2152" s="2"/>
      <c r="I2152" s="2"/>
      <c r="J2152" s="2"/>
      <c r="K2152" s="2"/>
      <c r="L2152" s="2"/>
      <c r="M2152" s="27"/>
      <c r="N2152" s="26"/>
      <c r="O2152" s="2"/>
      <c r="P2152" s="24"/>
    </row>
    <row r="2153" spans="1:16" ht="9.75" customHeight="1">
      <c r="A2153" s="18"/>
      <c r="B2153" s="18" t="s">
        <v>104</v>
      </c>
      <c r="C2153" s="18"/>
      <c r="D2153" s="26"/>
      <c r="E2153" s="2"/>
      <c r="F2153" s="2"/>
      <c r="G2153" s="2"/>
      <c r="H2153" s="2"/>
      <c r="I2153" s="2"/>
      <c r="J2153" s="2"/>
      <c r="K2153" s="2"/>
      <c r="L2153" s="2"/>
      <c r="M2153" s="27"/>
      <c r="N2153" s="26"/>
      <c r="O2153" s="2"/>
      <c r="P2153" s="24"/>
    </row>
    <row r="2154" spans="1:16" ht="9.75" customHeight="1">
      <c r="A2154" s="18"/>
      <c r="B2154" s="18" t="s">
        <v>104</v>
      </c>
      <c r="C2154" s="18"/>
      <c r="D2154" s="26"/>
      <c r="E2154" s="2"/>
      <c r="F2154" s="2"/>
      <c r="G2154" s="2"/>
      <c r="H2154" s="2"/>
      <c r="I2154" s="2"/>
      <c r="J2154" s="2"/>
      <c r="K2154" s="2"/>
      <c r="L2154" s="2"/>
      <c r="M2154" s="27"/>
      <c r="N2154" s="26"/>
      <c r="O2154" s="2"/>
      <c r="P2154" s="24"/>
    </row>
    <row r="2155" spans="1:16" ht="9.75" customHeight="1">
      <c r="A2155" s="18"/>
      <c r="B2155" s="18" t="s">
        <v>104</v>
      </c>
      <c r="C2155" s="18"/>
      <c r="D2155" s="26"/>
      <c r="E2155" s="2"/>
      <c r="F2155" s="2"/>
      <c r="G2155" s="2"/>
      <c r="H2155" s="2"/>
      <c r="I2155" s="2"/>
      <c r="J2155" s="2"/>
      <c r="K2155" s="2"/>
      <c r="L2155" s="2"/>
      <c r="M2155" s="27"/>
      <c r="N2155" s="26"/>
      <c r="O2155" s="2"/>
      <c r="P2155" s="24"/>
    </row>
    <row r="2156" spans="1:16" ht="9.75" customHeight="1">
      <c r="A2156" s="18"/>
      <c r="B2156" s="18" t="s">
        <v>104</v>
      </c>
      <c r="C2156" s="18"/>
      <c r="D2156" s="26"/>
      <c r="E2156" s="2"/>
      <c r="F2156" s="2"/>
      <c r="G2156" s="2"/>
      <c r="H2156" s="2"/>
      <c r="I2156" s="2"/>
      <c r="J2156" s="2"/>
      <c r="K2156" s="2"/>
      <c r="L2156" s="2"/>
      <c r="M2156" s="27"/>
      <c r="N2156" s="26"/>
      <c r="O2156" s="2"/>
      <c r="P2156" s="24"/>
    </row>
    <row r="2157" spans="1:16" ht="9.75" customHeight="1">
      <c r="A2157" s="18"/>
      <c r="B2157" s="18" t="s">
        <v>104</v>
      </c>
      <c r="C2157" s="18"/>
      <c r="D2157" s="26"/>
      <c r="E2157" s="2"/>
      <c r="F2157" s="2"/>
      <c r="G2157" s="2"/>
      <c r="H2157" s="2"/>
      <c r="I2157" s="2"/>
      <c r="J2157" s="2"/>
      <c r="K2157" s="2"/>
      <c r="L2157" s="2"/>
      <c r="M2157" s="27"/>
      <c r="N2157" s="26"/>
      <c r="O2157" s="2"/>
      <c r="P2157" s="24"/>
    </row>
    <row r="2158" spans="1:16" ht="9.75" customHeight="1">
      <c r="A2158" s="18"/>
      <c r="B2158" s="18" t="s">
        <v>104</v>
      </c>
      <c r="C2158" s="18"/>
      <c r="D2158" s="26"/>
      <c r="E2158" s="2"/>
      <c r="F2158" s="2"/>
      <c r="G2158" s="2"/>
      <c r="H2158" s="2"/>
      <c r="I2158" s="2"/>
      <c r="J2158" s="2"/>
      <c r="K2158" s="2"/>
      <c r="L2158" s="2"/>
      <c r="M2158" s="27"/>
      <c r="N2158" s="26"/>
      <c r="O2158" s="2"/>
      <c r="P2158" s="24"/>
    </row>
    <row r="2159" spans="1:16" ht="9.75" customHeight="1">
      <c r="A2159" s="18"/>
      <c r="B2159" s="18" t="s">
        <v>34</v>
      </c>
      <c r="C2159" s="18"/>
      <c r="D2159" s="26"/>
      <c r="E2159" s="2"/>
      <c r="F2159" s="2"/>
      <c r="G2159" s="2"/>
      <c r="H2159" s="2"/>
      <c r="I2159" s="2"/>
      <c r="J2159" s="2"/>
      <c r="K2159" s="2"/>
      <c r="L2159" s="2"/>
      <c r="M2159" s="27"/>
      <c r="N2159" s="26"/>
      <c r="O2159" s="2"/>
      <c r="P2159" s="24"/>
    </row>
    <row r="2160" spans="1:16" ht="9.75" customHeight="1">
      <c r="A2160" s="18"/>
      <c r="B2160" s="18" t="s">
        <v>35</v>
      </c>
      <c r="C2160" s="18"/>
      <c r="D2160" s="26"/>
      <c r="E2160" s="2"/>
      <c r="F2160" s="2"/>
      <c r="G2160" s="2"/>
      <c r="H2160" s="2"/>
      <c r="I2160" s="2"/>
      <c r="J2160" s="2"/>
      <c r="K2160" s="2"/>
      <c r="L2160" s="2"/>
      <c r="M2160" s="27"/>
      <c r="N2160" s="26"/>
      <c r="O2160" s="2"/>
      <c r="P2160" s="24"/>
    </row>
    <row r="2161" spans="1:16" ht="9.75" customHeight="1">
      <c r="A2161" s="18"/>
      <c r="B2161" s="18" t="s">
        <v>36</v>
      </c>
      <c r="C2161" s="18"/>
      <c r="D2161" s="26"/>
      <c r="E2161" s="2"/>
      <c r="F2161" s="2"/>
      <c r="G2161" s="2"/>
      <c r="H2161" s="2"/>
      <c r="I2161" s="2"/>
      <c r="J2161" s="2"/>
      <c r="K2161" s="2"/>
      <c r="L2161" s="2"/>
      <c r="M2161" s="27"/>
      <c r="N2161" s="26"/>
      <c r="O2161" s="2"/>
      <c r="P2161" s="24"/>
    </row>
    <row r="2162" spans="1:16" ht="9.75" customHeight="1">
      <c r="A2162" s="18"/>
      <c r="B2162" s="18" t="s">
        <v>37</v>
      </c>
      <c r="C2162" s="18"/>
      <c r="D2162" s="26"/>
      <c r="E2162" s="2"/>
      <c r="F2162" s="2"/>
      <c r="G2162" s="2"/>
      <c r="H2162" s="2"/>
      <c r="I2162" s="2"/>
      <c r="J2162" s="2"/>
      <c r="K2162" s="2"/>
      <c r="L2162" s="2"/>
      <c r="M2162" s="27"/>
      <c r="N2162" s="26"/>
      <c r="O2162" s="2"/>
      <c r="P2162" s="24"/>
    </row>
    <row r="2163" spans="1:16" ht="9.75" customHeight="1">
      <c r="A2163" s="32"/>
      <c r="B2163" s="70" t="s">
        <v>38</v>
      </c>
      <c r="C2163" s="70">
        <f t="shared" ref="C2163:M2163" si="426">SUM(C2147:C2162)</f>
        <v>654</v>
      </c>
      <c r="D2163" s="70">
        <f t="shared" si="426"/>
        <v>611</v>
      </c>
      <c r="E2163" s="71">
        <f t="shared" si="426"/>
        <v>602</v>
      </c>
      <c r="F2163" s="71">
        <f t="shared" si="426"/>
        <v>587</v>
      </c>
      <c r="G2163" s="71">
        <f t="shared" si="426"/>
        <v>587</v>
      </c>
      <c r="H2163" s="71">
        <f t="shared" si="426"/>
        <v>578</v>
      </c>
      <c r="I2163" s="71">
        <f t="shared" si="426"/>
        <v>625</v>
      </c>
      <c r="J2163" s="71">
        <f t="shared" si="426"/>
        <v>625</v>
      </c>
      <c r="K2163" s="71">
        <f t="shared" si="426"/>
        <v>624</v>
      </c>
      <c r="L2163" s="71">
        <f t="shared" si="426"/>
        <v>632</v>
      </c>
      <c r="M2163" s="93">
        <f t="shared" si="426"/>
        <v>640</v>
      </c>
      <c r="N2163" s="71">
        <f>MIN(D2163:M2163)</f>
        <v>578</v>
      </c>
      <c r="O2163" s="71">
        <f>C2163-N2163</f>
        <v>76</v>
      </c>
      <c r="P2163" s="40">
        <f>O2163/C2163</f>
        <v>0.11620795107033639</v>
      </c>
    </row>
    <row r="2164" spans="1:16" ht="9.75" customHeight="1">
      <c r="A2164" s="66" t="s">
        <v>322</v>
      </c>
      <c r="B2164" s="66" t="s">
        <v>23</v>
      </c>
      <c r="C2164" s="18"/>
      <c r="D2164" s="26"/>
      <c r="E2164" s="2"/>
      <c r="F2164" s="2"/>
      <c r="G2164" s="2"/>
      <c r="H2164" s="2"/>
      <c r="I2164" s="2"/>
      <c r="J2164" s="2"/>
      <c r="K2164" s="2"/>
      <c r="L2164" s="2"/>
      <c r="M2164" s="27"/>
      <c r="N2164" s="41"/>
      <c r="O2164" s="72"/>
      <c r="P2164" s="99"/>
    </row>
    <row r="2165" spans="1:16" ht="9.75" customHeight="1">
      <c r="A2165" s="18"/>
      <c r="B2165" s="18" t="s">
        <v>25</v>
      </c>
      <c r="C2165" s="18"/>
      <c r="D2165" s="26"/>
      <c r="E2165" s="2"/>
      <c r="F2165" s="2"/>
      <c r="G2165" s="2"/>
      <c r="H2165" s="2"/>
      <c r="I2165" s="2"/>
      <c r="J2165" s="2"/>
      <c r="K2165" s="2"/>
      <c r="L2165" s="2"/>
      <c r="M2165" s="27"/>
      <c r="N2165" s="26"/>
      <c r="O2165" s="2"/>
      <c r="P2165" s="24"/>
    </row>
    <row r="2166" spans="1:16" ht="9.75" customHeight="1">
      <c r="A2166" s="18"/>
      <c r="B2166" s="18" t="s">
        <v>30</v>
      </c>
      <c r="C2166" s="18">
        <v>184</v>
      </c>
      <c r="D2166" s="161">
        <v>180</v>
      </c>
      <c r="E2166" s="137">
        <v>179</v>
      </c>
      <c r="F2166" s="137">
        <v>171</v>
      </c>
      <c r="G2166" s="137">
        <v>171</v>
      </c>
      <c r="H2166" s="137">
        <v>174</v>
      </c>
      <c r="I2166" s="23">
        <v>179</v>
      </c>
      <c r="J2166" s="2">
        <v>178</v>
      </c>
      <c r="K2166" s="2">
        <v>178</v>
      </c>
      <c r="L2166" s="2">
        <v>180</v>
      </c>
      <c r="M2166" s="27">
        <v>180</v>
      </c>
      <c r="N2166" s="19">
        <f>MIN(D2166:M2166)</f>
        <v>171</v>
      </c>
      <c r="O2166" s="23">
        <f>C2166-N2166</f>
        <v>13</v>
      </c>
      <c r="P2166" s="24">
        <f>O2166/C2166</f>
        <v>7.0652173913043473E-2</v>
      </c>
    </row>
    <row r="2167" spans="1:16" ht="9.75" customHeight="1">
      <c r="A2167" s="18"/>
      <c r="B2167" s="18" t="s">
        <v>99</v>
      </c>
      <c r="C2167" s="18"/>
      <c r="D2167" s="26"/>
      <c r="E2167" s="2"/>
      <c r="F2167" s="2"/>
      <c r="G2167" s="2"/>
      <c r="H2167" s="2"/>
      <c r="I2167" s="2"/>
      <c r="J2167" s="2"/>
      <c r="K2167" s="2"/>
      <c r="L2167" s="2"/>
      <c r="M2167" s="27"/>
      <c r="N2167" s="26"/>
      <c r="O2167" s="2"/>
      <c r="P2167" s="24"/>
    </row>
    <row r="2168" spans="1:16" ht="9.75" customHeight="1">
      <c r="A2168" s="18"/>
      <c r="B2168" s="18" t="s">
        <v>99</v>
      </c>
      <c r="C2168" s="18"/>
      <c r="D2168" s="26"/>
      <c r="E2168" s="2"/>
      <c r="F2168" s="2"/>
      <c r="G2168" s="2"/>
      <c r="H2168" s="2"/>
      <c r="I2168" s="2"/>
      <c r="J2168" s="2"/>
      <c r="K2168" s="2"/>
      <c r="L2168" s="2"/>
      <c r="M2168" s="27"/>
      <c r="N2168" s="26"/>
      <c r="O2168" s="2"/>
      <c r="P2168" s="24"/>
    </row>
    <row r="2169" spans="1:16" ht="9.75" customHeight="1">
      <c r="A2169" s="18"/>
      <c r="B2169" s="18" t="s">
        <v>32</v>
      </c>
      <c r="C2169" s="18"/>
      <c r="D2169" s="26"/>
      <c r="E2169" s="2"/>
      <c r="F2169" s="2"/>
      <c r="G2169" s="2"/>
      <c r="H2169" s="2"/>
      <c r="I2169" s="2"/>
      <c r="J2169" s="2"/>
      <c r="K2169" s="2"/>
      <c r="L2169" s="2"/>
      <c r="M2169" s="27"/>
      <c r="N2169" s="26"/>
      <c r="O2169" s="2"/>
      <c r="P2169" s="24"/>
    </row>
    <row r="2170" spans="1:16" ht="9.75" customHeight="1">
      <c r="A2170" s="18"/>
      <c r="B2170" s="18" t="s">
        <v>104</v>
      </c>
      <c r="C2170" s="18"/>
      <c r="D2170" s="26"/>
      <c r="E2170" s="2"/>
      <c r="F2170" s="2"/>
      <c r="G2170" s="2"/>
      <c r="H2170" s="2"/>
      <c r="I2170" s="2"/>
      <c r="J2170" s="2"/>
      <c r="K2170" s="2"/>
      <c r="L2170" s="2"/>
      <c r="M2170" s="27"/>
      <c r="N2170" s="26"/>
      <c r="O2170" s="2"/>
      <c r="P2170" s="24"/>
    </row>
    <row r="2171" spans="1:16" ht="9.75" customHeight="1">
      <c r="A2171" s="18"/>
      <c r="B2171" s="18" t="s">
        <v>104</v>
      </c>
      <c r="C2171" s="18"/>
      <c r="D2171" s="26"/>
      <c r="E2171" s="2"/>
      <c r="F2171" s="2"/>
      <c r="G2171" s="2"/>
      <c r="H2171" s="2"/>
      <c r="I2171" s="2"/>
      <c r="J2171" s="2"/>
      <c r="K2171" s="2"/>
      <c r="L2171" s="2"/>
      <c r="M2171" s="27"/>
      <c r="N2171" s="26"/>
      <c r="O2171" s="2"/>
      <c r="P2171" s="24"/>
    </row>
    <row r="2172" spans="1:16" ht="9.75" customHeight="1">
      <c r="A2172" s="18"/>
      <c r="B2172" s="18" t="s">
        <v>104</v>
      </c>
      <c r="C2172" s="18"/>
      <c r="D2172" s="26"/>
      <c r="E2172" s="2"/>
      <c r="F2172" s="2"/>
      <c r="G2172" s="2"/>
      <c r="H2172" s="2"/>
      <c r="I2172" s="2"/>
      <c r="J2172" s="2"/>
      <c r="K2172" s="2"/>
      <c r="L2172" s="2"/>
      <c r="M2172" s="27"/>
      <c r="N2172" s="26"/>
      <c r="O2172" s="2"/>
      <c r="P2172" s="24"/>
    </row>
    <row r="2173" spans="1:16" ht="9.75" customHeight="1">
      <c r="A2173" s="18"/>
      <c r="B2173" s="18" t="s">
        <v>104</v>
      </c>
      <c r="C2173" s="18"/>
      <c r="D2173" s="26"/>
      <c r="E2173" s="2"/>
      <c r="F2173" s="2"/>
      <c r="G2173" s="2"/>
      <c r="H2173" s="2"/>
      <c r="I2173" s="2"/>
      <c r="J2173" s="2"/>
      <c r="K2173" s="2"/>
      <c r="L2173" s="2"/>
      <c r="M2173" s="27"/>
      <c r="N2173" s="26"/>
      <c r="O2173" s="2"/>
      <c r="P2173" s="24"/>
    </row>
    <row r="2174" spans="1:16" ht="9.75" customHeight="1">
      <c r="A2174" s="18"/>
      <c r="B2174" s="18" t="s">
        <v>104</v>
      </c>
      <c r="C2174" s="18"/>
      <c r="D2174" s="26"/>
      <c r="E2174" s="2"/>
      <c r="F2174" s="2"/>
      <c r="G2174" s="2"/>
      <c r="H2174" s="2"/>
      <c r="I2174" s="2"/>
      <c r="J2174" s="2"/>
      <c r="K2174" s="2"/>
      <c r="L2174" s="2"/>
      <c r="M2174" s="27"/>
      <c r="N2174" s="26"/>
      <c r="O2174" s="2"/>
      <c r="P2174" s="24"/>
    </row>
    <row r="2175" spans="1:16" ht="9.75" customHeight="1">
      <c r="A2175" s="18"/>
      <c r="B2175" s="18" t="s">
        <v>104</v>
      </c>
      <c r="C2175" s="18"/>
      <c r="D2175" s="26"/>
      <c r="E2175" s="2"/>
      <c r="F2175" s="2"/>
      <c r="G2175" s="2"/>
      <c r="H2175" s="2"/>
      <c r="I2175" s="2"/>
      <c r="J2175" s="2"/>
      <c r="K2175" s="2"/>
      <c r="L2175" s="2"/>
      <c r="M2175" s="27"/>
      <c r="N2175" s="26"/>
      <c r="O2175" s="2"/>
      <c r="P2175" s="24"/>
    </row>
    <row r="2176" spans="1:16" ht="9.75" customHeight="1">
      <c r="A2176" s="18"/>
      <c r="B2176" s="18" t="s">
        <v>34</v>
      </c>
      <c r="C2176" s="18"/>
      <c r="D2176" s="26"/>
      <c r="E2176" s="2"/>
      <c r="F2176" s="2"/>
      <c r="G2176" s="2"/>
      <c r="H2176" s="2"/>
      <c r="I2176" s="2"/>
      <c r="J2176" s="2"/>
      <c r="K2176" s="2"/>
      <c r="L2176" s="2"/>
      <c r="M2176" s="27"/>
      <c r="N2176" s="26"/>
      <c r="O2176" s="2"/>
      <c r="P2176" s="24"/>
    </row>
    <row r="2177" spans="1:16" ht="9.75" customHeight="1">
      <c r="A2177" s="18"/>
      <c r="B2177" s="18" t="s">
        <v>35</v>
      </c>
      <c r="C2177" s="18"/>
      <c r="D2177" s="26"/>
      <c r="E2177" s="2"/>
      <c r="F2177" s="2"/>
      <c r="G2177" s="2"/>
      <c r="H2177" s="2"/>
      <c r="I2177" s="2"/>
      <c r="J2177" s="2"/>
      <c r="K2177" s="2"/>
      <c r="L2177" s="2"/>
      <c r="M2177" s="27"/>
      <c r="N2177" s="26"/>
      <c r="O2177" s="2"/>
      <c r="P2177" s="24"/>
    </row>
    <row r="2178" spans="1:16" ht="9.75" customHeight="1">
      <c r="A2178" s="18"/>
      <c r="B2178" s="18" t="s">
        <v>36</v>
      </c>
      <c r="C2178" s="18"/>
      <c r="D2178" s="26"/>
      <c r="E2178" s="2"/>
      <c r="F2178" s="2"/>
      <c r="G2178" s="2"/>
      <c r="H2178" s="2"/>
      <c r="I2178" s="2"/>
      <c r="J2178" s="2"/>
      <c r="K2178" s="2"/>
      <c r="L2178" s="2"/>
      <c r="M2178" s="27"/>
      <c r="N2178" s="26"/>
      <c r="O2178" s="2"/>
      <c r="P2178" s="24"/>
    </row>
    <row r="2179" spans="1:16" ht="9.75" customHeight="1">
      <c r="A2179" s="18"/>
      <c r="B2179" s="18" t="s">
        <v>37</v>
      </c>
      <c r="C2179" s="18"/>
      <c r="D2179" s="26"/>
      <c r="E2179" s="2"/>
      <c r="F2179" s="2"/>
      <c r="G2179" s="2"/>
      <c r="H2179" s="2"/>
      <c r="I2179" s="2"/>
      <c r="J2179" s="2"/>
      <c r="K2179" s="2"/>
      <c r="L2179" s="2"/>
      <c r="M2179" s="27"/>
      <c r="N2179" s="26"/>
      <c r="O2179" s="2"/>
      <c r="P2179" s="24"/>
    </row>
    <row r="2180" spans="1:16" ht="9.75" customHeight="1">
      <c r="A2180" s="32"/>
      <c r="B2180" s="70" t="s">
        <v>38</v>
      </c>
      <c r="C2180" s="70">
        <f t="shared" ref="C2180:M2180" si="427">SUM(C2164:C2179)</f>
        <v>184</v>
      </c>
      <c r="D2180" s="70">
        <f t="shared" si="427"/>
        <v>180</v>
      </c>
      <c r="E2180" s="71">
        <f t="shared" si="427"/>
        <v>179</v>
      </c>
      <c r="F2180" s="71">
        <f t="shared" si="427"/>
        <v>171</v>
      </c>
      <c r="G2180" s="71">
        <f t="shared" si="427"/>
        <v>171</v>
      </c>
      <c r="H2180" s="71">
        <f t="shared" si="427"/>
        <v>174</v>
      </c>
      <c r="I2180" s="71">
        <f t="shared" si="427"/>
        <v>179</v>
      </c>
      <c r="J2180" s="71">
        <f t="shared" si="427"/>
        <v>178</v>
      </c>
      <c r="K2180" s="71">
        <f t="shared" si="427"/>
        <v>178</v>
      </c>
      <c r="L2180" s="71">
        <f t="shared" si="427"/>
        <v>180</v>
      </c>
      <c r="M2180" s="93">
        <f t="shared" si="427"/>
        <v>180</v>
      </c>
      <c r="N2180" s="71">
        <f>MIN(D2180:M2180)</f>
        <v>171</v>
      </c>
      <c r="O2180" s="71">
        <f>C2180-N2180</f>
        <v>13</v>
      </c>
      <c r="P2180" s="40">
        <f>O2180/C2180</f>
        <v>7.0652173913043473E-2</v>
      </c>
    </row>
    <row r="2181" spans="1:16" ht="9.75" customHeight="1">
      <c r="A2181" s="117" t="s">
        <v>323</v>
      </c>
      <c r="B2181" s="117" t="s">
        <v>23</v>
      </c>
      <c r="C2181" s="118"/>
      <c r="D2181" s="123"/>
      <c r="E2181" s="124"/>
      <c r="F2181" s="124"/>
      <c r="G2181" s="124"/>
      <c r="H2181" s="124"/>
      <c r="I2181" s="124"/>
      <c r="J2181" s="124"/>
      <c r="K2181" s="124"/>
      <c r="L2181" s="124"/>
      <c r="M2181" s="125"/>
      <c r="N2181" s="119"/>
      <c r="O2181" s="120"/>
      <c r="P2181" s="122"/>
    </row>
    <row r="2182" spans="1:16" ht="9.75" customHeight="1">
      <c r="A2182" s="118" t="s">
        <v>241</v>
      </c>
      <c r="B2182" s="118" t="s">
        <v>25</v>
      </c>
      <c r="C2182" s="118"/>
      <c r="D2182" s="123"/>
      <c r="E2182" s="124"/>
      <c r="F2182" s="124"/>
      <c r="G2182" s="124"/>
      <c r="H2182" s="124"/>
      <c r="I2182" s="124"/>
      <c r="J2182" s="124"/>
      <c r="K2182" s="124"/>
      <c r="L2182" s="124"/>
      <c r="M2182" s="125"/>
      <c r="N2182" s="123"/>
      <c r="O2182" s="124"/>
      <c r="P2182" s="126"/>
    </row>
    <row r="2183" spans="1:16" ht="9.75" customHeight="1">
      <c r="A2183" s="118" t="s">
        <v>243</v>
      </c>
      <c r="B2183" s="118" t="s">
        <v>27</v>
      </c>
      <c r="C2183" s="118"/>
      <c r="D2183" s="123"/>
      <c r="E2183" s="124"/>
      <c r="F2183" s="124"/>
      <c r="G2183" s="124"/>
      <c r="H2183" s="124"/>
      <c r="I2183" s="124"/>
      <c r="J2183" s="124"/>
      <c r="K2183" s="124"/>
      <c r="L2183" s="124"/>
      <c r="M2183" s="125"/>
      <c r="N2183" s="123"/>
      <c r="O2183" s="124"/>
      <c r="P2183" s="126"/>
    </row>
    <row r="2184" spans="1:16" ht="9.75" customHeight="1">
      <c r="A2184" s="118"/>
      <c r="B2184" s="118" t="s">
        <v>99</v>
      </c>
      <c r="C2184" s="118"/>
      <c r="D2184" s="123"/>
      <c r="E2184" s="124"/>
      <c r="F2184" s="124"/>
      <c r="G2184" s="124"/>
      <c r="H2184" s="124"/>
      <c r="I2184" s="124"/>
      <c r="J2184" s="124"/>
      <c r="K2184" s="124"/>
      <c r="L2184" s="124"/>
      <c r="M2184" s="125"/>
      <c r="N2184" s="123"/>
      <c r="O2184" s="124"/>
      <c r="P2184" s="126"/>
    </row>
    <row r="2185" spans="1:16" ht="9.75" customHeight="1">
      <c r="A2185" s="118"/>
      <c r="B2185" s="118" t="s">
        <v>99</v>
      </c>
      <c r="C2185" s="118"/>
      <c r="D2185" s="123"/>
      <c r="E2185" s="124"/>
      <c r="F2185" s="124"/>
      <c r="G2185" s="124"/>
      <c r="H2185" s="124"/>
      <c r="I2185" s="124"/>
      <c r="J2185" s="124"/>
      <c r="K2185" s="124"/>
      <c r="L2185" s="124"/>
      <c r="M2185" s="125"/>
      <c r="N2185" s="123"/>
      <c r="O2185" s="124"/>
      <c r="P2185" s="126"/>
    </row>
    <row r="2186" spans="1:16" ht="9.75" customHeight="1">
      <c r="A2186" s="118"/>
      <c r="B2186" s="118" t="s">
        <v>32</v>
      </c>
      <c r="C2186" s="118"/>
      <c r="D2186" s="123"/>
      <c r="E2186" s="124"/>
      <c r="F2186" s="124"/>
      <c r="G2186" s="124"/>
      <c r="H2186" s="124"/>
      <c r="I2186" s="124"/>
      <c r="J2186" s="124"/>
      <c r="K2186" s="124"/>
      <c r="L2186" s="124"/>
      <c r="M2186" s="125"/>
      <c r="N2186" s="123"/>
      <c r="O2186" s="124"/>
      <c r="P2186" s="126"/>
    </row>
    <row r="2187" spans="1:16" ht="9.75" customHeight="1">
      <c r="A2187" s="118"/>
      <c r="B2187" s="118" t="s">
        <v>324</v>
      </c>
      <c r="C2187" s="118"/>
      <c r="D2187" s="123"/>
      <c r="E2187" s="124"/>
      <c r="F2187" s="124"/>
      <c r="G2187" s="124"/>
      <c r="H2187" s="124"/>
      <c r="I2187" s="124"/>
      <c r="J2187" s="124"/>
      <c r="K2187" s="124"/>
      <c r="L2187" s="124"/>
      <c r="M2187" s="125"/>
      <c r="N2187" s="123"/>
      <c r="O2187" s="124"/>
      <c r="P2187" s="126"/>
    </row>
    <row r="2188" spans="1:16" ht="9.75" customHeight="1">
      <c r="A2188" s="118"/>
      <c r="B2188" s="118" t="s">
        <v>104</v>
      </c>
      <c r="C2188" s="118"/>
      <c r="D2188" s="123"/>
      <c r="E2188" s="124"/>
      <c r="F2188" s="124"/>
      <c r="G2188" s="124"/>
      <c r="H2188" s="124"/>
      <c r="I2188" s="124"/>
      <c r="J2188" s="124"/>
      <c r="K2188" s="124"/>
      <c r="L2188" s="124"/>
      <c r="M2188" s="125"/>
      <c r="N2188" s="123"/>
      <c r="O2188" s="124"/>
      <c r="P2188" s="126"/>
    </row>
    <row r="2189" spans="1:16" ht="9.75" customHeight="1">
      <c r="A2189" s="118"/>
      <c r="B2189" s="118" t="s">
        <v>104</v>
      </c>
      <c r="C2189" s="118"/>
      <c r="D2189" s="123"/>
      <c r="E2189" s="124"/>
      <c r="F2189" s="124"/>
      <c r="G2189" s="124"/>
      <c r="H2189" s="124"/>
      <c r="I2189" s="124"/>
      <c r="J2189" s="124"/>
      <c r="K2189" s="124"/>
      <c r="L2189" s="124"/>
      <c r="M2189" s="125"/>
      <c r="N2189" s="123"/>
      <c r="O2189" s="124"/>
      <c r="P2189" s="126"/>
    </row>
    <row r="2190" spans="1:16" ht="9.75" customHeight="1">
      <c r="A2190" s="118"/>
      <c r="B2190" s="118" t="s">
        <v>104</v>
      </c>
      <c r="C2190" s="118"/>
      <c r="D2190" s="123"/>
      <c r="E2190" s="124"/>
      <c r="F2190" s="124"/>
      <c r="G2190" s="124"/>
      <c r="H2190" s="124"/>
      <c r="I2190" s="124"/>
      <c r="J2190" s="124"/>
      <c r="K2190" s="124"/>
      <c r="L2190" s="124"/>
      <c r="M2190" s="125"/>
      <c r="N2190" s="123"/>
      <c r="O2190" s="124"/>
      <c r="P2190" s="126"/>
    </row>
    <row r="2191" spans="1:16" ht="9.75" customHeight="1">
      <c r="A2191" s="118"/>
      <c r="B2191" s="118" t="s">
        <v>104</v>
      </c>
      <c r="C2191" s="118"/>
      <c r="D2191" s="123"/>
      <c r="E2191" s="124"/>
      <c r="F2191" s="124"/>
      <c r="G2191" s="124"/>
      <c r="H2191" s="124"/>
      <c r="I2191" s="124"/>
      <c r="J2191" s="124"/>
      <c r="K2191" s="124"/>
      <c r="L2191" s="124"/>
      <c r="M2191" s="125"/>
      <c r="N2191" s="123"/>
      <c r="O2191" s="124"/>
      <c r="P2191" s="126"/>
    </row>
    <row r="2192" spans="1:16" ht="9.75" customHeight="1">
      <c r="A2192" s="118"/>
      <c r="B2192" s="118" t="s">
        <v>104</v>
      </c>
      <c r="C2192" s="118"/>
      <c r="D2192" s="123"/>
      <c r="E2192" s="124"/>
      <c r="F2192" s="124"/>
      <c r="G2192" s="124"/>
      <c r="H2192" s="124"/>
      <c r="I2192" s="124"/>
      <c r="J2192" s="124"/>
      <c r="K2192" s="124"/>
      <c r="L2192" s="124"/>
      <c r="M2192" s="125"/>
      <c r="N2192" s="123"/>
      <c r="O2192" s="124"/>
      <c r="P2192" s="126"/>
    </row>
    <row r="2193" spans="1:16" ht="9.75" customHeight="1">
      <c r="A2193" s="118"/>
      <c r="B2193" s="118" t="s">
        <v>34</v>
      </c>
      <c r="C2193" s="118"/>
      <c r="D2193" s="123"/>
      <c r="E2193" s="124"/>
      <c r="F2193" s="124"/>
      <c r="G2193" s="124"/>
      <c r="H2193" s="124"/>
      <c r="I2193" s="124"/>
      <c r="J2193" s="124"/>
      <c r="K2193" s="124"/>
      <c r="L2193" s="124"/>
      <c r="M2193" s="125"/>
      <c r="N2193" s="123"/>
      <c r="O2193" s="124"/>
      <c r="P2193" s="126"/>
    </row>
    <row r="2194" spans="1:16" ht="9.75" customHeight="1">
      <c r="A2194" s="118"/>
      <c r="B2194" s="118" t="s">
        <v>35</v>
      </c>
      <c r="C2194" s="118"/>
      <c r="D2194" s="123"/>
      <c r="E2194" s="124"/>
      <c r="F2194" s="124"/>
      <c r="G2194" s="124"/>
      <c r="H2194" s="124"/>
      <c r="I2194" s="124"/>
      <c r="J2194" s="124"/>
      <c r="K2194" s="124"/>
      <c r="L2194" s="124"/>
      <c r="M2194" s="125"/>
      <c r="N2194" s="123"/>
      <c r="O2194" s="124"/>
      <c r="P2194" s="126"/>
    </row>
    <row r="2195" spans="1:16" ht="9.75" customHeight="1">
      <c r="A2195" s="118"/>
      <c r="B2195" s="118" t="s">
        <v>36</v>
      </c>
      <c r="C2195" s="118"/>
      <c r="D2195" s="123"/>
      <c r="E2195" s="124"/>
      <c r="F2195" s="124"/>
      <c r="G2195" s="124"/>
      <c r="H2195" s="124"/>
      <c r="I2195" s="124"/>
      <c r="J2195" s="124"/>
      <c r="K2195" s="124"/>
      <c r="L2195" s="124"/>
      <c r="M2195" s="125"/>
      <c r="N2195" s="123"/>
      <c r="O2195" s="124"/>
      <c r="P2195" s="126"/>
    </row>
    <row r="2196" spans="1:16" ht="9.75" customHeight="1">
      <c r="A2196" s="118"/>
      <c r="B2196" s="118" t="s">
        <v>37</v>
      </c>
      <c r="C2196" s="118"/>
      <c r="D2196" s="123"/>
      <c r="E2196" s="124"/>
      <c r="F2196" s="124"/>
      <c r="G2196" s="124"/>
      <c r="H2196" s="124"/>
      <c r="I2196" s="124"/>
      <c r="J2196" s="124"/>
      <c r="K2196" s="124"/>
      <c r="L2196" s="124"/>
      <c r="M2196" s="125"/>
      <c r="N2196" s="123"/>
      <c r="O2196" s="124"/>
      <c r="P2196" s="126"/>
    </row>
    <row r="2197" spans="1:16" ht="9.75" customHeight="1">
      <c r="A2197" s="32"/>
      <c r="B2197" s="70" t="s">
        <v>38</v>
      </c>
      <c r="C2197" s="70"/>
      <c r="D2197" s="70"/>
      <c r="E2197" s="71"/>
      <c r="F2197" s="71"/>
      <c r="G2197" s="71"/>
      <c r="H2197" s="71"/>
      <c r="I2197" s="71"/>
      <c r="J2197" s="71"/>
      <c r="K2197" s="71"/>
      <c r="L2197" s="71"/>
      <c r="M2197" s="93"/>
      <c r="N2197" s="71"/>
      <c r="O2197" s="71"/>
      <c r="P2197" s="40"/>
    </row>
    <row r="2198" spans="1:16" ht="9.75" customHeight="1">
      <c r="A2198" s="66" t="s">
        <v>325</v>
      </c>
      <c r="B2198" s="66" t="s">
        <v>23</v>
      </c>
      <c r="C2198" s="18"/>
      <c r="D2198" s="26"/>
      <c r="E2198" s="2"/>
      <c r="F2198" s="2"/>
      <c r="G2198" s="2"/>
      <c r="H2198" s="2"/>
      <c r="I2198" s="2"/>
      <c r="J2198" s="2"/>
      <c r="K2198" s="2"/>
      <c r="L2198" s="2"/>
      <c r="M2198" s="27"/>
      <c r="N2198" s="41"/>
      <c r="O2198" s="72"/>
      <c r="P2198" s="99"/>
    </row>
    <row r="2199" spans="1:16" ht="9.75" customHeight="1">
      <c r="A2199" s="18"/>
      <c r="B2199" s="18" t="s">
        <v>25</v>
      </c>
      <c r="C2199" s="18">
        <v>177</v>
      </c>
      <c r="D2199" s="26">
        <f>C2199-65</f>
        <v>112</v>
      </c>
      <c r="E2199" s="2">
        <v>83</v>
      </c>
      <c r="F2199" s="2">
        <v>67</v>
      </c>
      <c r="G2199" s="2">
        <v>59</v>
      </c>
      <c r="H2199" s="2">
        <v>62</v>
      </c>
      <c r="I2199" s="116">
        <v>48</v>
      </c>
      <c r="J2199" s="116">
        <v>50</v>
      </c>
      <c r="K2199" s="116">
        <v>55</v>
      </c>
      <c r="L2199" s="116">
        <v>60</v>
      </c>
      <c r="M2199" s="147">
        <v>69</v>
      </c>
      <c r="N2199" s="26">
        <f>MIN(D2199:M2199)</f>
        <v>48</v>
      </c>
      <c r="O2199" s="2">
        <f>C2199-N2199</f>
        <v>129</v>
      </c>
      <c r="P2199" s="24">
        <f>O2199/C2199</f>
        <v>0.72881355932203384</v>
      </c>
    </row>
    <row r="2200" spans="1:16" ht="9.75" customHeight="1">
      <c r="A2200" s="18"/>
      <c r="B2200" s="18" t="s">
        <v>27</v>
      </c>
      <c r="C2200" s="18"/>
      <c r="D2200" s="26"/>
      <c r="E2200" s="2"/>
      <c r="F2200" s="2"/>
      <c r="G2200" s="2"/>
      <c r="H2200" s="2"/>
      <c r="I2200" s="2"/>
      <c r="J2200" s="2"/>
      <c r="K2200" s="2"/>
      <c r="L2200" s="2"/>
      <c r="M2200" s="27"/>
      <c r="N2200" s="26"/>
      <c r="O2200" s="2"/>
      <c r="P2200" s="24"/>
    </row>
    <row r="2201" spans="1:16" ht="9.75" customHeight="1">
      <c r="A2201" s="18"/>
      <c r="B2201" s="18" t="s">
        <v>99</v>
      </c>
      <c r="C2201" s="18"/>
      <c r="D2201" s="26"/>
      <c r="E2201" s="2"/>
      <c r="F2201" s="2"/>
      <c r="G2201" s="2"/>
      <c r="H2201" s="2"/>
      <c r="I2201" s="2"/>
      <c r="J2201" s="2"/>
      <c r="K2201" s="2"/>
      <c r="L2201" s="2"/>
      <c r="M2201" s="27"/>
      <c r="N2201" s="26"/>
      <c r="O2201" s="2"/>
      <c r="P2201" s="24"/>
    </row>
    <row r="2202" spans="1:16" ht="9.75" customHeight="1">
      <c r="A2202" s="18"/>
      <c r="B2202" s="18" t="s">
        <v>99</v>
      </c>
      <c r="C2202" s="18"/>
      <c r="D2202" s="26"/>
      <c r="E2202" s="2"/>
      <c r="F2202" s="2"/>
      <c r="G2202" s="2"/>
      <c r="H2202" s="2"/>
      <c r="I2202" s="2"/>
      <c r="J2202" s="2"/>
      <c r="K2202" s="2"/>
      <c r="L2202" s="2"/>
      <c r="M2202" s="27"/>
      <c r="N2202" s="26"/>
      <c r="O2202" s="2"/>
      <c r="P2202" s="24"/>
    </row>
    <row r="2203" spans="1:16" ht="9.75" customHeight="1">
      <c r="A2203" s="18"/>
      <c r="B2203" s="18" t="s">
        <v>32</v>
      </c>
      <c r="C2203" s="18"/>
      <c r="D2203" s="26"/>
      <c r="E2203" s="2"/>
      <c r="F2203" s="2"/>
      <c r="G2203" s="2"/>
      <c r="H2203" s="2"/>
      <c r="I2203" s="2"/>
      <c r="J2203" s="2"/>
      <c r="K2203" s="2"/>
      <c r="L2203" s="2"/>
      <c r="M2203" s="27"/>
      <c r="N2203" s="26"/>
      <c r="O2203" s="2"/>
      <c r="P2203" s="24"/>
    </row>
    <row r="2204" spans="1:16" ht="9.75" customHeight="1">
      <c r="A2204" s="18"/>
      <c r="B2204" s="18" t="s">
        <v>104</v>
      </c>
      <c r="C2204" s="18"/>
      <c r="D2204" s="26"/>
      <c r="E2204" s="2"/>
      <c r="F2204" s="2"/>
      <c r="G2204" s="2"/>
      <c r="H2204" s="2"/>
      <c r="I2204" s="2"/>
      <c r="J2204" s="2"/>
      <c r="K2204" s="2"/>
      <c r="L2204" s="2"/>
      <c r="M2204" s="27"/>
      <c r="N2204" s="26"/>
      <c r="O2204" s="2"/>
      <c r="P2204" s="24"/>
    </row>
    <row r="2205" spans="1:16" ht="9.75" customHeight="1">
      <c r="A2205" s="18"/>
      <c r="B2205" s="18" t="s">
        <v>104</v>
      </c>
      <c r="C2205" s="18"/>
      <c r="D2205" s="26"/>
      <c r="E2205" s="2"/>
      <c r="F2205" s="2"/>
      <c r="G2205" s="2"/>
      <c r="H2205" s="2"/>
      <c r="I2205" s="2"/>
      <c r="J2205" s="2"/>
      <c r="K2205" s="2"/>
      <c r="L2205" s="2"/>
      <c r="M2205" s="27"/>
      <c r="N2205" s="26"/>
      <c r="O2205" s="2"/>
      <c r="P2205" s="24"/>
    </row>
    <row r="2206" spans="1:16" ht="9.75" customHeight="1">
      <c r="A2206" s="18"/>
      <c r="B2206" s="18" t="s">
        <v>104</v>
      </c>
      <c r="C2206" s="18"/>
      <c r="D2206" s="26"/>
      <c r="E2206" s="2"/>
      <c r="F2206" s="2"/>
      <c r="G2206" s="2"/>
      <c r="H2206" s="2"/>
      <c r="I2206" s="2"/>
      <c r="J2206" s="2"/>
      <c r="K2206" s="2"/>
      <c r="L2206" s="2"/>
      <c r="M2206" s="27"/>
      <c r="N2206" s="26"/>
      <c r="O2206" s="2"/>
      <c r="P2206" s="24"/>
    </row>
    <row r="2207" spans="1:16" ht="9.75" customHeight="1">
      <c r="A2207" s="18"/>
      <c r="B2207" s="18" t="s">
        <v>104</v>
      </c>
      <c r="C2207" s="18"/>
      <c r="D2207" s="26"/>
      <c r="E2207" s="2"/>
      <c r="F2207" s="2"/>
      <c r="G2207" s="2"/>
      <c r="H2207" s="2"/>
      <c r="I2207" s="2"/>
      <c r="J2207" s="2"/>
      <c r="K2207" s="2"/>
      <c r="L2207" s="2"/>
      <c r="M2207" s="27"/>
      <c r="N2207" s="26"/>
      <c r="O2207" s="2"/>
      <c r="P2207" s="24"/>
    </row>
    <row r="2208" spans="1:16" ht="9.75" customHeight="1">
      <c r="A2208" s="18"/>
      <c r="B2208" s="18" t="s">
        <v>104</v>
      </c>
      <c r="C2208" s="18"/>
      <c r="D2208" s="26"/>
      <c r="E2208" s="2"/>
      <c r="F2208" s="2"/>
      <c r="G2208" s="2"/>
      <c r="H2208" s="2"/>
      <c r="I2208" s="2"/>
      <c r="J2208" s="2"/>
      <c r="K2208" s="2"/>
      <c r="L2208" s="2"/>
      <c r="M2208" s="27"/>
      <c r="N2208" s="26"/>
      <c r="O2208" s="2"/>
      <c r="P2208" s="24"/>
    </row>
    <row r="2209" spans="1:16" ht="9.75" customHeight="1">
      <c r="A2209" s="18"/>
      <c r="B2209" s="18" t="s">
        <v>104</v>
      </c>
      <c r="C2209" s="18"/>
      <c r="D2209" s="26"/>
      <c r="E2209" s="2"/>
      <c r="F2209" s="2"/>
      <c r="G2209" s="2"/>
      <c r="H2209" s="2"/>
      <c r="I2209" s="2"/>
      <c r="J2209" s="2"/>
      <c r="K2209" s="2"/>
      <c r="L2209" s="2"/>
      <c r="M2209" s="27"/>
      <c r="N2209" s="26"/>
      <c r="O2209" s="2"/>
      <c r="P2209" s="24"/>
    </row>
    <row r="2210" spans="1:16" ht="9.75" customHeight="1">
      <c r="A2210" s="18"/>
      <c r="B2210" s="18" t="s">
        <v>34</v>
      </c>
      <c r="C2210" s="18"/>
      <c r="D2210" s="26"/>
      <c r="E2210" s="2"/>
      <c r="F2210" s="2"/>
      <c r="G2210" s="2"/>
      <c r="H2210" s="2"/>
      <c r="I2210" s="2"/>
      <c r="J2210" s="2"/>
      <c r="K2210" s="2"/>
      <c r="L2210" s="2"/>
      <c r="M2210" s="27"/>
      <c r="N2210" s="26"/>
      <c r="O2210" s="2"/>
      <c r="P2210" s="24"/>
    </row>
    <row r="2211" spans="1:16" ht="9.75" customHeight="1">
      <c r="A2211" s="18"/>
      <c r="B2211" s="18" t="s">
        <v>35</v>
      </c>
      <c r="C2211" s="18"/>
      <c r="D2211" s="26"/>
      <c r="E2211" s="2"/>
      <c r="F2211" s="2"/>
      <c r="G2211" s="2"/>
      <c r="H2211" s="2"/>
      <c r="I2211" s="2"/>
      <c r="J2211" s="2"/>
      <c r="K2211" s="2"/>
      <c r="L2211" s="2"/>
      <c r="M2211" s="27"/>
      <c r="N2211" s="26"/>
      <c r="O2211" s="2"/>
      <c r="P2211" s="24"/>
    </row>
    <row r="2212" spans="1:16" ht="9.75" customHeight="1">
      <c r="A2212" s="18"/>
      <c r="B2212" s="18" t="s">
        <v>36</v>
      </c>
      <c r="C2212" s="18"/>
      <c r="D2212" s="26"/>
      <c r="E2212" s="2"/>
      <c r="F2212" s="2"/>
      <c r="G2212" s="2"/>
      <c r="H2212" s="2"/>
      <c r="I2212" s="2"/>
      <c r="J2212" s="2"/>
      <c r="K2212" s="2"/>
      <c r="L2212" s="2"/>
      <c r="M2212" s="27"/>
      <c r="N2212" s="26"/>
      <c r="O2212" s="2"/>
      <c r="P2212" s="24"/>
    </row>
    <row r="2213" spans="1:16" ht="9.75" customHeight="1">
      <c r="A2213" s="18"/>
      <c r="B2213" s="18" t="s">
        <v>37</v>
      </c>
      <c r="C2213" s="18"/>
      <c r="D2213" s="26"/>
      <c r="E2213" s="2"/>
      <c r="F2213" s="2"/>
      <c r="G2213" s="2"/>
      <c r="H2213" s="2"/>
      <c r="I2213" s="2"/>
      <c r="J2213" s="2"/>
      <c r="K2213" s="2"/>
      <c r="L2213" s="2"/>
      <c r="M2213" s="27"/>
      <c r="N2213" s="26"/>
      <c r="O2213" s="2"/>
      <c r="P2213" s="24"/>
    </row>
    <row r="2214" spans="1:16" ht="9.75" customHeight="1">
      <c r="A2214" s="32"/>
      <c r="B2214" s="70" t="s">
        <v>38</v>
      </c>
      <c r="C2214" s="70">
        <f t="shared" ref="C2214:M2214" si="428">SUM(C2198:C2213)</f>
        <v>177</v>
      </c>
      <c r="D2214" s="70">
        <f t="shared" si="428"/>
        <v>112</v>
      </c>
      <c r="E2214" s="71">
        <f t="shared" si="428"/>
        <v>83</v>
      </c>
      <c r="F2214" s="71">
        <f t="shared" si="428"/>
        <v>67</v>
      </c>
      <c r="G2214" s="71">
        <f t="shared" si="428"/>
        <v>59</v>
      </c>
      <c r="H2214" s="71">
        <f t="shared" si="428"/>
        <v>62</v>
      </c>
      <c r="I2214" s="71">
        <f t="shared" si="428"/>
        <v>48</v>
      </c>
      <c r="J2214" s="71">
        <f t="shared" si="428"/>
        <v>50</v>
      </c>
      <c r="K2214" s="71">
        <f t="shared" si="428"/>
        <v>55</v>
      </c>
      <c r="L2214" s="71">
        <f t="shared" si="428"/>
        <v>60</v>
      </c>
      <c r="M2214" s="93">
        <f t="shared" si="428"/>
        <v>69</v>
      </c>
      <c r="N2214" s="71">
        <f t="shared" ref="N2214:N2215" si="429">MIN(D2214:M2214)</f>
        <v>48</v>
      </c>
      <c r="O2214" s="71">
        <f t="shared" ref="O2214:O2215" si="430">C2214-N2214</f>
        <v>129</v>
      </c>
      <c r="P2214" s="40">
        <f t="shared" ref="P2214:P2215" si="431">O2214/C2214</f>
        <v>0.72881355932203384</v>
      </c>
    </row>
    <row r="2215" spans="1:16" ht="9.75" customHeight="1">
      <c r="A2215" s="66" t="s">
        <v>326</v>
      </c>
      <c r="B2215" s="66" t="s">
        <v>23</v>
      </c>
      <c r="C2215" s="18">
        <v>194</v>
      </c>
      <c r="D2215" s="26">
        <v>38</v>
      </c>
      <c r="E2215" s="2">
        <v>14</v>
      </c>
      <c r="F2215" s="2">
        <v>14</v>
      </c>
      <c r="G2215" s="2">
        <v>13</v>
      </c>
      <c r="H2215" s="2">
        <v>10</v>
      </c>
      <c r="I2215" s="116">
        <v>8</v>
      </c>
      <c r="J2215" s="116">
        <v>9</v>
      </c>
      <c r="K2215" s="116">
        <v>20</v>
      </c>
      <c r="L2215" s="2">
        <f>21+15</f>
        <v>36</v>
      </c>
      <c r="M2215" s="27">
        <f>16+27</f>
        <v>43</v>
      </c>
      <c r="N2215" s="26">
        <f t="shared" si="429"/>
        <v>8</v>
      </c>
      <c r="O2215" s="2">
        <f t="shared" si="430"/>
        <v>186</v>
      </c>
      <c r="P2215" s="24">
        <f t="shared" si="431"/>
        <v>0.95876288659793818</v>
      </c>
    </row>
    <row r="2216" spans="1:16" ht="9.75" customHeight="1">
      <c r="A2216" s="18"/>
      <c r="B2216" s="18" t="s">
        <v>25</v>
      </c>
      <c r="C2216" s="18"/>
      <c r="D2216" s="26"/>
      <c r="E2216" s="2"/>
      <c r="F2216" s="2"/>
      <c r="G2216" s="2"/>
      <c r="H2216" s="2"/>
      <c r="I2216" s="2"/>
      <c r="J2216" s="2"/>
      <c r="K2216" s="2"/>
      <c r="L2216" s="2"/>
      <c r="M2216" s="27"/>
      <c r="N2216" s="26"/>
      <c r="O2216" s="2"/>
      <c r="P2216" s="24"/>
    </row>
    <row r="2217" spans="1:16" ht="9.75" customHeight="1">
      <c r="A2217" s="18"/>
      <c r="B2217" s="18" t="s">
        <v>27</v>
      </c>
      <c r="C2217" s="18"/>
      <c r="D2217" s="26"/>
      <c r="E2217" s="2"/>
      <c r="F2217" s="2"/>
      <c r="G2217" s="2"/>
      <c r="H2217" s="2"/>
      <c r="I2217" s="2"/>
      <c r="J2217" s="2"/>
      <c r="K2217" s="2"/>
      <c r="L2217" s="2"/>
      <c r="M2217" s="27"/>
      <c r="N2217" s="26"/>
      <c r="O2217" s="2"/>
      <c r="P2217" s="24"/>
    </row>
    <row r="2218" spans="1:16" ht="9.75" customHeight="1">
      <c r="A2218" s="18"/>
      <c r="B2218" s="18" t="s">
        <v>99</v>
      </c>
      <c r="C2218" s="18"/>
      <c r="D2218" s="26"/>
      <c r="E2218" s="2"/>
      <c r="F2218" s="2"/>
      <c r="G2218" s="2"/>
      <c r="H2218" s="2"/>
      <c r="I2218" s="2"/>
      <c r="J2218" s="2"/>
      <c r="K2218" s="2"/>
      <c r="L2218" s="2"/>
      <c r="M2218" s="27"/>
      <c r="N2218" s="26"/>
      <c r="O2218" s="2"/>
      <c r="P2218" s="24"/>
    </row>
    <row r="2219" spans="1:16" ht="9.75" customHeight="1">
      <c r="A2219" s="18"/>
      <c r="B2219" s="18" t="s">
        <v>99</v>
      </c>
      <c r="C2219" s="18"/>
      <c r="D2219" s="26"/>
      <c r="E2219" s="2"/>
      <c r="F2219" s="2"/>
      <c r="G2219" s="2"/>
      <c r="H2219" s="2"/>
      <c r="I2219" s="2"/>
      <c r="J2219" s="2"/>
      <c r="K2219" s="2"/>
      <c r="L2219" s="2"/>
      <c r="M2219" s="27"/>
      <c r="N2219" s="26"/>
      <c r="O2219" s="2"/>
      <c r="P2219" s="24"/>
    </row>
    <row r="2220" spans="1:16" ht="9.75" customHeight="1">
      <c r="A2220" s="18"/>
      <c r="B2220" s="18" t="s">
        <v>32</v>
      </c>
      <c r="C2220" s="18">
        <v>40</v>
      </c>
      <c r="D2220" s="26">
        <f>C2220-12</f>
        <v>28</v>
      </c>
      <c r="E2220" s="2">
        <f>C2220-13</f>
        <v>27</v>
      </c>
      <c r="F2220" s="2">
        <f>C2220-15</f>
        <v>25</v>
      </c>
      <c r="G2220" s="2">
        <f>C2220-16</f>
        <v>24</v>
      </c>
      <c r="H2220" s="2">
        <f>C2220-17</f>
        <v>23</v>
      </c>
      <c r="I2220" s="2">
        <f>C2220-15</f>
        <v>25</v>
      </c>
      <c r="J2220" s="2">
        <f>C2220-17</f>
        <v>23</v>
      </c>
      <c r="K2220" s="2">
        <f>C2220-16</f>
        <v>24</v>
      </c>
      <c r="L2220" s="2">
        <f>C2220-15</f>
        <v>25</v>
      </c>
      <c r="M2220" s="147">
        <v>25</v>
      </c>
      <c r="N2220" s="26">
        <f t="shared" ref="N2220:N2221" si="432">MIN(D2220:M2220)</f>
        <v>23</v>
      </c>
      <c r="O2220" s="2">
        <f t="shared" ref="O2220:O2221" si="433">C2220-N2220</f>
        <v>17</v>
      </c>
      <c r="P2220" s="24">
        <f t="shared" ref="P2220:P2221" si="434">O2220/C2220</f>
        <v>0.42499999999999999</v>
      </c>
    </row>
    <row r="2221" spans="1:16" ht="9.75" customHeight="1">
      <c r="A2221" s="18"/>
      <c r="B2221" s="18" t="s">
        <v>102</v>
      </c>
      <c r="C2221" s="18">
        <v>3</v>
      </c>
      <c r="D2221" s="26">
        <v>1</v>
      </c>
      <c r="E2221" s="2">
        <v>1</v>
      </c>
      <c r="F2221" s="2">
        <v>1</v>
      </c>
      <c r="G2221" s="2">
        <v>1</v>
      </c>
      <c r="H2221" s="2">
        <v>1</v>
      </c>
      <c r="I2221" s="2">
        <v>2</v>
      </c>
      <c r="J2221" s="2">
        <v>2</v>
      </c>
      <c r="K2221" s="2">
        <v>3</v>
      </c>
      <c r="L2221" s="2">
        <v>2</v>
      </c>
      <c r="M2221" s="27">
        <v>2</v>
      </c>
      <c r="N2221" s="26">
        <f t="shared" si="432"/>
        <v>1</v>
      </c>
      <c r="O2221" s="2">
        <f t="shared" si="433"/>
        <v>2</v>
      </c>
      <c r="P2221" s="24">
        <f t="shared" si="434"/>
        <v>0.66666666666666663</v>
      </c>
    </row>
    <row r="2222" spans="1:16" ht="9.75" customHeight="1">
      <c r="A2222" s="18"/>
      <c r="B2222" s="18" t="s">
        <v>104</v>
      </c>
      <c r="C2222" s="18"/>
      <c r="D2222" s="26"/>
      <c r="E2222" s="2"/>
      <c r="F2222" s="2"/>
      <c r="G2222" s="2"/>
      <c r="H2222" s="2"/>
      <c r="I2222" s="2"/>
      <c r="J2222" s="2"/>
      <c r="K2222" s="2"/>
      <c r="L2222" s="2"/>
      <c r="M2222" s="27"/>
      <c r="N2222" s="26"/>
      <c r="O2222" s="2"/>
      <c r="P2222" s="24"/>
    </row>
    <row r="2223" spans="1:16" ht="9.75" customHeight="1">
      <c r="A2223" s="18"/>
      <c r="B2223" s="18" t="s">
        <v>104</v>
      </c>
      <c r="C2223" s="18"/>
      <c r="D2223" s="26"/>
      <c r="E2223" s="2"/>
      <c r="F2223" s="2"/>
      <c r="G2223" s="2"/>
      <c r="H2223" s="2"/>
      <c r="I2223" s="2"/>
      <c r="J2223" s="2"/>
      <c r="K2223" s="2"/>
      <c r="L2223" s="2"/>
      <c r="M2223" s="27"/>
      <c r="N2223" s="26"/>
      <c r="O2223" s="2"/>
      <c r="P2223" s="24"/>
    </row>
    <row r="2224" spans="1:16" ht="9.75" customHeight="1">
      <c r="A2224" s="18"/>
      <c r="B2224" s="18" t="s">
        <v>104</v>
      </c>
      <c r="C2224" s="18"/>
      <c r="D2224" s="26"/>
      <c r="E2224" s="2"/>
      <c r="F2224" s="2"/>
      <c r="G2224" s="2"/>
      <c r="H2224" s="2"/>
      <c r="I2224" s="2"/>
      <c r="J2224" s="2"/>
      <c r="K2224" s="2"/>
      <c r="L2224" s="2"/>
      <c r="M2224" s="27"/>
      <c r="N2224" s="26"/>
      <c r="O2224" s="2"/>
      <c r="P2224" s="24"/>
    </row>
    <row r="2225" spans="1:16" ht="9.75" customHeight="1">
      <c r="A2225" s="18"/>
      <c r="B2225" s="18" t="s">
        <v>104</v>
      </c>
      <c r="C2225" s="18"/>
      <c r="D2225" s="26"/>
      <c r="E2225" s="2"/>
      <c r="F2225" s="2"/>
      <c r="G2225" s="2"/>
      <c r="H2225" s="2"/>
      <c r="I2225" s="2"/>
      <c r="J2225" s="2"/>
      <c r="K2225" s="2"/>
      <c r="L2225" s="2"/>
      <c r="M2225" s="27"/>
      <c r="N2225" s="26"/>
      <c r="O2225" s="2"/>
      <c r="P2225" s="24"/>
    </row>
    <row r="2226" spans="1:16" ht="9.75" customHeight="1">
      <c r="A2226" s="18"/>
      <c r="B2226" s="18" t="s">
        <v>104</v>
      </c>
      <c r="C2226" s="18"/>
      <c r="D2226" s="26"/>
      <c r="E2226" s="2"/>
      <c r="F2226" s="2"/>
      <c r="G2226" s="2"/>
      <c r="H2226" s="2"/>
      <c r="I2226" s="2"/>
      <c r="J2226" s="2"/>
      <c r="K2226" s="2"/>
      <c r="L2226" s="2"/>
      <c r="M2226" s="27"/>
      <c r="N2226" s="26"/>
      <c r="O2226" s="2"/>
      <c r="P2226" s="24"/>
    </row>
    <row r="2227" spans="1:16" ht="9.75" customHeight="1">
      <c r="A2227" s="18"/>
      <c r="B2227" s="18" t="s">
        <v>34</v>
      </c>
      <c r="C2227" s="18">
        <v>12</v>
      </c>
      <c r="D2227" s="26">
        <v>12</v>
      </c>
      <c r="E2227" s="2">
        <v>12</v>
      </c>
      <c r="F2227" s="2">
        <v>11</v>
      </c>
      <c r="G2227" s="2">
        <v>10</v>
      </c>
      <c r="H2227" s="2">
        <v>11</v>
      </c>
      <c r="I2227" s="116">
        <v>11</v>
      </c>
      <c r="J2227" s="116">
        <v>11</v>
      </c>
      <c r="K2227" s="116">
        <v>11</v>
      </c>
      <c r="L2227" s="116">
        <v>11</v>
      </c>
      <c r="M2227" s="147">
        <v>11</v>
      </c>
      <c r="N2227" s="26">
        <f>MIN(D2227:M2227)</f>
        <v>10</v>
      </c>
      <c r="O2227" s="2">
        <f>C2227-N2227</f>
        <v>2</v>
      </c>
      <c r="P2227" s="24">
        <f>O2227/C2227</f>
        <v>0.16666666666666666</v>
      </c>
    </row>
    <row r="2228" spans="1:16" ht="9.75" customHeight="1">
      <c r="A2228" s="18"/>
      <c r="B2228" s="18" t="s">
        <v>35</v>
      </c>
      <c r="C2228" s="18"/>
      <c r="D2228" s="26"/>
      <c r="E2228" s="2"/>
      <c r="F2228" s="2"/>
      <c r="G2228" s="2"/>
      <c r="H2228" s="2"/>
      <c r="I2228" s="2"/>
      <c r="J2228" s="2"/>
      <c r="K2228" s="2"/>
      <c r="L2228" s="2"/>
      <c r="M2228" s="27"/>
      <c r="N2228" s="26"/>
      <c r="O2228" s="2"/>
      <c r="P2228" s="24"/>
    </row>
    <row r="2229" spans="1:16" ht="9.75" customHeight="1">
      <c r="A2229" s="18"/>
      <c r="B2229" s="18" t="s">
        <v>36</v>
      </c>
      <c r="C2229" s="18"/>
      <c r="D2229" s="26"/>
      <c r="E2229" s="2"/>
      <c r="F2229" s="2"/>
      <c r="G2229" s="2"/>
      <c r="H2229" s="2"/>
      <c r="I2229" s="2"/>
      <c r="J2229" s="2"/>
      <c r="K2229" s="2"/>
      <c r="L2229" s="2"/>
      <c r="M2229" s="27"/>
      <c r="N2229" s="26"/>
      <c r="O2229" s="2"/>
      <c r="P2229" s="24"/>
    </row>
    <row r="2230" spans="1:16" ht="9.75" customHeight="1">
      <c r="A2230" s="18"/>
      <c r="B2230" s="18" t="s">
        <v>37</v>
      </c>
      <c r="C2230" s="18"/>
      <c r="D2230" s="26"/>
      <c r="E2230" s="2"/>
      <c r="F2230" s="2"/>
      <c r="G2230" s="2"/>
      <c r="H2230" s="2"/>
      <c r="I2230" s="2"/>
      <c r="J2230" s="2"/>
      <c r="K2230" s="2"/>
      <c r="L2230" s="2"/>
      <c r="M2230" s="27"/>
      <c r="N2230" s="26"/>
      <c r="O2230" s="2"/>
      <c r="P2230" s="24"/>
    </row>
    <row r="2231" spans="1:16" ht="9.75" customHeight="1">
      <c r="A2231" s="32"/>
      <c r="B2231" s="70" t="s">
        <v>38</v>
      </c>
      <c r="C2231" s="70">
        <f t="shared" ref="C2231:M2231" si="435">SUM(C2215:C2230)</f>
        <v>249</v>
      </c>
      <c r="D2231" s="70">
        <f t="shared" si="435"/>
        <v>79</v>
      </c>
      <c r="E2231" s="71">
        <f t="shared" si="435"/>
        <v>54</v>
      </c>
      <c r="F2231" s="71">
        <f t="shared" si="435"/>
        <v>51</v>
      </c>
      <c r="G2231" s="71">
        <f t="shared" si="435"/>
        <v>48</v>
      </c>
      <c r="H2231" s="71">
        <f t="shared" si="435"/>
        <v>45</v>
      </c>
      <c r="I2231" s="71">
        <f t="shared" si="435"/>
        <v>46</v>
      </c>
      <c r="J2231" s="71">
        <f t="shared" si="435"/>
        <v>45</v>
      </c>
      <c r="K2231" s="71">
        <f t="shared" si="435"/>
        <v>58</v>
      </c>
      <c r="L2231" s="71">
        <f t="shared" si="435"/>
        <v>74</v>
      </c>
      <c r="M2231" s="93">
        <f t="shared" si="435"/>
        <v>81</v>
      </c>
      <c r="N2231" s="71">
        <f>MIN(D2231:M2231)</f>
        <v>45</v>
      </c>
      <c r="O2231" s="71">
        <f>C2231-N2231</f>
        <v>204</v>
      </c>
      <c r="P2231" s="40">
        <f>O2231/C2231</f>
        <v>0.81927710843373491</v>
      </c>
    </row>
    <row r="2232" spans="1:16" ht="9.75" customHeight="1">
      <c r="A2232" s="66" t="s">
        <v>327</v>
      </c>
      <c r="B2232" s="66" t="s">
        <v>23</v>
      </c>
      <c r="C2232" s="18"/>
      <c r="D2232" s="26"/>
      <c r="E2232" s="2"/>
      <c r="F2232" s="2"/>
      <c r="G2232" s="2"/>
      <c r="H2232" s="2"/>
      <c r="I2232" s="2"/>
      <c r="J2232" s="2"/>
      <c r="K2232" s="2"/>
      <c r="L2232" s="2"/>
      <c r="M2232" s="27"/>
      <c r="N2232" s="26"/>
      <c r="O2232" s="2"/>
      <c r="P2232" s="24"/>
    </row>
    <row r="2233" spans="1:16" ht="9.75" customHeight="1">
      <c r="A2233" s="18"/>
      <c r="B2233" s="18" t="s">
        <v>25</v>
      </c>
      <c r="C2233" s="18">
        <v>242</v>
      </c>
      <c r="D2233" s="26">
        <v>0</v>
      </c>
      <c r="E2233" s="2">
        <v>0</v>
      </c>
      <c r="F2233" s="2">
        <v>0</v>
      </c>
      <c r="G2233" s="2">
        <v>0</v>
      </c>
      <c r="H2233" s="2">
        <v>0</v>
      </c>
      <c r="I2233" s="116">
        <v>0</v>
      </c>
      <c r="J2233" s="116">
        <v>0</v>
      </c>
      <c r="K2233" s="116">
        <v>0</v>
      </c>
      <c r="L2233" s="116">
        <v>0</v>
      </c>
      <c r="M2233" s="147">
        <v>0</v>
      </c>
      <c r="N2233" s="26">
        <f>MIN(D2233:M2233)</f>
        <v>0</v>
      </c>
      <c r="O2233" s="2">
        <f>C2233-N2233</f>
        <v>242</v>
      </c>
      <c r="P2233" s="24">
        <f>O2233/C2233</f>
        <v>1</v>
      </c>
    </row>
    <row r="2234" spans="1:16" ht="9.75" customHeight="1">
      <c r="A2234" s="18"/>
      <c r="B2234" s="18" t="s">
        <v>27</v>
      </c>
      <c r="C2234" s="18"/>
      <c r="D2234" s="26"/>
      <c r="E2234" s="2"/>
      <c r="F2234" s="2"/>
      <c r="G2234" s="2"/>
      <c r="H2234" s="2"/>
      <c r="I2234" s="2"/>
      <c r="J2234" s="2"/>
      <c r="K2234" s="2"/>
      <c r="L2234" s="2"/>
      <c r="M2234" s="27"/>
      <c r="N2234" s="26"/>
      <c r="O2234" s="2"/>
      <c r="P2234" s="24"/>
    </row>
    <row r="2235" spans="1:16" ht="9.75" customHeight="1">
      <c r="A2235" s="18"/>
      <c r="B2235" s="18" t="s">
        <v>99</v>
      </c>
      <c r="C2235" s="18"/>
      <c r="D2235" s="26"/>
      <c r="E2235" s="2"/>
      <c r="F2235" s="2"/>
      <c r="G2235" s="2"/>
      <c r="H2235" s="2"/>
      <c r="I2235" s="2"/>
      <c r="J2235" s="2"/>
      <c r="K2235" s="2"/>
      <c r="L2235" s="2"/>
      <c r="M2235" s="27"/>
      <c r="N2235" s="26"/>
      <c r="O2235" s="2"/>
      <c r="P2235" s="24"/>
    </row>
    <row r="2236" spans="1:16" ht="9.75" customHeight="1">
      <c r="A2236" s="18"/>
      <c r="B2236" s="18" t="s">
        <v>99</v>
      </c>
      <c r="C2236" s="18"/>
      <c r="D2236" s="26"/>
      <c r="E2236" s="2"/>
      <c r="F2236" s="2"/>
      <c r="G2236" s="2"/>
      <c r="H2236" s="2"/>
      <c r="I2236" s="2"/>
      <c r="J2236" s="2"/>
      <c r="K2236" s="2"/>
      <c r="L2236" s="2"/>
      <c r="M2236" s="27"/>
      <c r="N2236" s="26"/>
      <c r="O2236" s="2"/>
      <c r="P2236" s="24"/>
    </row>
    <row r="2237" spans="1:16" ht="9.75" customHeight="1">
      <c r="A2237" s="18"/>
      <c r="B2237" s="18" t="s">
        <v>32</v>
      </c>
      <c r="C2237" s="18"/>
      <c r="D2237" s="26"/>
      <c r="E2237" s="2"/>
      <c r="F2237" s="2"/>
      <c r="G2237" s="2"/>
      <c r="H2237" s="2"/>
      <c r="I2237" s="2"/>
      <c r="J2237" s="2"/>
      <c r="K2237" s="2"/>
      <c r="L2237" s="2"/>
      <c r="M2237" s="27"/>
      <c r="N2237" s="26"/>
      <c r="O2237" s="2"/>
      <c r="P2237" s="24"/>
    </row>
    <row r="2238" spans="1:16" ht="9.75" customHeight="1">
      <c r="A2238" s="18"/>
      <c r="B2238" s="18" t="s">
        <v>174</v>
      </c>
      <c r="C2238" s="18"/>
      <c r="D2238" s="26"/>
      <c r="E2238" s="2"/>
      <c r="F2238" s="2"/>
      <c r="G2238" s="2"/>
      <c r="H2238" s="2"/>
      <c r="I2238" s="2"/>
      <c r="J2238" s="2"/>
      <c r="K2238" s="2"/>
      <c r="L2238" s="2"/>
      <c r="M2238" s="27"/>
      <c r="N2238" s="26"/>
      <c r="O2238" s="2"/>
      <c r="P2238" s="24"/>
    </row>
    <row r="2239" spans="1:16" ht="9.75" customHeight="1">
      <c r="A2239" s="18"/>
      <c r="B2239" s="18" t="s">
        <v>104</v>
      </c>
      <c r="C2239" s="18"/>
      <c r="D2239" s="26"/>
      <c r="E2239" s="2"/>
      <c r="F2239" s="2"/>
      <c r="G2239" s="2"/>
      <c r="H2239" s="2"/>
      <c r="I2239" s="2"/>
      <c r="J2239" s="2"/>
      <c r="K2239" s="2"/>
      <c r="L2239" s="2"/>
      <c r="M2239" s="27"/>
      <c r="N2239" s="26"/>
      <c r="O2239" s="2"/>
      <c r="P2239" s="24"/>
    </row>
    <row r="2240" spans="1:16" ht="9.75" customHeight="1">
      <c r="A2240" s="18"/>
      <c r="B2240" s="18" t="s">
        <v>104</v>
      </c>
      <c r="C2240" s="18"/>
      <c r="D2240" s="26"/>
      <c r="E2240" s="2"/>
      <c r="F2240" s="2"/>
      <c r="G2240" s="2"/>
      <c r="H2240" s="2"/>
      <c r="I2240" s="2"/>
      <c r="J2240" s="2"/>
      <c r="K2240" s="2"/>
      <c r="L2240" s="2"/>
      <c r="M2240" s="27"/>
      <c r="N2240" s="26"/>
      <c r="O2240" s="2"/>
      <c r="P2240" s="24"/>
    </row>
    <row r="2241" spans="1:16" ht="9.75" customHeight="1">
      <c r="A2241" s="18"/>
      <c r="B2241" s="18" t="s">
        <v>104</v>
      </c>
      <c r="C2241" s="18"/>
      <c r="D2241" s="26"/>
      <c r="E2241" s="2"/>
      <c r="F2241" s="2"/>
      <c r="G2241" s="2"/>
      <c r="H2241" s="2"/>
      <c r="I2241" s="2"/>
      <c r="J2241" s="2"/>
      <c r="K2241" s="2"/>
      <c r="L2241" s="2"/>
      <c r="M2241" s="27"/>
      <c r="N2241" s="26"/>
      <c r="O2241" s="2"/>
      <c r="P2241" s="24"/>
    </row>
    <row r="2242" spans="1:16" ht="9.75" customHeight="1">
      <c r="A2242" s="18"/>
      <c r="B2242" s="18" t="s">
        <v>104</v>
      </c>
      <c r="C2242" s="18"/>
      <c r="D2242" s="26"/>
      <c r="E2242" s="2"/>
      <c r="F2242" s="2"/>
      <c r="G2242" s="2"/>
      <c r="H2242" s="2"/>
      <c r="I2242" s="2"/>
      <c r="J2242" s="2"/>
      <c r="K2242" s="2"/>
      <c r="L2242" s="2"/>
      <c r="M2242" s="27"/>
      <c r="N2242" s="26"/>
      <c r="O2242" s="2"/>
      <c r="P2242" s="24"/>
    </row>
    <row r="2243" spans="1:16" ht="9.75" customHeight="1">
      <c r="A2243" s="18"/>
      <c r="B2243" s="18" t="s">
        <v>104</v>
      </c>
      <c r="C2243" s="18"/>
      <c r="D2243" s="26"/>
      <c r="E2243" s="2"/>
      <c r="F2243" s="2"/>
      <c r="G2243" s="2"/>
      <c r="H2243" s="2"/>
      <c r="I2243" s="2"/>
      <c r="J2243" s="2"/>
      <c r="K2243" s="2"/>
      <c r="L2243" s="2"/>
      <c r="M2243" s="27"/>
      <c r="N2243" s="26"/>
      <c r="O2243" s="2"/>
      <c r="P2243" s="24"/>
    </row>
    <row r="2244" spans="1:16" ht="9.75" customHeight="1">
      <c r="A2244" s="18"/>
      <c r="B2244" s="18" t="s">
        <v>34</v>
      </c>
      <c r="C2244" s="18"/>
      <c r="D2244" s="26"/>
      <c r="E2244" s="2"/>
      <c r="F2244" s="2"/>
      <c r="G2244" s="2"/>
      <c r="H2244" s="2"/>
      <c r="I2244" s="2"/>
      <c r="J2244" s="2"/>
      <c r="K2244" s="2"/>
      <c r="L2244" s="2"/>
      <c r="M2244" s="27"/>
      <c r="N2244" s="26"/>
      <c r="O2244" s="2"/>
      <c r="P2244" s="24"/>
    </row>
    <row r="2245" spans="1:16" ht="9.75" customHeight="1">
      <c r="A2245" s="18"/>
      <c r="B2245" s="18" t="s">
        <v>35</v>
      </c>
      <c r="C2245" s="18"/>
      <c r="D2245" s="26"/>
      <c r="E2245" s="2"/>
      <c r="F2245" s="2"/>
      <c r="G2245" s="2"/>
      <c r="H2245" s="2"/>
      <c r="I2245" s="2"/>
      <c r="J2245" s="2"/>
      <c r="K2245" s="2"/>
      <c r="L2245" s="2"/>
      <c r="M2245" s="27"/>
      <c r="N2245" s="26"/>
      <c r="O2245" s="2"/>
      <c r="P2245" s="24"/>
    </row>
    <row r="2246" spans="1:16" ht="9.75" customHeight="1">
      <c r="A2246" s="18"/>
      <c r="B2246" s="18" t="s">
        <v>36</v>
      </c>
      <c r="C2246" s="18"/>
      <c r="D2246" s="26"/>
      <c r="E2246" s="2"/>
      <c r="F2246" s="2"/>
      <c r="G2246" s="2"/>
      <c r="H2246" s="2"/>
      <c r="I2246" s="2"/>
      <c r="J2246" s="2"/>
      <c r="K2246" s="2"/>
      <c r="L2246" s="2"/>
      <c r="M2246" s="27"/>
      <c r="N2246" s="26"/>
      <c r="O2246" s="2"/>
      <c r="P2246" s="24"/>
    </row>
    <row r="2247" spans="1:16" ht="9.75" customHeight="1">
      <c r="A2247" s="18"/>
      <c r="B2247" s="18" t="s">
        <v>37</v>
      </c>
      <c r="C2247" s="18"/>
      <c r="D2247" s="26"/>
      <c r="E2247" s="2"/>
      <c r="F2247" s="2"/>
      <c r="G2247" s="2"/>
      <c r="H2247" s="2"/>
      <c r="I2247" s="2"/>
      <c r="J2247" s="2"/>
      <c r="K2247" s="2"/>
      <c r="L2247" s="2"/>
      <c r="M2247" s="27"/>
      <c r="N2247" s="26"/>
      <c r="O2247" s="2"/>
      <c r="P2247" s="24"/>
    </row>
    <row r="2248" spans="1:16" ht="9.75" customHeight="1">
      <c r="A2248" s="32"/>
      <c r="B2248" s="70" t="s">
        <v>38</v>
      </c>
      <c r="C2248" s="70">
        <f t="shared" ref="C2248:M2248" si="436">SUM(C2232:C2247)</f>
        <v>242</v>
      </c>
      <c r="D2248" s="70">
        <f t="shared" si="436"/>
        <v>0</v>
      </c>
      <c r="E2248" s="71">
        <f t="shared" si="436"/>
        <v>0</v>
      </c>
      <c r="F2248" s="71">
        <f t="shared" si="436"/>
        <v>0</v>
      </c>
      <c r="G2248" s="71">
        <f t="shared" si="436"/>
        <v>0</v>
      </c>
      <c r="H2248" s="71">
        <f t="shared" si="436"/>
        <v>0</v>
      </c>
      <c r="I2248" s="71">
        <f t="shared" si="436"/>
        <v>0</v>
      </c>
      <c r="J2248" s="71">
        <f t="shared" si="436"/>
        <v>0</v>
      </c>
      <c r="K2248" s="71">
        <f t="shared" si="436"/>
        <v>0</v>
      </c>
      <c r="L2248" s="71">
        <f t="shared" si="436"/>
        <v>0</v>
      </c>
      <c r="M2248" s="93">
        <f t="shared" si="436"/>
        <v>0</v>
      </c>
      <c r="N2248" s="71">
        <f>MIN(D2248:M2248)</f>
        <v>0</v>
      </c>
      <c r="O2248" s="71">
        <f>C2248-N2248</f>
        <v>242</v>
      </c>
      <c r="P2248" s="40">
        <f>O2248/C2248</f>
        <v>1</v>
      </c>
    </row>
    <row r="2249" spans="1:16" ht="9.75" customHeight="1">
      <c r="A2249" s="66" t="s">
        <v>328</v>
      </c>
      <c r="B2249" s="66" t="s">
        <v>23</v>
      </c>
      <c r="C2249" s="18"/>
      <c r="D2249" s="26"/>
      <c r="E2249" s="2"/>
      <c r="F2249" s="2"/>
      <c r="G2249" s="2"/>
      <c r="H2249" s="2"/>
      <c r="I2249" s="2"/>
      <c r="J2249" s="2"/>
      <c r="K2249" s="2"/>
      <c r="L2249" s="2"/>
      <c r="M2249" s="27"/>
      <c r="N2249" s="41"/>
      <c r="O2249" s="72"/>
      <c r="P2249" s="99"/>
    </row>
    <row r="2250" spans="1:16" ht="9.75" customHeight="1">
      <c r="A2250" s="18"/>
      <c r="B2250" s="18" t="s">
        <v>25</v>
      </c>
      <c r="C2250" s="18"/>
      <c r="D2250" s="26"/>
      <c r="E2250" s="2"/>
      <c r="F2250" s="2"/>
      <c r="G2250" s="2"/>
      <c r="H2250" s="2"/>
      <c r="I2250" s="2"/>
      <c r="J2250" s="2"/>
      <c r="K2250" s="2"/>
      <c r="L2250" s="2"/>
      <c r="M2250" s="27"/>
      <c r="N2250" s="26"/>
      <c r="O2250" s="2"/>
      <c r="P2250" s="24"/>
    </row>
    <row r="2251" spans="1:16" ht="9.75" customHeight="1">
      <c r="A2251" s="18"/>
      <c r="B2251" s="18" t="s">
        <v>27</v>
      </c>
      <c r="C2251" s="18"/>
      <c r="D2251" s="26"/>
      <c r="E2251" s="2"/>
      <c r="F2251" s="2"/>
      <c r="G2251" s="2"/>
      <c r="H2251" s="2"/>
      <c r="I2251" s="2"/>
      <c r="J2251" s="2"/>
      <c r="K2251" s="2"/>
      <c r="L2251" s="2"/>
      <c r="M2251" s="27"/>
      <c r="N2251" s="26"/>
      <c r="O2251" s="2"/>
      <c r="P2251" s="24"/>
    </row>
    <row r="2252" spans="1:16" ht="9.75" customHeight="1">
      <c r="A2252" s="18"/>
      <c r="B2252" s="18" t="s">
        <v>227</v>
      </c>
      <c r="C2252" s="18">
        <v>128</v>
      </c>
      <c r="D2252" s="26">
        <v>119</v>
      </c>
      <c r="E2252" s="2">
        <v>117</v>
      </c>
      <c r="F2252" s="2">
        <v>111</v>
      </c>
      <c r="G2252" s="2">
        <v>110</v>
      </c>
      <c r="H2252" s="2">
        <v>108</v>
      </c>
      <c r="I2252" s="2">
        <f>C2252-24</f>
        <v>104</v>
      </c>
      <c r="J2252" s="2">
        <f>C2252-25</f>
        <v>103</v>
      </c>
      <c r="K2252" s="2">
        <f>C2252-19</f>
        <v>109</v>
      </c>
      <c r="L2252" s="2">
        <f>C2252-16</f>
        <v>112</v>
      </c>
      <c r="M2252" s="27">
        <f>C2252-15</f>
        <v>113</v>
      </c>
      <c r="N2252" s="26">
        <f>MIN(D2252:M2252)</f>
        <v>103</v>
      </c>
      <c r="O2252" s="2">
        <f>C2252-N2252</f>
        <v>25</v>
      </c>
      <c r="P2252" s="24">
        <f>O2252/C2252</f>
        <v>0.1953125</v>
      </c>
    </row>
    <row r="2253" spans="1:16" ht="9.75" customHeight="1">
      <c r="A2253" s="18"/>
      <c r="B2253" s="18" t="s">
        <v>99</v>
      </c>
      <c r="C2253" s="18"/>
      <c r="D2253" s="26"/>
      <c r="E2253" s="2"/>
      <c r="F2253" s="2"/>
      <c r="G2253" s="2"/>
      <c r="H2253" s="2"/>
      <c r="I2253" s="2"/>
      <c r="J2253" s="2"/>
      <c r="K2253" s="2"/>
      <c r="L2253" s="2"/>
      <c r="M2253" s="27"/>
      <c r="N2253" s="26"/>
      <c r="O2253" s="2"/>
      <c r="P2253" s="24"/>
    </row>
    <row r="2254" spans="1:16" ht="9.75" customHeight="1">
      <c r="A2254" s="18"/>
      <c r="B2254" s="18" t="s">
        <v>32</v>
      </c>
      <c r="C2254" s="18"/>
      <c r="D2254" s="26"/>
      <c r="E2254" s="2"/>
      <c r="F2254" s="2"/>
      <c r="G2254" s="2"/>
      <c r="H2254" s="2"/>
      <c r="I2254" s="2"/>
      <c r="J2254" s="2"/>
      <c r="K2254" s="2"/>
      <c r="L2254" s="2"/>
      <c r="M2254" s="27"/>
      <c r="N2254" s="26"/>
      <c r="O2254" s="2"/>
      <c r="P2254" s="24"/>
    </row>
    <row r="2255" spans="1:16" ht="9.75" customHeight="1">
      <c r="A2255" s="18"/>
      <c r="B2255" s="18" t="s">
        <v>104</v>
      </c>
      <c r="C2255" s="18"/>
      <c r="D2255" s="182"/>
      <c r="E2255" s="182"/>
      <c r="F2255" s="182"/>
      <c r="G2255" s="182"/>
      <c r="H2255" s="182"/>
      <c r="I2255" s="182"/>
      <c r="J2255" s="182"/>
      <c r="K2255" s="182"/>
      <c r="L2255" s="182"/>
      <c r="M2255" s="182"/>
      <c r="N2255" s="26"/>
      <c r="O2255" s="2"/>
      <c r="P2255" s="24"/>
    </row>
    <row r="2256" spans="1:16" ht="9.75" customHeight="1">
      <c r="A2256" s="18"/>
      <c r="B2256" s="18" t="s">
        <v>104</v>
      </c>
      <c r="C2256" s="18"/>
      <c r="D2256" s="26"/>
      <c r="E2256" s="2"/>
      <c r="F2256" s="2"/>
      <c r="G2256" s="2"/>
      <c r="H2256" s="2"/>
      <c r="I2256" s="2"/>
      <c r="J2256" s="2"/>
      <c r="K2256" s="2"/>
      <c r="L2256" s="2"/>
      <c r="M2256" s="27"/>
      <c r="N2256" s="26"/>
      <c r="O2256" s="2"/>
      <c r="P2256" s="24"/>
    </row>
    <row r="2257" spans="1:16" ht="9.75" customHeight="1">
      <c r="A2257" s="18"/>
      <c r="B2257" s="18" t="s">
        <v>104</v>
      </c>
      <c r="C2257" s="18"/>
      <c r="D2257" s="26"/>
      <c r="E2257" s="2"/>
      <c r="F2257" s="2"/>
      <c r="G2257" s="2"/>
      <c r="H2257" s="2"/>
      <c r="I2257" s="2"/>
      <c r="J2257" s="2"/>
      <c r="K2257" s="2"/>
      <c r="L2257" s="2"/>
      <c r="M2257" s="27"/>
      <c r="N2257" s="26"/>
      <c r="O2257" s="2"/>
      <c r="P2257" s="24"/>
    </row>
    <row r="2258" spans="1:16" ht="9.75" customHeight="1">
      <c r="A2258" s="18"/>
      <c r="B2258" s="18" t="s">
        <v>104</v>
      </c>
      <c r="C2258" s="18"/>
      <c r="D2258" s="26"/>
      <c r="E2258" s="2"/>
      <c r="F2258" s="2"/>
      <c r="G2258" s="2"/>
      <c r="H2258" s="2"/>
      <c r="I2258" s="2"/>
      <c r="J2258" s="2"/>
      <c r="K2258" s="2"/>
      <c r="L2258" s="2"/>
      <c r="M2258" s="27"/>
      <c r="N2258" s="26"/>
      <c r="O2258" s="2"/>
      <c r="P2258" s="24"/>
    </row>
    <row r="2259" spans="1:16" ht="9.75" customHeight="1">
      <c r="A2259" s="18"/>
      <c r="B2259" s="18" t="s">
        <v>104</v>
      </c>
      <c r="C2259" s="18"/>
      <c r="D2259" s="26"/>
      <c r="E2259" s="2"/>
      <c r="F2259" s="2"/>
      <c r="G2259" s="2"/>
      <c r="H2259" s="2"/>
      <c r="I2259" s="2"/>
      <c r="J2259" s="2"/>
      <c r="K2259" s="2"/>
      <c r="L2259" s="2"/>
      <c r="M2259" s="27"/>
      <c r="N2259" s="26"/>
      <c r="O2259" s="2"/>
      <c r="P2259" s="24"/>
    </row>
    <row r="2260" spans="1:16" ht="9.75" customHeight="1">
      <c r="A2260" s="18"/>
      <c r="B2260" s="18" t="s">
        <v>104</v>
      </c>
      <c r="C2260" s="18"/>
      <c r="D2260" s="26"/>
      <c r="E2260" s="2"/>
      <c r="F2260" s="2"/>
      <c r="G2260" s="2"/>
      <c r="H2260" s="2"/>
      <c r="I2260" s="2"/>
      <c r="J2260" s="2"/>
      <c r="K2260" s="2"/>
      <c r="L2260" s="2"/>
      <c r="M2260" s="27"/>
      <c r="N2260" s="26"/>
      <c r="O2260" s="2"/>
      <c r="P2260" s="24"/>
    </row>
    <row r="2261" spans="1:16" ht="9.75" customHeight="1">
      <c r="A2261" s="18"/>
      <c r="B2261" s="18" t="s">
        <v>34</v>
      </c>
      <c r="C2261" s="18"/>
      <c r="D2261" s="26"/>
      <c r="E2261" s="2"/>
      <c r="F2261" s="2"/>
      <c r="G2261" s="2"/>
      <c r="H2261" s="2"/>
      <c r="I2261" s="2"/>
      <c r="J2261" s="2"/>
      <c r="K2261" s="2"/>
      <c r="L2261" s="2"/>
      <c r="M2261" s="27"/>
      <c r="N2261" s="26"/>
      <c r="O2261" s="2"/>
      <c r="P2261" s="24"/>
    </row>
    <row r="2262" spans="1:16" ht="9.75" customHeight="1">
      <c r="A2262" s="18"/>
      <c r="B2262" s="18" t="s">
        <v>35</v>
      </c>
      <c r="C2262" s="18"/>
      <c r="D2262" s="26"/>
      <c r="E2262" s="2"/>
      <c r="F2262" s="2"/>
      <c r="G2262" s="2"/>
      <c r="H2262" s="2"/>
      <c r="I2262" s="2"/>
      <c r="J2262" s="2"/>
      <c r="K2262" s="2"/>
      <c r="L2262" s="2"/>
      <c r="M2262" s="27"/>
      <c r="N2262" s="26"/>
      <c r="O2262" s="2"/>
      <c r="P2262" s="24"/>
    </row>
    <row r="2263" spans="1:16" ht="9.75" customHeight="1">
      <c r="A2263" s="18"/>
      <c r="B2263" s="18" t="s">
        <v>36</v>
      </c>
      <c r="C2263" s="18"/>
      <c r="D2263" s="26"/>
      <c r="E2263" s="2"/>
      <c r="F2263" s="2"/>
      <c r="G2263" s="2"/>
      <c r="H2263" s="2"/>
      <c r="I2263" s="2"/>
      <c r="J2263" s="2"/>
      <c r="K2263" s="2"/>
      <c r="L2263" s="2"/>
      <c r="M2263" s="27"/>
      <c r="N2263" s="26"/>
      <c r="O2263" s="2"/>
      <c r="P2263" s="24"/>
    </row>
    <row r="2264" spans="1:16" ht="9.75" customHeight="1">
      <c r="A2264" s="18"/>
      <c r="B2264" s="18" t="s">
        <v>37</v>
      </c>
      <c r="C2264" s="18"/>
      <c r="D2264" s="26"/>
      <c r="E2264" s="2"/>
      <c r="F2264" s="2"/>
      <c r="G2264" s="2"/>
      <c r="H2264" s="2"/>
      <c r="I2264" s="2"/>
      <c r="J2264" s="2"/>
      <c r="K2264" s="2"/>
      <c r="L2264" s="2"/>
      <c r="M2264" s="27"/>
      <c r="N2264" s="26"/>
      <c r="O2264" s="2"/>
      <c r="P2264" s="24"/>
    </row>
    <row r="2265" spans="1:16" ht="9.75" customHeight="1">
      <c r="A2265" s="32"/>
      <c r="B2265" s="70" t="s">
        <v>38</v>
      </c>
      <c r="C2265" s="70">
        <f t="shared" ref="C2265:M2265" si="437">SUM(C2249:C2264)</f>
        <v>128</v>
      </c>
      <c r="D2265" s="70">
        <f t="shared" si="437"/>
        <v>119</v>
      </c>
      <c r="E2265" s="71">
        <f t="shared" si="437"/>
        <v>117</v>
      </c>
      <c r="F2265" s="71">
        <f t="shared" si="437"/>
        <v>111</v>
      </c>
      <c r="G2265" s="71">
        <f t="shared" si="437"/>
        <v>110</v>
      </c>
      <c r="H2265" s="71">
        <f t="shared" si="437"/>
        <v>108</v>
      </c>
      <c r="I2265" s="71">
        <f t="shared" si="437"/>
        <v>104</v>
      </c>
      <c r="J2265" s="71">
        <f t="shared" si="437"/>
        <v>103</v>
      </c>
      <c r="K2265" s="71">
        <f t="shared" si="437"/>
        <v>109</v>
      </c>
      <c r="L2265" s="71">
        <f t="shared" si="437"/>
        <v>112</v>
      </c>
      <c r="M2265" s="93">
        <f t="shared" si="437"/>
        <v>113</v>
      </c>
      <c r="N2265" s="71">
        <f>MIN(D2265:M2265)</f>
        <v>103</v>
      </c>
      <c r="O2265" s="71">
        <f>C2265-N2265</f>
        <v>25</v>
      </c>
      <c r="P2265" s="40">
        <f>O2265/C2265</f>
        <v>0.1953125</v>
      </c>
    </row>
    <row r="2266" spans="1:16" ht="9.75" customHeight="1">
      <c r="A2266" s="66" t="s">
        <v>329</v>
      </c>
      <c r="B2266" s="66" t="s">
        <v>23</v>
      </c>
      <c r="C2266" s="18"/>
      <c r="D2266" s="26"/>
      <c r="E2266" s="2"/>
      <c r="F2266" s="2"/>
      <c r="G2266" s="2"/>
      <c r="H2266" s="2"/>
      <c r="I2266" s="2"/>
      <c r="J2266" s="2"/>
      <c r="K2266" s="2"/>
      <c r="L2266" s="2"/>
      <c r="M2266" s="27"/>
      <c r="N2266" s="26"/>
      <c r="O2266" s="2"/>
      <c r="P2266" s="24"/>
    </row>
    <row r="2267" spans="1:16" ht="9.75" customHeight="1">
      <c r="A2267" s="18"/>
      <c r="B2267" s="18" t="s">
        <v>25</v>
      </c>
      <c r="C2267" s="18"/>
      <c r="D2267" s="26"/>
      <c r="E2267" s="2"/>
      <c r="F2267" s="2"/>
      <c r="G2267" s="2"/>
      <c r="H2267" s="2"/>
      <c r="I2267" s="2"/>
      <c r="J2267" s="2"/>
      <c r="K2267" s="2"/>
      <c r="L2267" s="2"/>
      <c r="M2267" s="27"/>
      <c r="N2267" s="26"/>
      <c r="O2267" s="2"/>
      <c r="P2267" s="24"/>
    </row>
    <row r="2268" spans="1:16" ht="9.75" customHeight="1">
      <c r="A2268" s="18"/>
      <c r="B2268" s="18" t="s">
        <v>27</v>
      </c>
      <c r="C2268" s="18"/>
      <c r="D2268" s="26"/>
      <c r="E2268" s="2"/>
      <c r="F2268" s="2"/>
      <c r="G2268" s="2"/>
      <c r="H2268" s="2"/>
      <c r="I2268" s="2"/>
      <c r="J2268" s="2"/>
      <c r="K2268" s="2"/>
      <c r="L2268" s="2"/>
      <c r="M2268" s="27"/>
      <c r="N2268" s="26"/>
      <c r="O2268" s="2"/>
      <c r="P2268" s="24"/>
    </row>
    <row r="2269" spans="1:16" ht="9.75" customHeight="1">
      <c r="A2269" s="18"/>
      <c r="B2269" s="18" t="s">
        <v>227</v>
      </c>
      <c r="C2269" s="18">
        <f>120+57</f>
        <v>177</v>
      </c>
      <c r="D2269" s="26">
        <f>120-33+56</f>
        <v>143</v>
      </c>
      <c r="E2269" s="2">
        <f>120-52+57</f>
        <v>125</v>
      </c>
      <c r="F2269" s="2">
        <f>120-74+57</f>
        <v>103</v>
      </c>
      <c r="G2269" s="2">
        <f>120-71+56</f>
        <v>105</v>
      </c>
      <c r="H2269" s="2">
        <f>120-60+56</f>
        <v>116</v>
      </c>
      <c r="I2269" s="2">
        <f>C2269-98</f>
        <v>79</v>
      </c>
      <c r="J2269" s="2">
        <f>C2269-80</f>
        <v>97</v>
      </c>
      <c r="K2269" s="2">
        <f>C2269-71+5</f>
        <v>111</v>
      </c>
      <c r="L2269" s="2">
        <f>C2269-70+10</f>
        <v>117</v>
      </c>
      <c r="M2269" s="27">
        <f>C2269-69-15</f>
        <v>93</v>
      </c>
      <c r="N2269" s="26">
        <f>MIN(D2269:M2269)</f>
        <v>79</v>
      </c>
      <c r="O2269" s="2">
        <f>C2269-N2269</f>
        <v>98</v>
      </c>
      <c r="P2269" s="24">
        <f>O2269/C2269</f>
        <v>0.5536723163841808</v>
      </c>
    </row>
    <row r="2270" spans="1:16" ht="9.75" customHeight="1">
      <c r="A2270" s="18"/>
      <c r="B2270" s="18" t="s">
        <v>99</v>
      </c>
      <c r="C2270" s="18"/>
      <c r="D2270" s="26"/>
      <c r="E2270" s="2"/>
      <c r="F2270" s="2"/>
      <c r="G2270" s="2"/>
      <c r="H2270" s="2"/>
      <c r="I2270" s="2"/>
      <c r="J2270" s="2"/>
      <c r="K2270" s="2"/>
      <c r="L2270" s="2"/>
      <c r="M2270" s="27"/>
      <c r="N2270" s="26"/>
      <c r="O2270" s="2"/>
      <c r="P2270" s="24"/>
    </row>
    <row r="2271" spans="1:16" ht="9.75" customHeight="1">
      <c r="A2271" s="18"/>
      <c r="B2271" s="18" t="s">
        <v>32</v>
      </c>
      <c r="C2271" s="18"/>
      <c r="D2271" s="26"/>
      <c r="E2271" s="2"/>
      <c r="F2271" s="2"/>
      <c r="G2271" s="2"/>
      <c r="H2271" s="2"/>
      <c r="I2271" s="2"/>
      <c r="J2271" s="2"/>
      <c r="K2271" s="2"/>
      <c r="L2271" s="2"/>
      <c r="M2271" s="27"/>
      <c r="N2271" s="26"/>
      <c r="O2271" s="2"/>
      <c r="P2271" s="24"/>
    </row>
    <row r="2272" spans="1:16" ht="9.75" customHeight="1">
      <c r="A2272" s="18"/>
      <c r="B2272" s="18" t="s">
        <v>102</v>
      </c>
      <c r="C2272" s="18"/>
      <c r="D2272" s="26"/>
      <c r="E2272" s="2"/>
      <c r="F2272" s="2"/>
      <c r="G2272" s="2"/>
      <c r="H2272" s="2"/>
      <c r="I2272" s="2"/>
      <c r="J2272" s="2"/>
      <c r="K2272" s="2"/>
      <c r="L2272" s="2"/>
      <c r="M2272" s="27"/>
      <c r="N2272" s="26"/>
      <c r="O2272" s="2"/>
      <c r="P2272" s="24"/>
    </row>
    <row r="2273" spans="1:16" ht="9.75" customHeight="1">
      <c r="A2273" s="18"/>
      <c r="B2273" s="18" t="s">
        <v>104</v>
      </c>
      <c r="C2273" s="18"/>
      <c r="D2273" s="26"/>
      <c r="E2273" s="2"/>
      <c r="F2273" s="2"/>
      <c r="G2273" s="2"/>
      <c r="H2273" s="2"/>
      <c r="I2273" s="2"/>
      <c r="J2273" s="2"/>
      <c r="K2273" s="2"/>
      <c r="L2273" s="2"/>
      <c r="M2273" s="27"/>
      <c r="N2273" s="26"/>
      <c r="O2273" s="2"/>
      <c r="P2273" s="24"/>
    </row>
    <row r="2274" spans="1:16" ht="9.75" customHeight="1">
      <c r="A2274" s="18"/>
      <c r="B2274" s="18" t="s">
        <v>104</v>
      </c>
      <c r="C2274" s="18"/>
      <c r="D2274" s="26"/>
      <c r="E2274" s="2"/>
      <c r="F2274" s="2"/>
      <c r="G2274" s="2"/>
      <c r="H2274" s="2"/>
      <c r="I2274" s="2"/>
      <c r="J2274" s="2"/>
      <c r="K2274" s="2"/>
      <c r="L2274" s="2"/>
      <c r="M2274" s="27"/>
      <c r="N2274" s="26"/>
      <c r="O2274" s="2"/>
      <c r="P2274" s="24"/>
    </row>
    <row r="2275" spans="1:16" ht="9.75" customHeight="1">
      <c r="A2275" s="18"/>
      <c r="B2275" s="18" t="s">
        <v>104</v>
      </c>
      <c r="C2275" s="18"/>
      <c r="D2275" s="26"/>
      <c r="E2275" s="2"/>
      <c r="F2275" s="2"/>
      <c r="G2275" s="2"/>
      <c r="H2275" s="2"/>
      <c r="I2275" s="2"/>
      <c r="J2275" s="2"/>
      <c r="K2275" s="2"/>
      <c r="L2275" s="2"/>
      <c r="M2275" s="27"/>
      <c r="N2275" s="26"/>
      <c r="O2275" s="2"/>
      <c r="P2275" s="24"/>
    </row>
    <row r="2276" spans="1:16" ht="9.75" customHeight="1">
      <c r="A2276" s="18"/>
      <c r="B2276" s="18" t="s">
        <v>104</v>
      </c>
      <c r="C2276" s="18"/>
      <c r="D2276" s="26"/>
      <c r="E2276" s="2"/>
      <c r="F2276" s="2"/>
      <c r="G2276" s="2"/>
      <c r="H2276" s="2"/>
      <c r="I2276" s="2"/>
      <c r="J2276" s="2"/>
      <c r="K2276" s="2"/>
      <c r="L2276" s="2"/>
      <c r="M2276" s="27"/>
      <c r="N2276" s="26"/>
      <c r="O2276" s="2"/>
      <c r="P2276" s="24"/>
    </row>
    <row r="2277" spans="1:16" ht="9.75" customHeight="1">
      <c r="A2277" s="18"/>
      <c r="B2277" s="18" t="s">
        <v>104</v>
      </c>
      <c r="C2277" s="18"/>
      <c r="D2277" s="26"/>
      <c r="E2277" s="2"/>
      <c r="F2277" s="2"/>
      <c r="G2277" s="2"/>
      <c r="H2277" s="2"/>
      <c r="I2277" s="2"/>
      <c r="J2277" s="2"/>
      <c r="K2277" s="2"/>
      <c r="L2277" s="2"/>
      <c r="M2277" s="27"/>
      <c r="N2277" s="26"/>
      <c r="O2277" s="2"/>
      <c r="P2277" s="24"/>
    </row>
    <row r="2278" spans="1:16" ht="9.75" customHeight="1">
      <c r="A2278" s="18"/>
      <c r="B2278" s="18" t="s">
        <v>34</v>
      </c>
      <c r="C2278" s="18"/>
      <c r="D2278" s="26"/>
      <c r="E2278" s="2"/>
      <c r="F2278" s="2"/>
      <c r="G2278" s="2"/>
      <c r="H2278" s="2"/>
      <c r="I2278" s="2"/>
      <c r="J2278" s="2"/>
      <c r="K2278" s="2"/>
      <c r="L2278" s="2"/>
      <c r="M2278" s="27"/>
      <c r="N2278" s="26"/>
      <c r="O2278" s="2"/>
      <c r="P2278" s="24"/>
    </row>
    <row r="2279" spans="1:16" ht="9.75" customHeight="1">
      <c r="A2279" s="18"/>
      <c r="B2279" s="18" t="s">
        <v>35</v>
      </c>
      <c r="C2279" s="18"/>
      <c r="D2279" s="26"/>
      <c r="E2279" s="2"/>
      <c r="F2279" s="2"/>
      <c r="G2279" s="2"/>
      <c r="H2279" s="2"/>
      <c r="I2279" s="2"/>
      <c r="J2279" s="2"/>
      <c r="K2279" s="2"/>
      <c r="L2279" s="2"/>
      <c r="M2279" s="27"/>
      <c r="N2279" s="26"/>
      <c r="O2279" s="2"/>
      <c r="P2279" s="24"/>
    </row>
    <row r="2280" spans="1:16" ht="9.75" customHeight="1">
      <c r="A2280" s="18"/>
      <c r="B2280" s="18" t="s">
        <v>36</v>
      </c>
      <c r="C2280" s="18"/>
      <c r="D2280" s="26"/>
      <c r="E2280" s="2"/>
      <c r="F2280" s="2"/>
      <c r="G2280" s="2"/>
      <c r="H2280" s="2"/>
      <c r="I2280" s="2"/>
      <c r="J2280" s="2"/>
      <c r="K2280" s="2"/>
      <c r="L2280" s="2"/>
      <c r="M2280" s="27"/>
      <c r="N2280" s="26"/>
      <c r="O2280" s="2"/>
      <c r="P2280" s="24"/>
    </row>
    <row r="2281" spans="1:16" ht="9.75" customHeight="1">
      <c r="A2281" s="18"/>
      <c r="B2281" s="18" t="s">
        <v>37</v>
      </c>
      <c r="C2281" s="18"/>
      <c r="D2281" s="26"/>
      <c r="E2281" s="2"/>
      <c r="F2281" s="2"/>
      <c r="G2281" s="2"/>
      <c r="H2281" s="2"/>
      <c r="I2281" s="2"/>
      <c r="J2281" s="2"/>
      <c r="K2281" s="2"/>
      <c r="L2281" s="2"/>
      <c r="M2281" s="27"/>
      <c r="N2281" s="26"/>
      <c r="O2281" s="2"/>
      <c r="P2281" s="24"/>
    </row>
    <row r="2282" spans="1:16" ht="9.75" customHeight="1">
      <c r="A2282" s="32"/>
      <c r="B2282" s="70" t="s">
        <v>38</v>
      </c>
      <c r="C2282" s="70">
        <f t="shared" ref="C2282:M2282" si="438">SUM(C2266:C2281)</f>
        <v>177</v>
      </c>
      <c r="D2282" s="70">
        <f t="shared" si="438"/>
        <v>143</v>
      </c>
      <c r="E2282" s="71">
        <f t="shared" si="438"/>
        <v>125</v>
      </c>
      <c r="F2282" s="71">
        <f t="shared" si="438"/>
        <v>103</v>
      </c>
      <c r="G2282" s="71">
        <f t="shared" si="438"/>
        <v>105</v>
      </c>
      <c r="H2282" s="71">
        <f t="shared" si="438"/>
        <v>116</v>
      </c>
      <c r="I2282" s="71">
        <f t="shared" si="438"/>
        <v>79</v>
      </c>
      <c r="J2282" s="71">
        <f t="shared" si="438"/>
        <v>97</v>
      </c>
      <c r="K2282" s="71">
        <f t="shared" si="438"/>
        <v>111</v>
      </c>
      <c r="L2282" s="71">
        <f t="shared" si="438"/>
        <v>117</v>
      </c>
      <c r="M2282" s="93">
        <f t="shared" si="438"/>
        <v>93</v>
      </c>
      <c r="N2282" s="71">
        <f>MIN(D2282:M2282)</f>
        <v>79</v>
      </c>
      <c r="O2282" s="71">
        <f>C2282-N2282</f>
        <v>98</v>
      </c>
      <c r="P2282" s="40">
        <f>O2282/C2282</f>
        <v>0.5536723163841808</v>
      </c>
    </row>
    <row r="2283" spans="1:16" ht="9.75" customHeight="1">
      <c r="A2283" s="66" t="s">
        <v>330</v>
      </c>
      <c r="B2283" s="66" t="s">
        <v>23</v>
      </c>
      <c r="C2283" s="18"/>
      <c r="D2283" s="26"/>
      <c r="E2283" s="2"/>
      <c r="F2283" s="2"/>
      <c r="G2283" s="2"/>
      <c r="H2283" s="2"/>
      <c r="I2283" s="2"/>
      <c r="J2283" s="2"/>
      <c r="K2283" s="2"/>
      <c r="L2283" s="2"/>
      <c r="M2283" s="27"/>
      <c r="N2283" s="26"/>
      <c r="O2283" s="2"/>
      <c r="P2283" s="24"/>
    </row>
    <row r="2284" spans="1:16" ht="9.75" customHeight="1">
      <c r="A2284" s="18"/>
      <c r="B2284" s="18" t="s">
        <v>25</v>
      </c>
      <c r="C2284" s="18"/>
      <c r="D2284" s="26"/>
      <c r="E2284" s="2"/>
      <c r="F2284" s="2"/>
      <c r="G2284" s="2"/>
      <c r="H2284" s="2"/>
      <c r="I2284" s="2"/>
      <c r="J2284" s="2"/>
      <c r="K2284" s="2"/>
      <c r="L2284" s="2"/>
      <c r="M2284" s="27"/>
      <c r="N2284" s="26"/>
      <c r="O2284" s="2"/>
      <c r="P2284" s="24"/>
    </row>
    <row r="2285" spans="1:16" ht="9.75" customHeight="1">
      <c r="A2285" s="18"/>
      <c r="B2285" s="18" t="s">
        <v>27</v>
      </c>
      <c r="C2285" s="18"/>
      <c r="D2285" s="26"/>
      <c r="E2285" s="2"/>
      <c r="F2285" s="2"/>
      <c r="G2285" s="2"/>
      <c r="H2285" s="2"/>
      <c r="I2285" s="2"/>
      <c r="J2285" s="2"/>
      <c r="K2285" s="2"/>
      <c r="L2285" s="2"/>
      <c r="M2285" s="27"/>
      <c r="N2285" s="26"/>
      <c r="O2285" s="2"/>
      <c r="P2285" s="24"/>
    </row>
    <row r="2286" spans="1:16" ht="9.75" customHeight="1">
      <c r="A2286" s="18"/>
      <c r="B2286" s="18" t="s">
        <v>227</v>
      </c>
      <c r="C2286" s="18">
        <f>57+59</f>
        <v>116</v>
      </c>
      <c r="D2286" s="26">
        <f>48</f>
        <v>48</v>
      </c>
      <c r="E2286" s="2">
        <v>28</v>
      </c>
      <c r="F2286" s="2">
        <v>14</v>
      </c>
      <c r="G2286" s="2">
        <v>12</v>
      </c>
      <c r="H2286" s="2">
        <v>19</v>
      </c>
      <c r="I2286" s="116">
        <v>0</v>
      </c>
      <c r="J2286" s="116">
        <v>0</v>
      </c>
      <c r="K2286" s="116">
        <v>10</v>
      </c>
      <c r="L2286" s="116">
        <v>14</v>
      </c>
      <c r="M2286" s="147">
        <v>22</v>
      </c>
      <c r="N2286" s="26">
        <f>MIN(D2286:M2286)</f>
        <v>0</v>
      </c>
      <c r="O2286" s="2">
        <f>C2286-N2286</f>
        <v>116</v>
      </c>
      <c r="P2286" s="24">
        <f>O2286/C2286</f>
        <v>1</v>
      </c>
    </row>
    <row r="2287" spans="1:16" ht="9.75" customHeight="1">
      <c r="A2287" s="18"/>
      <c r="B2287" s="18" t="s">
        <v>99</v>
      </c>
      <c r="C2287" s="18"/>
      <c r="D2287" s="26"/>
      <c r="E2287" s="2"/>
      <c r="F2287" s="2"/>
      <c r="G2287" s="2"/>
      <c r="H2287" s="2"/>
      <c r="I2287" s="2"/>
      <c r="J2287" s="2"/>
      <c r="K2287" s="2"/>
      <c r="L2287" s="2"/>
      <c r="M2287" s="27"/>
      <c r="N2287" s="26"/>
      <c r="O2287" s="2"/>
      <c r="P2287" s="24"/>
    </row>
    <row r="2288" spans="1:16" ht="9.75" customHeight="1">
      <c r="A2288" s="18"/>
      <c r="B2288" s="18" t="s">
        <v>32</v>
      </c>
      <c r="C2288" s="18"/>
      <c r="D2288" s="26"/>
      <c r="E2288" s="2"/>
      <c r="F2288" s="2"/>
      <c r="G2288" s="2"/>
      <c r="H2288" s="2"/>
      <c r="I2288" s="2"/>
      <c r="J2288" s="2"/>
      <c r="K2288" s="2"/>
      <c r="L2288" s="2"/>
      <c r="M2288" s="27"/>
      <c r="N2288" s="26"/>
      <c r="O2288" s="2"/>
      <c r="P2288" s="24"/>
    </row>
    <row r="2289" spans="1:16" ht="9.75" customHeight="1">
      <c r="A2289" s="18"/>
      <c r="B2289" s="18" t="s">
        <v>102</v>
      </c>
      <c r="C2289" s="18">
        <v>3</v>
      </c>
      <c r="D2289" s="53">
        <v>2</v>
      </c>
      <c r="E2289" s="52">
        <v>1</v>
      </c>
      <c r="F2289" s="52">
        <v>0</v>
      </c>
      <c r="G2289" s="52">
        <v>0</v>
      </c>
      <c r="H2289" s="52">
        <v>0</v>
      </c>
      <c r="I2289" s="116">
        <v>0</v>
      </c>
      <c r="J2289" s="116">
        <v>0</v>
      </c>
      <c r="K2289" s="116">
        <v>0</v>
      </c>
      <c r="L2289" s="116">
        <v>0</v>
      </c>
      <c r="M2289" s="147">
        <v>0</v>
      </c>
      <c r="N2289" s="19">
        <f>MIN(D2289:M2289)</f>
        <v>0</v>
      </c>
      <c r="O2289" s="23">
        <f>C2289-N2289</f>
        <v>3</v>
      </c>
      <c r="P2289" s="24">
        <f>O2289/C2289</f>
        <v>1</v>
      </c>
    </row>
    <row r="2290" spans="1:16" ht="9.75" customHeight="1">
      <c r="A2290" s="18"/>
      <c r="B2290" s="18" t="s">
        <v>104</v>
      </c>
      <c r="C2290" s="18"/>
      <c r="D2290" s="26"/>
      <c r="E2290" s="2"/>
      <c r="F2290" s="2"/>
      <c r="G2290" s="2"/>
      <c r="H2290" s="2"/>
      <c r="I2290" s="2"/>
      <c r="J2290" s="2"/>
      <c r="K2290" s="2"/>
      <c r="L2290" s="2"/>
      <c r="M2290" s="27"/>
      <c r="N2290" s="26"/>
      <c r="O2290" s="2"/>
      <c r="P2290" s="24"/>
    </row>
    <row r="2291" spans="1:16" ht="9.75" customHeight="1">
      <c r="A2291" s="18"/>
      <c r="B2291" s="18" t="s">
        <v>104</v>
      </c>
      <c r="C2291" s="18"/>
      <c r="D2291" s="26"/>
      <c r="E2291" s="2"/>
      <c r="F2291" s="2"/>
      <c r="G2291" s="2"/>
      <c r="H2291" s="2"/>
      <c r="I2291" s="2"/>
      <c r="J2291" s="2"/>
      <c r="K2291" s="2"/>
      <c r="L2291" s="2"/>
      <c r="M2291" s="27"/>
      <c r="N2291" s="26"/>
      <c r="O2291" s="2"/>
      <c r="P2291" s="24"/>
    </row>
    <row r="2292" spans="1:16" ht="9.75" customHeight="1">
      <c r="A2292" s="18"/>
      <c r="B2292" s="18" t="s">
        <v>104</v>
      </c>
      <c r="C2292" s="18"/>
      <c r="D2292" s="26"/>
      <c r="E2292" s="2"/>
      <c r="F2292" s="2"/>
      <c r="G2292" s="2"/>
      <c r="H2292" s="2"/>
      <c r="I2292" s="2"/>
      <c r="J2292" s="2"/>
      <c r="K2292" s="2"/>
      <c r="L2292" s="2"/>
      <c r="M2292" s="27"/>
      <c r="N2292" s="26"/>
      <c r="O2292" s="2"/>
      <c r="P2292" s="24"/>
    </row>
    <row r="2293" spans="1:16" ht="9.75" customHeight="1">
      <c r="A2293" s="18"/>
      <c r="B2293" s="18" t="s">
        <v>104</v>
      </c>
      <c r="C2293" s="18"/>
      <c r="D2293" s="26"/>
      <c r="E2293" s="2"/>
      <c r="F2293" s="2"/>
      <c r="G2293" s="2"/>
      <c r="H2293" s="2"/>
      <c r="I2293" s="2"/>
      <c r="J2293" s="2"/>
      <c r="K2293" s="2"/>
      <c r="L2293" s="2"/>
      <c r="M2293" s="27"/>
      <c r="N2293" s="26"/>
      <c r="O2293" s="2"/>
      <c r="P2293" s="24"/>
    </row>
    <row r="2294" spans="1:16" ht="9.75" customHeight="1">
      <c r="A2294" s="18"/>
      <c r="B2294" s="18" t="s">
        <v>104</v>
      </c>
      <c r="C2294" s="18"/>
      <c r="D2294" s="26"/>
      <c r="E2294" s="2"/>
      <c r="F2294" s="2"/>
      <c r="G2294" s="2"/>
      <c r="H2294" s="2"/>
      <c r="I2294" s="2"/>
      <c r="J2294" s="2"/>
      <c r="K2294" s="2"/>
      <c r="L2294" s="2"/>
      <c r="M2294" s="27"/>
      <c r="N2294" s="26"/>
      <c r="O2294" s="2"/>
      <c r="P2294" s="24"/>
    </row>
    <row r="2295" spans="1:16" ht="9.75" customHeight="1">
      <c r="A2295" s="18"/>
      <c r="B2295" s="18" t="s">
        <v>34</v>
      </c>
      <c r="C2295" s="18">
        <v>37</v>
      </c>
      <c r="D2295" s="26">
        <v>18</v>
      </c>
      <c r="E2295" s="2">
        <v>12</v>
      </c>
      <c r="F2295" s="2">
        <v>8</v>
      </c>
      <c r="G2295" s="2">
        <v>5</v>
      </c>
      <c r="H2295" s="2">
        <v>9</v>
      </c>
      <c r="I2295" s="116">
        <v>0</v>
      </c>
      <c r="J2295" s="116">
        <v>0</v>
      </c>
      <c r="K2295" s="116">
        <v>3</v>
      </c>
      <c r="L2295" s="116">
        <v>5</v>
      </c>
      <c r="M2295" s="147">
        <v>17</v>
      </c>
      <c r="N2295" s="26">
        <f>MIN(D2295:M2295)</f>
        <v>0</v>
      </c>
      <c r="O2295" s="2">
        <f>C2295-N2295</f>
        <v>37</v>
      </c>
      <c r="P2295" s="24">
        <f>O2295/C2295</f>
        <v>1</v>
      </c>
    </row>
    <row r="2296" spans="1:16" ht="9.75" customHeight="1">
      <c r="A2296" s="18"/>
      <c r="B2296" s="18" t="s">
        <v>35</v>
      </c>
      <c r="C2296" s="18"/>
      <c r="D2296" s="26"/>
      <c r="E2296" s="2"/>
      <c r="F2296" s="2"/>
      <c r="G2296" s="2"/>
      <c r="H2296" s="2"/>
      <c r="I2296" s="2"/>
      <c r="J2296" s="2"/>
      <c r="K2296" s="2"/>
      <c r="L2296" s="2"/>
      <c r="M2296" s="27"/>
      <c r="N2296" s="26"/>
      <c r="O2296" s="2"/>
      <c r="P2296" s="24"/>
    </row>
    <row r="2297" spans="1:16" ht="9.75" customHeight="1">
      <c r="A2297" s="18"/>
      <c r="B2297" s="18" t="s">
        <v>36</v>
      </c>
      <c r="C2297" s="18"/>
      <c r="D2297" s="26"/>
      <c r="E2297" s="2"/>
      <c r="F2297" s="2"/>
      <c r="G2297" s="2"/>
      <c r="H2297" s="2"/>
      <c r="I2297" s="2"/>
      <c r="J2297" s="2"/>
      <c r="K2297" s="2"/>
      <c r="L2297" s="2"/>
      <c r="M2297" s="27"/>
      <c r="N2297" s="26"/>
      <c r="O2297" s="2"/>
      <c r="P2297" s="24"/>
    </row>
    <row r="2298" spans="1:16" ht="9.75" customHeight="1">
      <c r="A2298" s="18"/>
      <c r="B2298" s="18" t="s">
        <v>37</v>
      </c>
      <c r="C2298" s="18"/>
      <c r="D2298" s="26"/>
      <c r="E2298" s="2"/>
      <c r="F2298" s="2"/>
      <c r="G2298" s="2"/>
      <c r="H2298" s="2"/>
      <c r="I2298" s="2"/>
      <c r="J2298" s="2"/>
      <c r="K2298" s="2"/>
      <c r="L2298" s="2"/>
      <c r="M2298" s="27"/>
      <c r="N2298" s="26"/>
      <c r="O2298" s="2"/>
      <c r="P2298" s="24"/>
    </row>
    <row r="2299" spans="1:16" ht="9.75" customHeight="1">
      <c r="A2299" s="32"/>
      <c r="B2299" s="70" t="s">
        <v>38</v>
      </c>
      <c r="C2299" s="70">
        <f t="shared" ref="C2299:M2299" si="439">SUM(C2283:C2298)</f>
        <v>156</v>
      </c>
      <c r="D2299" s="70">
        <f t="shared" si="439"/>
        <v>68</v>
      </c>
      <c r="E2299" s="71">
        <f t="shared" si="439"/>
        <v>41</v>
      </c>
      <c r="F2299" s="71">
        <f t="shared" si="439"/>
        <v>22</v>
      </c>
      <c r="G2299" s="71">
        <f t="shared" si="439"/>
        <v>17</v>
      </c>
      <c r="H2299" s="71">
        <f t="shared" si="439"/>
        <v>28</v>
      </c>
      <c r="I2299" s="71">
        <f t="shared" si="439"/>
        <v>0</v>
      </c>
      <c r="J2299" s="71">
        <f t="shared" si="439"/>
        <v>0</v>
      </c>
      <c r="K2299" s="71">
        <f t="shared" si="439"/>
        <v>13</v>
      </c>
      <c r="L2299" s="71">
        <f t="shared" si="439"/>
        <v>19</v>
      </c>
      <c r="M2299" s="93">
        <f t="shared" si="439"/>
        <v>39</v>
      </c>
      <c r="N2299" s="71">
        <f t="shared" ref="N2299:N2300" si="440">MIN(D2299:M2299)</f>
        <v>0</v>
      </c>
      <c r="O2299" s="71">
        <f t="shared" ref="O2299:O2300" si="441">C2299-N2299</f>
        <v>156</v>
      </c>
      <c r="P2299" s="40">
        <f t="shared" ref="P2299:P2300" si="442">O2299/C2299</f>
        <v>1</v>
      </c>
    </row>
    <row r="2300" spans="1:16" ht="9.75" customHeight="1">
      <c r="A2300" s="66" t="s">
        <v>331</v>
      </c>
      <c r="B2300" s="66" t="s">
        <v>23</v>
      </c>
      <c r="C2300" s="18">
        <v>7</v>
      </c>
      <c r="D2300" s="26">
        <v>6</v>
      </c>
      <c r="E2300" s="2">
        <v>3</v>
      </c>
      <c r="F2300" s="2">
        <v>2</v>
      </c>
      <c r="G2300" s="2">
        <v>2</v>
      </c>
      <c r="H2300" s="2">
        <v>1</v>
      </c>
      <c r="I2300" s="116">
        <v>0</v>
      </c>
      <c r="J2300" s="116">
        <v>0</v>
      </c>
      <c r="K2300" s="116">
        <v>1</v>
      </c>
      <c r="L2300" s="116">
        <v>2</v>
      </c>
      <c r="M2300" s="147">
        <v>3</v>
      </c>
      <c r="N2300" s="26">
        <f t="shared" si="440"/>
        <v>0</v>
      </c>
      <c r="O2300" s="2">
        <f t="shared" si="441"/>
        <v>7</v>
      </c>
      <c r="P2300" s="24">
        <f t="shared" si="442"/>
        <v>1</v>
      </c>
    </row>
    <row r="2301" spans="1:16" ht="9.75" customHeight="1">
      <c r="A2301" s="18"/>
      <c r="B2301" s="18" t="s">
        <v>25</v>
      </c>
      <c r="C2301" s="18"/>
      <c r="D2301" s="26"/>
      <c r="E2301" s="2"/>
      <c r="F2301" s="2"/>
      <c r="G2301" s="2"/>
      <c r="H2301" s="2"/>
      <c r="I2301" s="2"/>
      <c r="J2301" s="2"/>
      <c r="K2301" s="2"/>
      <c r="L2301" s="2"/>
      <c r="M2301" s="27"/>
      <c r="N2301" s="26"/>
      <c r="O2301" s="2"/>
      <c r="P2301" s="24"/>
    </row>
    <row r="2302" spans="1:16" ht="9.75" customHeight="1">
      <c r="A2302" s="18"/>
      <c r="B2302" s="18" t="s">
        <v>27</v>
      </c>
      <c r="C2302" s="18"/>
      <c r="D2302" s="26"/>
      <c r="E2302" s="2"/>
      <c r="F2302" s="2"/>
      <c r="G2302" s="2"/>
      <c r="H2302" s="2"/>
      <c r="I2302" s="2"/>
      <c r="J2302" s="2"/>
      <c r="K2302" s="2"/>
      <c r="L2302" s="2"/>
      <c r="M2302" s="27"/>
      <c r="N2302" s="26"/>
      <c r="O2302" s="2"/>
      <c r="P2302" s="24"/>
    </row>
    <row r="2303" spans="1:16" ht="9.75" customHeight="1">
      <c r="A2303" s="18"/>
      <c r="B2303" s="18" t="s">
        <v>227</v>
      </c>
      <c r="C2303" s="18">
        <v>65</v>
      </c>
      <c r="D2303" s="26">
        <v>1</v>
      </c>
      <c r="E2303" s="2">
        <v>0</v>
      </c>
      <c r="F2303" s="2">
        <v>0</v>
      </c>
      <c r="G2303" s="2">
        <v>1</v>
      </c>
      <c r="H2303" s="2">
        <v>4</v>
      </c>
      <c r="I2303" s="116">
        <v>0</v>
      </c>
      <c r="J2303" s="116">
        <v>0</v>
      </c>
      <c r="K2303" s="116">
        <v>3</v>
      </c>
      <c r="L2303" s="116">
        <v>7</v>
      </c>
      <c r="M2303" s="147">
        <v>13</v>
      </c>
      <c r="N2303" s="26">
        <f>MIN(D2303:M2303)</f>
        <v>0</v>
      </c>
      <c r="O2303" s="2">
        <f>C2303-N2303</f>
        <v>65</v>
      </c>
      <c r="P2303" s="24">
        <f>O2303/C2303</f>
        <v>1</v>
      </c>
    </row>
    <row r="2304" spans="1:16" ht="9.75" customHeight="1">
      <c r="A2304" s="18"/>
      <c r="B2304" s="18" t="s">
        <v>99</v>
      </c>
      <c r="C2304" s="18"/>
      <c r="D2304" s="26"/>
      <c r="E2304" s="2"/>
      <c r="F2304" s="2"/>
      <c r="G2304" s="2"/>
      <c r="H2304" s="2"/>
      <c r="I2304" s="2"/>
      <c r="J2304" s="2"/>
      <c r="K2304" s="2"/>
      <c r="L2304" s="2"/>
      <c r="M2304" s="27"/>
      <c r="N2304" s="26"/>
      <c r="O2304" s="2"/>
      <c r="P2304" s="24"/>
    </row>
    <row r="2305" spans="1:16" ht="9.75" customHeight="1">
      <c r="A2305" s="18"/>
      <c r="B2305" s="18" t="s">
        <v>32</v>
      </c>
      <c r="C2305" s="18">
        <v>15</v>
      </c>
      <c r="D2305" s="26">
        <v>14</v>
      </c>
      <c r="E2305" s="2">
        <v>14</v>
      </c>
      <c r="F2305" s="2">
        <v>14</v>
      </c>
      <c r="G2305" s="2">
        <v>14</v>
      </c>
      <c r="H2305" s="2">
        <v>13</v>
      </c>
      <c r="I2305" s="116">
        <v>15</v>
      </c>
      <c r="J2305" s="116">
        <v>15</v>
      </c>
      <c r="K2305" s="116">
        <v>15</v>
      </c>
      <c r="L2305" s="116">
        <v>15</v>
      </c>
      <c r="M2305" s="147">
        <v>15</v>
      </c>
      <c r="N2305" s="26">
        <f t="shared" ref="N2305:N2309" si="443">MIN(D2305:M2305)</f>
        <v>13</v>
      </c>
      <c r="O2305" s="2">
        <f t="shared" ref="O2305:O2309" si="444">C2305-N2305</f>
        <v>2</v>
      </c>
      <c r="P2305" s="24">
        <f t="shared" ref="P2305:P2309" si="445">O2305/C2305</f>
        <v>0.13333333333333333</v>
      </c>
    </row>
    <row r="2306" spans="1:16" ht="9.75" customHeight="1">
      <c r="A2306" s="18"/>
      <c r="B2306" s="18" t="s">
        <v>102</v>
      </c>
      <c r="C2306" s="18">
        <v>3</v>
      </c>
      <c r="D2306" s="26">
        <v>2</v>
      </c>
      <c r="E2306" s="2">
        <v>1</v>
      </c>
      <c r="F2306" s="2">
        <v>1</v>
      </c>
      <c r="G2306" s="2">
        <v>1</v>
      </c>
      <c r="H2306" s="2">
        <v>1</v>
      </c>
      <c r="I2306" s="116">
        <v>0</v>
      </c>
      <c r="J2306" s="116">
        <v>0</v>
      </c>
      <c r="K2306" s="116">
        <v>0</v>
      </c>
      <c r="L2306" s="116">
        <v>0</v>
      </c>
      <c r="M2306" s="147">
        <v>0</v>
      </c>
      <c r="N2306" s="26">
        <f t="shared" si="443"/>
        <v>0</v>
      </c>
      <c r="O2306" s="2">
        <f t="shared" si="444"/>
        <v>3</v>
      </c>
      <c r="P2306" s="24">
        <f t="shared" si="445"/>
        <v>1</v>
      </c>
    </row>
    <row r="2307" spans="1:16" ht="9.75" customHeight="1">
      <c r="A2307" s="18"/>
      <c r="B2307" s="18" t="s">
        <v>332</v>
      </c>
      <c r="C2307" s="18">
        <v>10</v>
      </c>
      <c r="D2307" s="26">
        <v>8</v>
      </c>
      <c r="E2307" s="2">
        <v>8</v>
      </c>
      <c r="F2307" s="2">
        <v>4</v>
      </c>
      <c r="G2307" s="2">
        <v>5</v>
      </c>
      <c r="H2307" s="2">
        <v>4</v>
      </c>
      <c r="I2307" s="116">
        <v>3</v>
      </c>
      <c r="J2307" s="116">
        <v>3</v>
      </c>
      <c r="K2307" s="116">
        <v>2</v>
      </c>
      <c r="L2307" s="116">
        <v>5</v>
      </c>
      <c r="M2307" s="147">
        <v>5</v>
      </c>
      <c r="N2307" s="26">
        <f t="shared" si="443"/>
        <v>2</v>
      </c>
      <c r="O2307" s="2">
        <f t="shared" si="444"/>
        <v>8</v>
      </c>
      <c r="P2307" s="24">
        <f t="shared" si="445"/>
        <v>0.8</v>
      </c>
    </row>
    <row r="2308" spans="1:16" ht="9.75" customHeight="1">
      <c r="A2308" s="18"/>
      <c r="B2308" s="18" t="s">
        <v>333</v>
      </c>
      <c r="C2308" s="18">
        <v>1</v>
      </c>
      <c r="D2308" s="26">
        <v>0</v>
      </c>
      <c r="E2308" s="2">
        <v>0</v>
      </c>
      <c r="F2308" s="2">
        <v>1</v>
      </c>
      <c r="G2308" s="2">
        <v>1</v>
      </c>
      <c r="H2308" s="2">
        <v>1</v>
      </c>
      <c r="I2308" s="116">
        <v>1</v>
      </c>
      <c r="J2308" s="116">
        <v>1</v>
      </c>
      <c r="K2308" s="116">
        <v>1</v>
      </c>
      <c r="L2308" s="116">
        <v>1</v>
      </c>
      <c r="M2308" s="147">
        <v>1</v>
      </c>
      <c r="N2308" s="26">
        <f t="shared" si="443"/>
        <v>0</v>
      </c>
      <c r="O2308" s="2">
        <f t="shared" si="444"/>
        <v>1</v>
      </c>
      <c r="P2308" s="24">
        <f t="shared" si="445"/>
        <v>1</v>
      </c>
    </row>
    <row r="2309" spans="1:16" ht="9.75" customHeight="1">
      <c r="A2309" s="18"/>
      <c r="B2309" s="18" t="s">
        <v>188</v>
      </c>
      <c r="C2309" s="18">
        <v>2</v>
      </c>
      <c r="D2309" s="26">
        <v>2</v>
      </c>
      <c r="E2309" s="2">
        <v>2</v>
      </c>
      <c r="F2309" s="2">
        <v>0</v>
      </c>
      <c r="G2309" s="2">
        <v>1</v>
      </c>
      <c r="H2309" s="2">
        <v>2</v>
      </c>
      <c r="I2309" s="116">
        <v>2</v>
      </c>
      <c r="J2309" s="116">
        <v>2</v>
      </c>
      <c r="K2309" s="116">
        <v>2</v>
      </c>
      <c r="L2309" s="116">
        <v>2</v>
      </c>
      <c r="M2309" s="147">
        <v>2</v>
      </c>
      <c r="N2309" s="26">
        <f t="shared" si="443"/>
        <v>0</v>
      </c>
      <c r="O2309" s="2">
        <f t="shared" si="444"/>
        <v>2</v>
      </c>
      <c r="P2309" s="24">
        <f t="shared" si="445"/>
        <v>1</v>
      </c>
    </row>
    <row r="2310" spans="1:16" ht="9.75" customHeight="1">
      <c r="A2310" s="18"/>
      <c r="B2310" s="18" t="s">
        <v>104</v>
      </c>
      <c r="C2310" s="18"/>
      <c r="D2310" s="26"/>
      <c r="E2310" s="2"/>
      <c r="F2310" s="2"/>
      <c r="G2310" s="2"/>
      <c r="H2310" s="2"/>
      <c r="I2310" s="2"/>
      <c r="J2310" s="2"/>
      <c r="K2310" s="2"/>
      <c r="L2310" s="2"/>
      <c r="M2310" s="27"/>
      <c r="N2310" s="26"/>
      <c r="O2310" s="2"/>
      <c r="P2310" s="24"/>
    </row>
    <row r="2311" spans="1:16" ht="9.75" customHeight="1">
      <c r="A2311" s="18"/>
      <c r="B2311" s="18" t="s">
        <v>104</v>
      </c>
      <c r="C2311" s="18"/>
      <c r="D2311" s="26"/>
      <c r="E2311" s="2"/>
      <c r="F2311" s="2"/>
      <c r="G2311" s="2"/>
      <c r="H2311" s="2"/>
      <c r="I2311" s="2"/>
      <c r="J2311" s="2"/>
      <c r="K2311" s="2"/>
      <c r="L2311" s="2"/>
      <c r="M2311" s="27"/>
      <c r="N2311" s="26"/>
      <c r="O2311" s="2"/>
      <c r="P2311" s="24"/>
    </row>
    <row r="2312" spans="1:16" ht="9.75" customHeight="1">
      <c r="A2312" s="18"/>
      <c r="B2312" s="18" t="s">
        <v>34</v>
      </c>
      <c r="C2312" s="18">
        <v>31</v>
      </c>
      <c r="D2312" s="26">
        <v>0</v>
      </c>
      <c r="E2312" s="2">
        <v>1</v>
      </c>
      <c r="F2312" s="2">
        <v>0</v>
      </c>
      <c r="G2312" s="2">
        <v>1</v>
      </c>
      <c r="H2312" s="2">
        <v>0</v>
      </c>
      <c r="I2312" s="116">
        <v>0</v>
      </c>
      <c r="J2312" s="116">
        <v>0</v>
      </c>
      <c r="K2312" s="116">
        <v>0</v>
      </c>
      <c r="L2312" s="116">
        <v>0</v>
      </c>
      <c r="M2312" s="147">
        <v>1</v>
      </c>
      <c r="N2312" s="26">
        <f>MIN(D2312:M2312)</f>
        <v>0</v>
      </c>
      <c r="O2312" s="2">
        <f>C2312-N2312</f>
        <v>31</v>
      </c>
      <c r="P2312" s="24">
        <f>O2312/C2312</f>
        <v>1</v>
      </c>
    </row>
    <row r="2313" spans="1:16" ht="9.75" customHeight="1">
      <c r="A2313" s="18"/>
      <c r="B2313" s="18" t="s">
        <v>35</v>
      </c>
      <c r="C2313" s="18"/>
      <c r="D2313" s="26"/>
      <c r="E2313" s="2"/>
      <c r="F2313" s="2"/>
      <c r="G2313" s="2"/>
      <c r="H2313" s="2"/>
      <c r="I2313" s="2"/>
      <c r="J2313" s="2"/>
      <c r="K2313" s="2"/>
      <c r="L2313" s="2"/>
      <c r="M2313" s="27"/>
      <c r="N2313" s="26"/>
      <c r="O2313" s="2"/>
      <c r="P2313" s="24"/>
    </row>
    <row r="2314" spans="1:16" ht="9.75" customHeight="1">
      <c r="A2314" s="18"/>
      <c r="B2314" s="18" t="s">
        <v>36</v>
      </c>
      <c r="C2314" s="18"/>
      <c r="D2314" s="26"/>
      <c r="E2314" s="2"/>
      <c r="F2314" s="2"/>
      <c r="G2314" s="2"/>
      <c r="H2314" s="2"/>
      <c r="I2314" s="2"/>
      <c r="J2314" s="2"/>
      <c r="K2314" s="2"/>
      <c r="L2314" s="2"/>
      <c r="M2314" s="27"/>
      <c r="N2314" s="26"/>
      <c r="O2314" s="2"/>
      <c r="P2314" s="24"/>
    </row>
    <row r="2315" spans="1:16" ht="9.75" customHeight="1">
      <c r="A2315" s="18"/>
      <c r="B2315" s="18" t="s">
        <v>37</v>
      </c>
      <c r="C2315" s="18"/>
      <c r="D2315" s="26"/>
      <c r="E2315" s="2"/>
      <c r="F2315" s="2"/>
      <c r="G2315" s="2"/>
      <c r="H2315" s="2"/>
      <c r="I2315" s="2"/>
      <c r="J2315" s="2"/>
      <c r="K2315" s="2"/>
      <c r="L2315" s="2"/>
      <c r="M2315" s="27"/>
      <c r="N2315" s="26"/>
      <c r="O2315" s="2"/>
      <c r="P2315" s="24"/>
    </row>
    <row r="2316" spans="1:16" ht="9.75" customHeight="1">
      <c r="A2316" s="32"/>
      <c r="B2316" s="70" t="s">
        <v>38</v>
      </c>
      <c r="C2316" s="70">
        <f t="shared" ref="C2316:M2316" si="446">SUM(C2300:C2315)</f>
        <v>134</v>
      </c>
      <c r="D2316" s="70">
        <f t="shared" si="446"/>
        <v>33</v>
      </c>
      <c r="E2316" s="71">
        <f t="shared" si="446"/>
        <v>29</v>
      </c>
      <c r="F2316" s="71">
        <f t="shared" si="446"/>
        <v>22</v>
      </c>
      <c r="G2316" s="71">
        <f t="shared" si="446"/>
        <v>26</v>
      </c>
      <c r="H2316" s="71">
        <f t="shared" si="446"/>
        <v>26</v>
      </c>
      <c r="I2316" s="71">
        <f t="shared" si="446"/>
        <v>21</v>
      </c>
      <c r="J2316" s="71">
        <f t="shared" si="446"/>
        <v>21</v>
      </c>
      <c r="K2316" s="71">
        <f t="shared" si="446"/>
        <v>24</v>
      </c>
      <c r="L2316" s="71">
        <f t="shared" si="446"/>
        <v>32</v>
      </c>
      <c r="M2316" s="93">
        <f t="shared" si="446"/>
        <v>40</v>
      </c>
      <c r="N2316" s="71">
        <f>MIN(D2316:M2316)</f>
        <v>21</v>
      </c>
      <c r="O2316" s="71">
        <f>C2316-N2316</f>
        <v>113</v>
      </c>
      <c r="P2316" s="40">
        <f>O2316/C2316</f>
        <v>0.84328358208955223</v>
      </c>
    </row>
    <row r="2317" spans="1:16" ht="9.75" customHeight="1">
      <c r="A2317" s="66" t="s">
        <v>334</v>
      </c>
      <c r="B2317" s="66" t="s">
        <v>23</v>
      </c>
      <c r="C2317" s="18"/>
      <c r="D2317" s="26"/>
      <c r="E2317" s="2"/>
      <c r="F2317" s="2"/>
      <c r="G2317" s="2"/>
      <c r="H2317" s="2"/>
      <c r="I2317" s="2"/>
      <c r="J2317" s="2"/>
      <c r="K2317" s="2"/>
      <c r="L2317" s="2"/>
      <c r="M2317" s="27"/>
      <c r="N2317" s="41"/>
      <c r="O2317" s="72"/>
      <c r="P2317" s="99"/>
    </row>
    <row r="2318" spans="1:16" ht="9.75" customHeight="1">
      <c r="A2318" s="18"/>
      <c r="B2318" s="18" t="s">
        <v>25</v>
      </c>
      <c r="C2318" s="18"/>
      <c r="D2318" s="26"/>
      <c r="E2318" s="2"/>
      <c r="F2318" s="2"/>
      <c r="G2318" s="2"/>
      <c r="H2318" s="2"/>
      <c r="I2318" s="2"/>
      <c r="J2318" s="2"/>
      <c r="K2318" s="2"/>
      <c r="L2318" s="2"/>
      <c r="M2318" s="27"/>
      <c r="N2318" s="26"/>
      <c r="O2318" s="2"/>
      <c r="P2318" s="24"/>
    </row>
    <row r="2319" spans="1:16" ht="9.75" customHeight="1">
      <c r="A2319" s="18"/>
      <c r="B2319" s="18" t="s">
        <v>27</v>
      </c>
      <c r="C2319" s="18"/>
      <c r="D2319" s="26"/>
      <c r="E2319" s="2"/>
      <c r="F2319" s="2"/>
      <c r="G2319" s="2"/>
      <c r="H2319" s="2"/>
      <c r="I2319" s="2"/>
      <c r="J2319" s="2"/>
      <c r="K2319" s="2"/>
      <c r="L2319" s="2"/>
      <c r="M2319" s="27"/>
      <c r="N2319" s="26"/>
      <c r="O2319" s="2"/>
      <c r="P2319" s="24"/>
    </row>
    <row r="2320" spans="1:16" ht="9.75" customHeight="1">
      <c r="A2320" s="18"/>
      <c r="B2320" s="18" t="s">
        <v>227</v>
      </c>
      <c r="C2320" s="18">
        <v>128</v>
      </c>
      <c r="D2320" s="26">
        <f>17+14</f>
        <v>31</v>
      </c>
      <c r="E2320" s="2">
        <v>9</v>
      </c>
      <c r="F2320" s="2">
        <v>0</v>
      </c>
      <c r="G2320" s="2">
        <v>4</v>
      </c>
      <c r="H2320" s="2">
        <v>4</v>
      </c>
      <c r="I2320" s="116">
        <v>0</v>
      </c>
      <c r="J2320" s="116">
        <v>0</v>
      </c>
      <c r="K2320" s="116">
        <v>20</v>
      </c>
      <c r="L2320" s="116">
        <v>23</v>
      </c>
      <c r="M2320" s="147">
        <v>29</v>
      </c>
      <c r="N2320" s="26">
        <f>MIN(D2320:M2320)</f>
        <v>0</v>
      </c>
      <c r="O2320" s="2">
        <f>C2320-N2320</f>
        <v>128</v>
      </c>
      <c r="P2320" s="24">
        <f>O2320/C2320</f>
        <v>1</v>
      </c>
    </row>
    <row r="2321" spans="1:16" ht="9.75" customHeight="1">
      <c r="A2321" s="18"/>
      <c r="B2321" s="18" t="s">
        <v>99</v>
      </c>
      <c r="C2321" s="18"/>
      <c r="D2321" s="26"/>
      <c r="E2321" s="2"/>
      <c r="F2321" s="2"/>
      <c r="G2321" s="2"/>
      <c r="H2321" s="2"/>
      <c r="I2321" s="2"/>
      <c r="J2321" s="2"/>
      <c r="K2321" s="2"/>
      <c r="L2321" s="2"/>
      <c r="M2321" s="27"/>
      <c r="N2321" s="26"/>
      <c r="O2321" s="2"/>
      <c r="P2321" s="24"/>
    </row>
    <row r="2322" spans="1:16" ht="9.75" customHeight="1">
      <c r="A2322" s="18"/>
      <c r="B2322" s="18" t="s">
        <v>32</v>
      </c>
      <c r="C2322" s="18"/>
      <c r="D2322" s="26"/>
      <c r="E2322" s="2"/>
      <c r="F2322" s="2"/>
      <c r="G2322" s="2"/>
      <c r="H2322" s="2"/>
      <c r="I2322" s="2"/>
      <c r="J2322" s="2"/>
      <c r="K2322" s="2"/>
      <c r="L2322" s="2"/>
      <c r="M2322" s="27"/>
      <c r="N2322" s="26"/>
      <c r="O2322" s="2"/>
      <c r="P2322" s="24"/>
    </row>
    <row r="2323" spans="1:16" ht="9.75" customHeight="1">
      <c r="A2323" s="18"/>
      <c r="B2323" s="18" t="s">
        <v>104</v>
      </c>
      <c r="C2323" s="18"/>
      <c r="D2323" s="26"/>
      <c r="E2323" s="2"/>
      <c r="F2323" s="2"/>
      <c r="G2323" s="2"/>
      <c r="H2323" s="2"/>
      <c r="I2323" s="2"/>
      <c r="J2323" s="2"/>
      <c r="K2323" s="2"/>
      <c r="L2323" s="2"/>
      <c r="M2323" s="27"/>
      <c r="N2323" s="26"/>
      <c r="O2323" s="2"/>
      <c r="P2323" s="24"/>
    </row>
    <row r="2324" spans="1:16" ht="9.75" customHeight="1">
      <c r="A2324" s="18"/>
      <c r="B2324" s="18" t="s">
        <v>104</v>
      </c>
      <c r="C2324" s="18"/>
      <c r="D2324" s="26"/>
      <c r="E2324" s="2"/>
      <c r="F2324" s="2"/>
      <c r="G2324" s="2"/>
      <c r="H2324" s="2"/>
      <c r="I2324" s="2"/>
      <c r="J2324" s="2"/>
      <c r="K2324" s="2"/>
      <c r="L2324" s="2"/>
      <c r="M2324" s="27"/>
      <c r="N2324" s="26"/>
      <c r="O2324" s="2"/>
      <c r="P2324" s="24"/>
    </row>
    <row r="2325" spans="1:16" ht="9.75" customHeight="1">
      <c r="A2325" s="18"/>
      <c r="B2325" s="18" t="s">
        <v>104</v>
      </c>
      <c r="C2325" s="18"/>
      <c r="D2325" s="26"/>
      <c r="E2325" s="2"/>
      <c r="F2325" s="2"/>
      <c r="G2325" s="2"/>
      <c r="H2325" s="2"/>
      <c r="I2325" s="2"/>
      <c r="J2325" s="2"/>
      <c r="K2325" s="2"/>
      <c r="L2325" s="2"/>
      <c r="M2325" s="27"/>
      <c r="N2325" s="26"/>
      <c r="O2325" s="2"/>
      <c r="P2325" s="24"/>
    </row>
    <row r="2326" spans="1:16" ht="9.75" customHeight="1">
      <c r="A2326" s="18"/>
      <c r="B2326" s="18" t="s">
        <v>104</v>
      </c>
      <c r="C2326" s="18"/>
      <c r="D2326" s="26"/>
      <c r="E2326" s="2"/>
      <c r="F2326" s="2"/>
      <c r="G2326" s="2"/>
      <c r="H2326" s="2"/>
      <c r="I2326" s="2"/>
      <c r="J2326" s="2"/>
      <c r="K2326" s="2"/>
      <c r="L2326" s="2"/>
      <c r="M2326" s="27"/>
      <c r="N2326" s="26"/>
      <c r="O2326" s="2"/>
      <c r="P2326" s="24"/>
    </row>
    <row r="2327" spans="1:16" ht="9.75" customHeight="1">
      <c r="A2327" s="18"/>
      <c r="B2327" s="18" t="s">
        <v>104</v>
      </c>
      <c r="C2327" s="18"/>
      <c r="D2327" s="26"/>
      <c r="E2327" s="2"/>
      <c r="F2327" s="2"/>
      <c r="G2327" s="2"/>
      <c r="H2327" s="2"/>
      <c r="I2327" s="2"/>
      <c r="J2327" s="2"/>
      <c r="K2327" s="2"/>
      <c r="L2327" s="2"/>
      <c r="M2327" s="27"/>
      <c r="N2327" s="26"/>
      <c r="O2327" s="2"/>
      <c r="P2327" s="24"/>
    </row>
    <row r="2328" spans="1:16" ht="9.75" customHeight="1">
      <c r="A2328" s="18"/>
      <c r="B2328" s="18" t="s">
        <v>104</v>
      </c>
      <c r="C2328" s="18"/>
      <c r="D2328" s="26"/>
      <c r="E2328" s="2"/>
      <c r="F2328" s="2"/>
      <c r="G2328" s="2"/>
      <c r="H2328" s="2"/>
      <c r="I2328" s="2"/>
      <c r="J2328" s="2"/>
      <c r="K2328" s="2"/>
      <c r="L2328" s="2"/>
      <c r="M2328" s="27"/>
      <c r="N2328" s="26"/>
      <c r="O2328" s="2"/>
      <c r="P2328" s="24"/>
    </row>
    <row r="2329" spans="1:16" ht="9.75" customHeight="1">
      <c r="A2329" s="18"/>
      <c r="B2329" s="18" t="s">
        <v>34</v>
      </c>
      <c r="C2329" s="18">
        <v>36</v>
      </c>
      <c r="D2329" s="26">
        <v>34</v>
      </c>
      <c r="E2329" s="2">
        <v>29</v>
      </c>
      <c r="F2329" s="2">
        <v>26</v>
      </c>
      <c r="G2329" s="2">
        <v>24</v>
      </c>
      <c r="H2329" s="2">
        <v>29</v>
      </c>
      <c r="I2329" s="2">
        <f>36-11</f>
        <v>25</v>
      </c>
      <c r="J2329" s="116">
        <v>25</v>
      </c>
      <c r="K2329" s="116">
        <v>24</v>
      </c>
      <c r="L2329" s="2">
        <f>C2329-15</f>
        <v>21</v>
      </c>
      <c r="M2329" s="147">
        <v>26</v>
      </c>
      <c r="N2329" s="26">
        <f>MIN(D2329:M2329)</f>
        <v>21</v>
      </c>
      <c r="O2329" s="2">
        <f>C2329-N2329</f>
        <v>15</v>
      </c>
      <c r="P2329" s="24">
        <f>O2329/C2329</f>
        <v>0.41666666666666669</v>
      </c>
    </row>
    <row r="2330" spans="1:16" ht="9.75" customHeight="1">
      <c r="A2330" s="18"/>
      <c r="B2330" s="18" t="s">
        <v>35</v>
      </c>
      <c r="C2330" s="18"/>
      <c r="D2330" s="26"/>
      <c r="E2330" s="2"/>
      <c r="F2330" s="2"/>
      <c r="G2330" s="2"/>
      <c r="H2330" s="2"/>
      <c r="I2330" s="2"/>
      <c r="J2330" s="2"/>
      <c r="K2330" s="2"/>
      <c r="L2330" s="2"/>
      <c r="M2330" s="27"/>
      <c r="N2330" s="26"/>
      <c r="O2330" s="2"/>
      <c r="P2330" s="24"/>
    </row>
    <row r="2331" spans="1:16" ht="9.75" customHeight="1">
      <c r="A2331" s="18"/>
      <c r="B2331" s="18" t="s">
        <v>36</v>
      </c>
      <c r="C2331" s="18"/>
      <c r="D2331" s="26"/>
      <c r="E2331" s="2"/>
      <c r="F2331" s="2"/>
      <c r="G2331" s="2"/>
      <c r="H2331" s="2"/>
      <c r="I2331" s="2"/>
      <c r="J2331" s="2"/>
      <c r="K2331" s="2"/>
      <c r="L2331" s="2"/>
      <c r="M2331" s="27"/>
      <c r="N2331" s="26"/>
      <c r="O2331" s="2"/>
      <c r="P2331" s="24"/>
    </row>
    <row r="2332" spans="1:16" ht="9.75" customHeight="1">
      <c r="A2332" s="18"/>
      <c r="B2332" s="18" t="s">
        <v>37</v>
      </c>
      <c r="C2332" s="18"/>
      <c r="D2332" s="26"/>
      <c r="E2332" s="2"/>
      <c r="F2332" s="2"/>
      <c r="G2332" s="2"/>
      <c r="H2332" s="2"/>
      <c r="I2332" s="2"/>
      <c r="J2332" s="2"/>
      <c r="K2332" s="2"/>
      <c r="L2332" s="2"/>
      <c r="M2332" s="27"/>
      <c r="N2332" s="26"/>
      <c r="O2332" s="2"/>
      <c r="P2332" s="24"/>
    </row>
    <row r="2333" spans="1:16" ht="9.75" customHeight="1">
      <c r="A2333" s="32"/>
      <c r="B2333" s="70" t="s">
        <v>38</v>
      </c>
      <c r="C2333" s="70">
        <f t="shared" ref="C2333:M2333" si="447">SUM(C2317:C2332)</f>
        <v>164</v>
      </c>
      <c r="D2333" s="70">
        <f t="shared" si="447"/>
        <v>65</v>
      </c>
      <c r="E2333" s="71">
        <f t="shared" si="447"/>
        <v>38</v>
      </c>
      <c r="F2333" s="71">
        <f t="shared" si="447"/>
        <v>26</v>
      </c>
      <c r="G2333" s="71">
        <f t="shared" si="447"/>
        <v>28</v>
      </c>
      <c r="H2333" s="71">
        <f t="shared" si="447"/>
        <v>33</v>
      </c>
      <c r="I2333" s="71">
        <f t="shared" si="447"/>
        <v>25</v>
      </c>
      <c r="J2333" s="71">
        <f t="shared" si="447"/>
        <v>25</v>
      </c>
      <c r="K2333" s="71">
        <f t="shared" si="447"/>
        <v>44</v>
      </c>
      <c r="L2333" s="71">
        <f t="shared" si="447"/>
        <v>44</v>
      </c>
      <c r="M2333" s="93">
        <f t="shared" si="447"/>
        <v>55</v>
      </c>
      <c r="N2333" s="71">
        <f t="shared" ref="N2333:N2334" si="448">MIN(D2333:M2333)</f>
        <v>25</v>
      </c>
      <c r="O2333" s="71">
        <f t="shared" ref="O2333:O2334" si="449">C2333-N2333</f>
        <v>139</v>
      </c>
      <c r="P2333" s="40">
        <f t="shared" ref="P2333:P2334" si="450">O2333/C2333</f>
        <v>0.84756097560975607</v>
      </c>
    </row>
    <row r="2334" spans="1:16" ht="9.75" customHeight="1">
      <c r="A2334" s="66" t="s">
        <v>335</v>
      </c>
      <c r="B2334" s="66" t="s">
        <v>23</v>
      </c>
      <c r="C2334" s="18">
        <v>4</v>
      </c>
      <c r="D2334" s="26">
        <v>0</v>
      </c>
      <c r="E2334" s="2">
        <v>0</v>
      </c>
      <c r="F2334" s="2">
        <v>0</v>
      </c>
      <c r="G2334" s="2">
        <v>0</v>
      </c>
      <c r="H2334" s="2">
        <v>0</v>
      </c>
      <c r="I2334" s="116">
        <v>0</v>
      </c>
      <c r="J2334" s="116">
        <v>0</v>
      </c>
      <c r="K2334" s="116">
        <v>0</v>
      </c>
      <c r="L2334" s="116">
        <v>0</v>
      </c>
      <c r="M2334" s="147">
        <v>0</v>
      </c>
      <c r="N2334" s="26">
        <f t="shared" si="448"/>
        <v>0</v>
      </c>
      <c r="O2334" s="2">
        <f t="shared" si="449"/>
        <v>4</v>
      </c>
      <c r="P2334" s="24">
        <f t="shared" si="450"/>
        <v>1</v>
      </c>
    </row>
    <row r="2335" spans="1:16" ht="9.75" customHeight="1">
      <c r="A2335" s="18"/>
      <c r="B2335" s="18" t="s">
        <v>25</v>
      </c>
      <c r="C2335" s="18"/>
      <c r="D2335" s="26"/>
      <c r="E2335" s="2"/>
      <c r="F2335" s="2"/>
      <c r="G2335" s="2"/>
      <c r="H2335" s="2"/>
      <c r="I2335" s="2"/>
      <c r="J2335" s="2"/>
      <c r="K2335" s="2"/>
      <c r="L2335" s="2"/>
      <c r="M2335" s="27"/>
      <c r="N2335" s="26"/>
      <c r="O2335" s="2"/>
      <c r="P2335" s="24"/>
    </row>
    <row r="2336" spans="1:16" ht="9.75" customHeight="1">
      <c r="A2336" s="18"/>
      <c r="B2336" s="18" t="s">
        <v>27</v>
      </c>
      <c r="C2336" s="18"/>
      <c r="D2336" s="26"/>
      <c r="E2336" s="2"/>
      <c r="F2336" s="2"/>
      <c r="G2336" s="2"/>
      <c r="H2336" s="2"/>
      <c r="I2336" s="2"/>
      <c r="J2336" s="2"/>
      <c r="K2336" s="2"/>
      <c r="L2336" s="2"/>
      <c r="M2336" s="27"/>
      <c r="N2336" s="26"/>
      <c r="O2336" s="2"/>
      <c r="P2336" s="24"/>
    </row>
    <row r="2337" spans="1:16" ht="9.75" customHeight="1">
      <c r="A2337" s="18"/>
      <c r="B2337" s="18" t="s">
        <v>227</v>
      </c>
      <c r="C2337" s="18">
        <v>64</v>
      </c>
      <c r="D2337" s="26">
        <v>25</v>
      </c>
      <c r="E2337" s="2">
        <v>22</v>
      </c>
      <c r="F2337" s="2">
        <v>21</v>
      </c>
      <c r="G2337" s="2">
        <v>20</v>
      </c>
      <c r="H2337" s="2">
        <v>18</v>
      </c>
      <c r="I2337" s="116">
        <v>28</v>
      </c>
      <c r="J2337" s="116">
        <v>27</v>
      </c>
      <c r="K2337" s="116">
        <v>30</v>
      </c>
      <c r="L2337" s="116">
        <v>25</v>
      </c>
      <c r="M2337" s="147">
        <v>31</v>
      </c>
      <c r="N2337" s="26">
        <f>MIN(D2337:M2337)</f>
        <v>18</v>
      </c>
      <c r="O2337" s="2">
        <f>C2337-N2337</f>
        <v>46</v>
      </c>
      <c r="P2337" s="24">
        <f>O2337/C2337</f>
        <v>0.71875</v>
      </c>
    </row>
    <row r="2338" spans="1:16" ht="9.75" customHeight="1">
      <c r="A2338" s="18"/>
      <c r="B2338" s="18" t="s">
        <v>99</v>
      </c>
      <c r="C2338" s="18"/>
      <c r="D2338" s="26"/>
      <c r="E2338" s="2"/>
      <c r="F2338" s="2"/>
      <c r="G2338" s="2"/>
      <c r="H2338" s="2"/>
      <c r="I2338" s="2"/>
      <c r="J2338" s="2"/>
      <c r="K2338" s="2"/>
      <c r="L2338" s="2"/>
      <c r="M2338" s="27"/>
      <c r="N2338" s="26"/>
      <c r="O2338" s="2"/>
      <c r="P2338" s="24"/>
    </row>
    <row r="2339" spans="1:16" ht="9.75" customHeight="1">
      <c r="A2339" s="18"/>
      <c r="B2339" s="18" t="s">
        <v>32</v>
      </c>
      <c r="C2339" s="18"/>
      <c r="D2339" s="26"/>
      <c r="E2339" s="2"/>
      <c r="F2339" s="2"/>
      <c r="G2339" s="2"/>
      <c r="H2339" s="2"/>
      <c r="I2339" s="2"/>
      <c r="J2339" s="2"/>
      <c r="K2339" s="2"/>
      <c r="L2339" s="2"/>
      <c r="M2339" s="27"/>
      <c r="N2339" s="26"/>
      <c r="O2339" s="2"/>
      <c r="P2339" s="24"/>
    </row>
    <row r="2340" spans="1:16" ht="9.75" customHeight="1">
      <c r="A2340" s="18"/>
      <c r="B2340" s="18" t="s">
        <v>102</v>
      </c>
      <c r="C2340" s="18">
        <v>10</v>
      </c>
      <c r="D2340" s="26">
        <v>6</v>
      </c>
      <c r="E2340" s="2">
        <v>4</v>
      </c>
      <c r="F2340" s="2">
        <v>5</v>
      </c>
      <c r="G2340" s="2">
        <v>5</v>
      </c>
      <c r="H2340" s="2">
        <v>5</v>
      </c>
      <c r="I2340" s="116">
        <v>6</v>
      </c>
      <c r="J2340" s="116">
        <v>6</v>
      </c>
      <c r="K2340" s="116">
        <v>6</v>
      </c>
      <c r="L2340" s="116">
        <v>6</v>
      </c>
      <c r="M2340" s="147">
        <v>6</v>
      </c>
      <c r="N2340" s="26">
        <f t="shared" ref="N2340:N2341" si="451">MIN(D2340:M2340)</f>
        <v>4</v>
      </c>
      <c r="O2340" s="2">
        <f t="shared" ref="O2340:O2341" si="452">C2340-N2340</f>
        <v>6</v>
      </c>
      <c r="P2340" s="24">
        <f t="shared" ref="P2340:P2341" si="453">O2340/C2340</f>
        <v>0.6</v>
      </c>
    </row>
    <row r="2341" spans="1:16" ht="9.75" customHeight="1">
      <c r="A2341" s="18"/>
      <c r="B2341" s="18" t="s">
        <v>333</v>
      </c>
      <c r="C2341" s="18">
        <v>6</v>
      </c>
      <c r="D2341" s="26">
        <v>5</v>
      </c>
      <c r="E2341" s="2">
        <v>3</v>
      </c>
      <c r="F2341" s="2">
        <v>3</v>
      </c>
      <c r="G2341" s="2">
        <v>5</v>
      </c>
      <c r="H2341" s="2">
        <v>3</v>
      </c>
      <c r="I2341" s="116">
        <v>5</v>
      </c>
      <c r="J2341" s="116">
        <v>5</v>
      </c>
      <c r="K2341" s="116">
        <v>4</v>
      </c>
      <c r="L2341" s="116">
        <v>4</v>
      </c>
      <c r="M2341" s="147">
        <v>4</v>
      </c>
      <c r="N2341" s="26">
        <f t="shared" si="451"/>
        <v>3</v>
      </c>
      <c r="O2341" s="2">
        <f t="shared" si="452"/>
        <v>3</v>
      </c>
      <c r="P2341" s="24">
        <f t="shared" si="453"/>
        <v>0.5</v>
      </c>
    </row>
    <row r="2342" spans="1:16" ht="9.75" customHeight="1">
      <c r="A2342" s="18"/>
      <c r="B2342" s="18" t="s">
        <v>336</v>
      </c>
      <c r="C2342" s="18">
        <v>1</v>
      </c>
      <c r="D2342" s="26">
        <v>1</v>
      </c>
      <c r="E2342" s="2">
        <v>1</v>
      </c>
      <c r="F2342" s="2">
        <v>1</v>
      </c>
      <c r="G2342" s="2">
        <v>1</v>
      </c>
      <c r="H2342" s="2">
        <v>1</v>
      </c>
      <c r="I2342" s="116">
        <v>1</v>
      </c>
      <c r="J2342" s="116">
        <v>1</v>
      </c>
      <c r="K2342" s="116">
        <v>1</v>
      </c>
      <c r="L2342" s="116">
        <v>1</v>
      </c>
      <c r="M2342" s="147">
        <v>1</v>
      </c>
      <c r="N2342" s="26"/>
      <c r="O2342" s="2"/>
      <c r="P2342" s="24"/>
    </row>
    <row r="2343" spans="1:16" ht="9.75" customHeight="1">
      <c r="A2343" s="18"/>
      <c r="B2343" s="18" t="s">
        <v>104</v>
      </c>
      <c r="C2343" s="18"/>
      <c r="D2343" s="26"/>
      <c r="E2343" s="2"/>
      <c r="F2343" s="2"/>
      <c r="G2343" s="2"/>
      <c r="H2343" s="2"/>
      <c r="I2343" s="2"/>
      <c r="J2343" s="2"/>
      <c r="K2343" s="2"/>
      <c r="L2343" s="2"/>
      <c r="M2343" s="27"/>
      <c r="N2343" s="26"/>
      <c r="O2343" s="2"/>
      <c r="P2343" s="24"/>
    </row>
    <row r="2344" spans="1:16" ht="9.75" customHeight="1">
      <c r="A2344" s="18"/>
      <c r="B2344" s="18" t="s">
        <v>104</v>
      </c>
      <c r="C2344" s="18"/>
      <c r="D2344" s="26"/>
      <c r="E2344" s="2"/>
      <c r="F2344" s="2"/>
      <c r="G2344" s="2"/>
      <c r="H2344" s="2"/>
      <c r="I2344" s="2"/>
      <c r="J2344" s="2"/>
      <c r="K2344" s="2"/>
      <c r="L2344" s="2"/>
      <c r="M2344" s="27"/>
      <c r="N2344" s="26"/>
      <c r="O2344" s="2"/>
      <c r="P2344" s="24"/>
    </row>
    <row r="2345" spans="1:16" ht="9.75" customHeight="1">
      <c r="A2345" s="18"/>
      <c r="B2345" s="18" t="s">
        <v>104</v>
      </c>
      <c r="C2345" s="18"/>
      <c r="D2345" s="26"/>
      <c r="E2345" s="2"/>
      <c r="F2345" s="2"/>
      <c r="G2345" s="2"/>
      <c r="H2345" s="2"/>
      <c r="I2345" s="2"/>
      <c r="J2345" s="2"/>
      <c r="K2345" s="2"/>
      <c r="L2345" s="2"/>
      <c r="M2345" s="27"/>
      <c r="N2345" s="26"/>
      <c r="O2345" s="2"/>
      <c r="P2345" s="24"/>
    </row>
    <row r="2346" spans="1:16" ht="9.75" customHeight="1">
      <c r="A2346" s="18"/>
      <c r="B2346" s="18" t="s">
        <v>34</v>
      </c>
      <c r="C2346" s="18">
        <v>58</v>
      </c>
      <c r="D2346" s="26">
        <v>37</v>
      </c>
      <c r="E2346" s="2">
        <v>26</v>
      </c>
      <c r="F2346" s="2">
        <v>20</v>
      </c>
      <c r="G2346" s="2">
        <v>22</v>
      </c>
      <c r="H2346" s="2">
        <v>21</v>
      </c>
      <c r="I2346" s="2">
        <f>C2346-35</f>
        <v>23</v>
      </c>
      <c r="J2346" s="2">
        <f>C2346-37</f>
        <v>21</v>
      </c>
      <c r="K2346" s="2">
        <f>C2346-31</f>
        <v>27</v>
      </c>
      <c r="L2346" s="2">
        <f>C2346-30</f>
        <v>28</v>
      </c>
      <c r="M2346" s="27">
        <f>C2346-35</f>
        <v>23</v>
      </c>
      <c r="N2346" s="26">
        <f>MIN(D2346:M2346)</f>
        <v>20</v>
      </c>
      <c r="O2346" s="2">
        <f>C2346-N2346</f>
        <v>38</v>
      </c>
      <c r="P2346" s="24">
        <f>O2346/C2346</f>
        <v>0.65517241379310343</v>
      </c>
    </row>
    <row r="2347" spans="1:16" ht="9.75" customHeight="1">
      <c r="A2347" s="18"/>
      <c r="B2347" s="18" t="s">
        <v>35</v>
      </c>
      <c r="C2347" s="18"/>
      <c r="D2347" s="26"/>
      <c r="E2347" s="2"/>
      <c r="F2347" s="2"/>
      <c r="G2347" s="2"/>
      <c r="H2347" s="2"/>
      <c r="I2347" s="2"/>
      <c r="J2347" s="2"/>
      <c r="K2347" s="2"/>
      <c r="L2347" s="2"/>
      <c r="M2347" s="27"/>
      <c r="N2347" s="26"/>
      <c r="O2347" s="2"/>
      <c r="P2347" s="24"/>
    </row>
    <row r="2348" spans="1:16" ht="9.75" customHeight="1">
      <c r="A2348" s="18"/>
      <c r="B2348" s="18" t="s">
        <v>36</v>
      </c>
      <c r="C2348" s="18"/>
      <c r="D2348" s="26"/>
      <c r="E2348" s="2"/>
      <c r="F2348" s="2"/>
      <c r="G2348" s="2"/>
      <c r="H2348" s="2"/>
      <c r="I2348" s="2"/>
      <c r="J2348" s="2"/>
      <c r="K2348" s="2"/>
      <c r="L2348" s="2"/>
      <c r="M2348" s="27"/>
      <c r="N2348" s="26"/>
      <c r="O2348" s="2"/>
      <c r="P2348" s="24"/>
    </row>
    <row r="2349" spans="1:16" ht="9.75" customHeight="1">
      <c r="A2349" s="18"/>
      <c r="B2349" s="18" t="s">
        <v>37</v>
      </c>
      <c r="C2349" s="18"/>
      <c r="D2349" s="26"/>
      <c r="E2349" s="2"/>
      <c r="F2349" s="2"/>
      <c r="G2349" s="2"/>
      <c r="H2349" s="2"/>
      <c r="I2349" s="2"/>
      <c r="J2349" s="2"/>
      <c r="K2349" s="2"/>
      <c r="L2349" s="2"/>
      <c r="M2349" s="27"/>
      <c r="N2349" s="26"/>
      <c r="O2349" s="2"/>
      <c r="P2349" s="24"/>
    </row>
    <row r="2350" spans="1:16" ht="9.75" customHeight="1">
      <c r="A2350" s="32"/>
      <c r="B2350" s="70" t="s">
        <v>38</v>
      </c>
      <c r="C2350" s="70">
        <f t="shared" ref="C2350:M2350" si="454">SUM(C2334:C2349)</f>
        <v>143</v>
      </c>
      <c r="D2350" s="70">
        <f t="shared" si="454"/>
        <v>74</v>
      </c>
      <c r="E2350" s="71">
        <f t="shared" si="454"/>
        <v>56</v>
      </c>
      <c r="F2350" s="71">
        <f t="shared" si="454"/>
        <v>50</v>
      </c>
      <c r="G2350" s="71">
        <f t="shared" si="454"/>
        <v>53</v>
      </c>
      <c r="H2350" s="71">
        <f t="shared" si="454"/>
        <v>48</v>
      </c>
      <c r="I2350" s="71">
        <f t="shared" si="454"/>
        <v>63</v>
      </c>
      <c r="J2350" s="71">
        <f t="shared" si="454"/>
        <v>60</v>
      </c>
      <c r="K2350" s="71">
        <f t="shared" si="454"/>
        <v>68</v>
      </c>
      <c r="L2350" s="71">
        <f t="shared" si="454"/>
        <v>64</v>
      </c>
      <c r="M2350" s="93">
        <f t="shared" si="454"/>
        <v>65</v>
      </c>
      <c r="N2350" s="71">
        <f t="shared" ref="N2350:N2351" si="455">MIN(D2350:M2350)</f>
        <v>48</v>
      </c>
      <c r="O2350" s="71">
        <f t="shared" ref="O2350:O2351" si="456">C2350-N2350</f>
        <v>95</v>
      </c>
      <c r="P2350" s="40">
        <f t="shared" ref="P2350:P2351" si="457">O2350/C2350</f>
        <v>0.66433566433566438</v>
      </c>
    </row>
    <row r="2351" spans="1:16" ht="9.75" customHeight="1">
      <c r="A2351" s="66" t="s">
        <v>337</v>
      </c>
      <c r="B2351" s="66" t="s">
        <v>23</v>
      </c>
      <c r="C2351" s="18">
        <v>17</v>
      </c>
      <c r="D2351" s="26">
        <v>0</v>
      </c>
      <c r="E2351" s="2">
        <v>0</v>
      </c>
      <c r="F2351" s="2">
        <v>0</v>
      </c>
      <c r="G2351" s="2">
        <v>1</v>
      </c>
      <c r="H2351" s="2">
        <v>1</v>
      </c>
      <c r="I2351" s="2">
        <v>5</v>
      </c>
      <c r="J2351" s="2">
        <v>5</v>
      </c>
      <c r="K2351" s="2">
        <v>6</v>
      </c>
      <c r="L2351" s="2">
        <v>7</v>
      </c>
      <c r="M2351" s="27">
        <v>10</v>
      </c>
      <c r="N2351" s="26">
        <f t="shared" si="455"/>
        <v>0</v>
      </c>
      <c r="O2351" s="2">
        <f t="shared" si="456"/>
        <v>17</v>
      </c>
      <c r="P2351" s="24">
        <f t="shared" si="457"/>
        <v>1</v>
      </c>
    </row>
    <row r="2352" spans="1:16" ht="9.75" customHeight="1">
      <c r="A2352" s="18"/>
      <c r="B2352" s="18" t="s">
        <v>25</v>
      </c>
      <c r="C2352" s="18"/>
      <c r="D2352" s="26"/>
      <c r="E2352" s="2"/>
      <c r="F2352" s="2"/>
      <c r="G2352" s="2"/>
      <c r="H2352" s="2"/>
      <c r="I2352" s="2"/>
      <c r="J2352" s="2"/>
      <c r="K2352" s="2"/>
      <c r="L2352" s="2"/>
      <c r="M2352" s="27"/>
      <c r="N2352" s="26"/>
      <c r="O2352" s="2"/>
      <c r="P2352" s="24"/>
    </row>
    <row r="2353" spans="1:16" ht="9.75" customHeight="1">
      <c r="A2353" s="18"/>
      <c r="B2353" s="18" t="s">
        <v>27</v>
      </c>
      <c r="C2353" s="18"/>
      <c r="D2353" s="26"/>
      <c r="E2353" s="2"/>
      <c r="F2353" s="2"/>
      <c r="G2353" s="2"/>
      <c r="H2353" s="2"/>
      <c r="I2353" s="2"/>
      <c r="J2353" s="2"/>
      <c r="K2353" s="2"/>
      <c r="L2353" s="2"/>
      <c r="M2353" s="27"/>
      <c r="N2353" s="26"/>
      <c r="O2353" s="2"/>
      <c r="P2353" s="24"/>
    </row>
    <row r="2354" spans="1:16" ht="9.75" customHeight="1">
      <c r="A2354" s="18"/>
      <c r="B2354" s="18" t="s">
        <v>227</v>
      </c>
      <c r="C2354" s="18">
        <v>155</v>
      </c>
      <c r="D2354" s="26">
        <f>C2354-24</f>
        <v>131</v>
      </c>
      <c r="E2354" s="2">
        <f>C2354-38</f>
        <v>117</v>
      </c>
      <c r="F2354" s="2">
        <f>C2354-35</f>
        <v>120</v>
      </c>
      <c r="G2354" s="2">
        <f>C2354-54</f>
        <v>101</v>
      </c>
      <c r="H2354" s="2">
        <f>C2354-33</f>
        <v>122</v>
      </c>
      <c r="I2354" s="2">
        <f>C2354-36</f>
        <v>119</v>
      </c>
      <c r="J2354" s="2">
        <f>C2354-38</f>
        <v>117</v>
      </c>
      <c r="K2354" s="2">
        <f>C2354-40</f>
        <v>115</v>
      </c>
      <c r="L2354" s="2">
        <f>C2354-35</f>
        <v>120</v>
      </c>
      <c r="M2354" s="27">
        <f>C2354-30</f>
        <v>125</v>
      </c>
      <c r="N2354" s="26">
        <f>MIN(D2354:M2354)</f>
        <v>101</v>
      </c>
      <c r="O2354" s="2">
        <f>C2354-N2354</f>
        <v>54</v>
      </c>
      <c r="P2354" s="24">
        <f>O2354/C2354</f>
        <v>0.34838709677419355</v>
      </c>
    </row>
    <row r="2355" spans="1:16" ht="9.75" customHeight="1">
      <c r="A2355" s="18"/>
      <c r="B2355" s="18" t="s">
        <v>99</v>
      </c>
      <c r="C2355" s="18"/>
      <c r="D2355" s="26"/>
      <c r="E2355" s="2"/>
      <c r="F2355" s="2"/>
      <c r="G2355" s="2"/>
      <c r="H2355" s="2"/>
      <c r="I2355" s="2"/>
      <c r="J2355" s="2"/>
      <c r="K2355" s="2"/>
      <c r="L2355" s="2"/>
      <c r="M2355" s="27"/>
      <c r="N2355" s="26"/>
      <c r="O2355" s="2"/>
      <c r="P2355" s="24"/>
    </row>
    <row r="2356" spans="1:16" ht="9.75" customHeight="1">
      <c r="A2356" s="18"/>
      <c r="B2356" s="18" t="s">
        <v>32</v>
      </c>
      <c r="C2356" s="18"/>
      <c r="D2356" s="26"/>
      <c r="E2356" s="2"/>
      <c r="F2356" s="2"/>
      <c r="G2356" s="2"/>
      <c r="H2356" s="2"/>
      <c r="I2356" s="2"/>
      <c r="J2356" s="2"/>
      <c r="K2356" s="2"/>
      <c r="L2356" s="2"/>
      <c r="M2356" s="27"/>
      <c r="N2356" s="26"/>
      <c r="O2356" s="2"/>
      <c r="P2356" s="24"/>
    </row>
    <row r="2357" spans="1:16" ht="9.75" customHeight="1">
      <c r="A2357" s="18"/>
      <c r="B2357" s="18" t="s">
        <v>104</v>
      </c>
      <c r="C2357" s="18"/>
      <c r="D2357" s="26"/>
      <c r="E2357" s="2"/>
      <c r="F2357" s="2"/>
      <c r="G2357" s="2"/>
      <c r="H2357" s="2"/>
      <c r="I2357" s="2"/>
      <c r="J2357" s="2"/>
      <c r="K2357" s="2"/>
      <c r="L2357" s="2"/>
      <c r="M2357" s="27"/>
      <c r="N2357" s="26"/>
      <c r="O2357" s="2"/>
      <c r="P2357" s="24"/>
    </row>
    <row r="2358" spans="1:16" ht="9.75" customHeight="1">
      <c r="A2358" s="18"/>
      <c r="B2358" s="18" t="s">
        <v>104</v>
      </c>
      <c r="C2358" s="18"/>
      <c r="D2358" s="26"/>
      <c r="E2358" s="2"/>
      <c r="F2358" s="2"/>
      <c r="G2358" s="2"/>
      <c r="H2358" s="2"/>
      <c r="I2358" s="2"/>
      <c r="J2358" s="2"/>
      <c r="K2358" s="2"/>
      <c r="L2358" s="2"/>
      <c r="M2358" s="27"/>
      <c r="N2358" s="26"/>
      <c r="O2358" s="2"/>
      <c r="P2358" s="24"/>
    </row>
    <row r="2359" spans="1:16" ht="9.75" customHeight="1">
      <c r="A2359" s="18"/>
      <c r="B2359" s="18" t="s">
        <v>104</v>
      </c>
      <c r="C2359" s="18"/>
      <c r="D2359" s="26"/>
      <c r="E2359" s="2"/>
      <c r="F2359" s="2"/>
      <c r="G2359" s="2"/>
      <c r="H2359" s="2"/>
      <c r="I2359" s="2"/>
      <c r="J2359" s="2"/>
      <c r="K2359" s="2"/>
      <c r="L2359" s="2"/>
      <c r="M2359" s="27"/>
      <c r="N2359" s="26"/>
      <c r="O2359" s="2"/>
      <c r="P2359" s="24"/>
    </row>
    <row r="2360" spans="1:16" ht="9.75" customHeight="1">
      <c r="A2360" s="18"/>
      <c r="B2360" s="18" t="s">
        <v>104</v>
      </c>
      <c r="C2360" s="18"/>
      <c r="D2360" s="26"/>
      <c r="E2360" s="2"/>
      <c r="F2360" s="2"/>
      <c r="G2360" s="2"/>
      <c r="H2360" s="2"/>
      <c r="I2360" s="2"/>
      <c r="J2360" s="2"/>
      <c r="K2360" s="2"/>
      <c r="L2360" s="2"/>
      <c r="M2360" s="27"/>
      <c r="N2360" s="26"/>
      <c r="O2360" s="2"/>
      <c r="P2360" s="24"/>
    </row>
    <row r="2361" spans="1:16" ht="9.75" customHeight="1">
      <c r="A2361" s="18"/>
      <c r="B2361" s="18" t="s">
        <v>104</v>
      </c>
      <c r="C2361" s="18"/>
      <c r="D2361" s="26"/>
      <c r="E2361" s="2"/>
      <c r="F2361" s="2"/>
      <c r="G2361" s="2"/>
      <c r="H2361" s="2"/>
      <c r="I2361" s="2"/>
      <c r="J2361" s="2"/>
      <c r="K2361" s="2"/>
      <c r="L2361" s="2"/>
      <c r="M2361" s="27"/>
      <c r="N2361" s="26"/>
      <c r="O2361" s="2"/>
      <c r="P2361" s="24"/>
    </row>
    <row r="2362" spans="1:16" ht="9.75" customHeight="1">
      <c r="A2362" s="18"/>
      <c r="B2362" s="18" t="s">
        <v>104</v>
      </c>
      <c r="C2362" s="18"/>
      <c r="D2362" s="26"/>
      <c r="E2362" s="2"/>
      <c r="F2362" s="2"/>
      <c r="G2362" s="2"/>
      <c r="H2362" s="2"/>
      <c r="I2362" s="2"/>
      <c r="J2362" s="2"/>
      <c r="K2362" s="2"/>
      <c r="L2362" s="2"/>
      <c r="M2362" s="27"/>
      <c r="N2362" s="26"/>
      <c r="O2362" s="2"/>
      <c r="P2362" s="24"/>
    </row>
    <row r="2363" spans="1:16" ht="9.75" customHeight="1">
      <c r="A2363" s="18"/>
      <c r="B2363" s="18" t="s">
        <v>34</v>
      </c>
      <c r="C2363" s="18">
        <v>10</v>
      </c>
      <c r="D2363" s="26">
        <v>8</v>
      </c>
      <c r="E2363" s="2">
        <v>8</v>
      </c>
      <c r="F2363" s="2">
        <v>8</v>
      </c>
      <c r="G2363" s="2">
        <v>7</v>
      </c>
      <c r="H2363" s="2">
        <v>6</v>
      </c>
      <c r="I2363" s="116">
        <v>6</v>
      </c>
      <c r="J2363" s="116">
        <v>6</v>
      </c>
      <c r="K2363" s="116">
        <v>6</v>
      </c>
      <c r="L2363" s="116">
        <v>7</v>
      </c>
      <c r="M2363" s="147">
        <v>6</v>
      </c>
      <c r="N2363" s="26">
        <f>MIN(D2363:M2363)</f>
        <v>6</v>
      </c>
      <c r="O2363" s="2">
        <f>C2363-N2363</f>
        <v>4</v>
      </c>
      <c r="P2363" s="24">
        <f>O2363/C2363</f>
        <v>0.4</v>
      </c>
    </row>
    <row r="2364" spans="1:16" ht="9.75" customHeight="1">
      <c r="A2364" s="18"/>
      <c r="B2364" s="18" t="s">
        <v>35</v>
      </c>
      <c r="C2364" s="18"/>
      <c r="D2364" s="26"/>
      <c r="E2364" s="2"/>
      <c r="F2364" s="2"/>
      <c r="G2364" s="2"/>
      <c r="H2364" s="2"/>
      <c r="I2364" s="2"/>
      <c r="J2364" s="2"/>
      <c r="K2364" s="2"/>
      <c r="L2364" s="2"/>
      <c r="M2364" s="27"/>
      <c r="N2364" s="26"/>
      <c r="O2364" s="2"/>
      <c r="P2364" s="24"/>
    </row>
    <row r="2365" spans="1:16" ht="9.75" customHeight="1">
      <c r="A2365" s="18"/>
      <c r="B2365" s="18" t="s">
        <v>36</v>
      </c>
      <c r="C2365" s="18"/>
      <c r="D2365" s="26"/>
      <c r="E2365" s="2"/>
      <c r="F2365" s="2"/>
      <c r="G2365" s="2"/>
      <c r="H2365" s="2"/>
      <c r="I2365" s="2"/>
      <c r="J2365" s="2"/>
      <c r="K2365" s="2"/>
      <c r="L2365" s="2"/>
      <c r="M2365" s="27"/>
      <c r="N2365" s="26"/>
      <c r="O2365" s="2"/>
      <c r="P2365" s="24"/>
    </row>
    <row r="2366" spans="1:16" ht="9.75" customHeight="1">
      <c r="A2366" s="18"/>
      <c r="B2366" s="18" t="s">
        <v>37</v>
      </c>
      <c r="C2366" s="18"/>
      <c r="D2366" s="26"/>
      <c r="E2366" s="2"/>
      <c r="F2366" s="2"/>
      <c r="G2366" s="2"/>
      <c r="H2366" s="2"/>
      <c r="I2366" s="2"/>
      <c r="J2366" s="2"/>
      <c r="K2366" s="2"/>
      <c r="L2366" s="2"/>
      <c r="M2366" s="27"/>
      <c r="N2366" s="26"/>
      <c r="O2366" s="2"/>
      <c r="P2366" s="24"/>
    </row>
    <row r="2367" spans="1:16" ht="9.75" customHeight="1">
      <c r="A2367" s="32"/>
      <c r="B2367" s="70" t="s">
        <v>38</v>
      </c>
      <c r="C2367" s="70">
        <f t="shared" ref="C2367:M2367" si="458">SUM(C2351:C2366)</f>
        <v>182</v>
      </c>
      <c r="D2367" s="70">
        <f t="shared" si="458"/>
        <v>139</v>
      </c>
      <c r="E2367" s="71">
        <f t="shared" si="458"/>
        <v>125</v>
      </c>
      <c r="F2367" s="71">
        <f t="shared" si="458"/>
        <v>128</v>
      </c>
      <c r="G2367" s="71">
        <f t="shared" si="458"/>
        <v>109</v>
      </c>
      <c r="H2367" s="71">
        <f t="shared" si="458"/>
        <v>129</v>
      </c>
      <c r="I2367" s="71">
        <f t="shared" si="458"/>
        <v>130</v>
      </c>
      <c r="J2367" s="71">
        <f t="shared" si="458"/>
        <v>128</v>
      </c>
      <c r="K2367" s="71">
        <f t="shared" si="458"/>
        <v>127</v>
      </c>
      <c r="L2367" s="71">
        <f t="shared" si="458"/>
        <v>134</v>
      </c>
      <c r="M2367" s="93">
        <f t="shared" si="458"/>
        <v>141</v>
      </c>
      <c r="N2367" s="71">
        <f t="shared" ref="N2367:N2369" si="459">MIN(D2367:M2367)</f>
        <v>109</v>
      </c>
      <c r="O2367" s="71">
        <f t="shared" ref="O2367:O2369" si="460">C2367-N2367</f>
        <v>73</v>
      </c>
      <c r="P2367" s="40">
        <f t="shared" ref="P2367:P2369" si="461">O2367/C2367</f>
        <v>0.40109890109890112</v>
      </c>
    </row>
    <row r="2368" spans="1:16" ht="9.75" customHeight="1">
      <c r="A2368" s="66" t="s">
        <v>338</v>
      </c>
      <c r="B2368" s="66" t="s">
        <v>23</v>
      </c>
      <c r="C2368" s="18">
        <v>57</v>
      </c>
      <c r="D2368" s="26">
        <v>6</v>
      </c>
      <c r="E2368" s="2">
        <v>0</v>
      </c>
      <c r="F2368" s="2">
        <v>1</v>
      </c>
      <c r="G2368" s="2">
        <v>1</v>
      </c>
      <c r="H2368" s="2">
        <v>2</v>
      </c>
      <c r="I2368" s="116">
        <v>10</v>
      </c>
      <c r="J2368" s="116">
        <v>15</v>
      </c>
      <c r="K2368" s="116">
        <v>16</v>
      </c>
      <c r="L2368" s="116">
        <v>17</v>
      </c>
      <c r="M2368" s="147">
        <v>18</v>
      </c>
      <c r="N2368" s="26">
        <f t="shared" si="459"/>
        <v>0</v>
      </c>
      <c r="O2368" s="2">
        <f t="shared" si="460"/>
        <v>57</v>
      </c>
      <c r="P2368" s="24">
        <f t="shared" si="461"/>
        <v>1</v>
      </c>
    </row>
    <row r="2369" spans="1:16" ht="9.75" customHeight="1">
      <c r="A2369" s="18"/>
      <c r="B2369" s="18" t="s">
        <v>25</v>
      </c>
      <c r="C2369" s="18">
        <v>103</v>
      </c>
      <c r="D2369" s="26">
        <v>0</v>
      </c>
      <c r="E2369" s="2">
        <v>0</v>
      </c>
      <c r="F2369" s="2">
        <v>0</v>
      </c>
      <c r="G2369" s="2">
        <v>0</v>
      </c>
      <c r="H2369" s="2">
        <v>0</v>
      </c>
      <c r="I2369" s="116">
        <v>0</v>
      </c>
      <c r="J2369" s="116">
        <v>0</v>
      </c>
      <c r="K2369" s="116">
        <v>0</v>
      </c>
      <c r="L2369" s="116">
        <v>0</v>
      </c>
      <c r="M2369" s="147">
        <v>0</v>
      </c>
      <c r="N2369" s="26">
        <f t="shared" si="459"/>
        <v>0</v>
      </c>
      <c r="O2369" s="2">
        <f t="shared" si="460"/>
        <v>103</v>
      </c>
      <c r="P2369" s="24">
        <f t="shared" si="461"/>
        <v>1</v>
      </c>
    </row>
    <row r="2370" spans="1:16" ht="9.75" customHeight="1">
      <c r="A2370" s="18"/>
      <c r="B2370" s="18" t="s">
        <v>27</v>
      </c>
      <c r="C2370" s="18"/>
      <c r="D2370" s="26"/>
      <c r="E2370" s="2"/>
      <c r="F2370" s="2"/>
      <c r="G2370" s="2"/>
      <c r="H2370" s="2"/>
      <c r="I2370" s="2"/>
      <c r="J2370" s="2"/>
      <c r="K2370" s="2"/>
      <c r="L2370" s="2"/>
      <c r="M2370" s="27"/>
      <c r="N2370" s="26"/>
      <c r="O2370" s="2"/>
      <c r="P2370" s="24"/>
    </row>
    <row r="2371" spans="1:16" ht="9.75" customHeight="1">
      <c r="A2371" s="18"/>
      <c r="B2371" s="18" t="s">
        <v>227</v>
      </c>
      <c r="C2371" s="18">
        <v>39</v>
      </c>
      <c r="D2371" s="26">
        <v>29</v>
      </c>
      <c r="E2371" s="2">
        <v>29</v>
      </c>
      <c r="F2371" s="2">
        <v>29</v>
      </c>
      <c r="G2371" s="2">
        <v>27</v>
      </c>
      <c r="H2371" s="2">
        <v>30</v>
      </c>
      <c r="I2371" s="116">
        <v>30</v>
      </c>
      <c r="J2371" s="116">
        <v>30</v>
      </c>
      <c r="K2371" s="116">
        <v>30</v>
      </c>
      <c r="L2371" s="116">
        <v>31</v>
      </c>
      <c r="M2371" s="147">
        <v>31</v>
      </c>
      <c r="N2371" s="26">
        <f>MIN(D2371:M2371)</f>
        <v>27</v>
      </c>
      <c r="O2371" s="2">
        <f>C2371-N2371</f>
        <v>12</v>
      </c>
      <c r="P2371" s="24">
        <f>O2371/C2371</f>
        <v>0.30769230769230771</v>
      </c>
    </row>
    <row r="2372" spans="1:16" ht="9.75" customHeight="1">
      <c r="A2372" s="18"/>
      <c r="B2372" s="18" t="s">
        <v>99</v>
      </c>
      <c r="C2372" s="18"/>
      <c r="D2372" s="26"/>
      <c r="E2372" s="2"/>
      <c r="F2372" s="2"/>
      <c r="G2372" s="2"/>
      <c r="H2372" s="2"/>
      <c r="I2372" s="2"/>
      <c r="J2372" s="2"/>
      <c r="K2372" s="2"/>
      <c r="L2372" s="2"/>
      <c r="M2372" s="27"/>
      <c r="N2372" s="26"/>
      <c r="O2372" s="2"/>
      <c r="P2372" s="24"/>
    </row>
    <row r="2373" spans="1:16" ht="9.75" customHeight="1">
      <c r="A2373" s="18"/>
      <c r="B2373" s="18" t="s">
        <v>32</v>
      </c>
      <c r="C2373" s="18"/>
      <c r="D2373" s="26"/>
      <c r="E2373" s="2"/>
      <c r="F2373" s="2"/>
      <c r="G2373" s="2"/>
      <c r="H2373" s="2"/>
      <c r="I2373" s="2"/>
      <c r="J2373" s="2"/>
      <c r="K2373" s="2"/>
      <c r="L2373" s="2"/>
      <c r="M2373" s="27"/>
      <c r="N2373" s="26"/>
      <c r="O2373" s="2"/>
      <c r="P2373" s="24"/>
    </row>
    <row r="2374" spans="1:16" ht="9.75" customHeight="1">
      <c r="A2374" s="18"/>
      <c r="B2374" s="18" t="s">
        <v>104</v>
      </c>
      <c r="C2374" s="18"/>
      <c r="D2374" s="26"/>
      <c r="E2374" s="2"/>
      <c r="F2374" s="2"/>
      <c r="G2374" s="2"/>
      <c r="H2374" s="2"/>
      <c r="I2374" s="2"/>
      <c r="J2374" s="2"/>
      <c r="K2374" s="2"/>
      <c r="L2374" s="2"/>
      <c r="M2374" s="27"/>
      <c r="N2374" s="26"/>
      <c r="O2374" s="2"/>
      <c r="P2374" s="24"/>
    </row>
    <row r="2375" spans="1:16" ht="9.75" customHeight="1">
      <c r="A2375" s="18"/>
      <c r="B2375" s="18" t="s">
        <v>104</v>
      </c>
      <c r="C2375" s="18"/>
      <c r="D2375" s="26"/>
      <c r="E2375" s="2"/>
      <c r="F2375" s="2"/>
      <c r="G2375" s="2"/>
      <c r="H2375" s="2"/>
      <c r="I2375" s="2"/>
      <c r="J2375" s="2"/>
      <c r="K2375" s="2"/>
      <c r="L2375" s="2"/>
      <c r="M2375" s="27"/>
      <c r="N2375" s="26"/>
      <c r="O2375" s="2"/>
      <c r="P2375" s="24"/>
    </row>
    <row r="2376" spans="1:16" ht="9.75" customHeight="1">
      <c r="A2376" s="18"/>
      <c r="B2376" s="18" t="s">
        <v>104</v>
      </c>
      <c r="C2376" s="18"/>
      <c r="D2376" s="26"/>
      <c r="E2376" s="2"/>
      <c r="F2376" s="2"/>
      <c r="G2376" s="2"/>
      <c r="H2376" s="2"/>
      <c r="I2376" s="2"/>
      <c r="J2376" s="2"/>
      <c r="K2376" s="2"/>
      <c r="L2376" s="2"/>
      <c r="M2376" s="27"/>
      <c r="N2376" s="26"/>
      <c r="O2376" s="2"/>
      <c r="P2376" s="24"/>
    </row>
    <row r="2377" spans="1:16" ht="9.75" customHeight="1">
      <c r="A2377" s="18"/>
      <c r="B2377" s="18" t="s">
        <v>104</v>
      </c>
      <c r="C2377" s="18"/>
      <c r="D2377" s="26"/>
      <c r="E2377" s="2"/>
      <c r="F2377" s="2"/>
      <c r="G2377" s="2"/>
      <c r="H2377" s="2"/>
      <c r="I2377" s="2"/>
      <c r="J2377" s="2"/>
      <c r="K2377" s="2"/>
      <c r="L2377" s="2"/>
      <c r="M2377" s="27"/>
      <c r="N2377" s="26"/>
      <c r="O2377" s="2"/>
      <c r="P2377" s="24"/>
    </row>
    <row r="2378" spans="1:16" ht="9.75" customHeight="1">
      <c r="A2378" s="18"/>
      <c r="B2378" s="18" t="s">
        <v>104</v>
      </c>
      <c r="C2378" s="18"/>
      <c r="D2378" s="26"/>
      <c r="E2378" s="2"/>
      <c r="F2378" s="2"/>
      <c r="G2378" s="2"/>
      <c r="H2378" s="2"/>
      <c r="I2378" s="2"/>
      <c r="J2378" s="2"/>
      <c r="K2378" s="2"/>
      <c r="L2378" s="2"/>
      <c r="M2378" s="27"/>
      <c r="N2378" s="26"/>
      <c r="O2378" s="2"/>
      <c r="P2378" s="24"/>
    </row>
    <row r="2379" spans="1:16" ht="9.75" customHeight="1">
      <c r="A2379" s="18"/>
      <c r="B2379" s="18" t="s">
        <v>104</v>
      </c>
      <c r="C2379" s="18"/>
      <c r="D2379" s="26"/>
      <c r="E2379" s="2"/>
      <c r="F2379" s="2"/>
      <c r="G2379" s="2"/>
      <c r="H2379" s="2"/>
      <c r="I2379" s="2"/>
      <c r="J2379" s="2"/>
      <c r="K2379" s="2"/>
      <c r="L2379" s="2"/>
      <c r="M2379" s="27"/>
      <c r="N2379" s="26"/>
      <c r="O2379" s="2"/>
      <c r="P2379" s="24"/>
    </row>
    <row r="2380" spans="1:16" ht="9.75" customHeight="1">
      <c r="A2380" s="18"/>
      <c r="B2380" s="18" t="s">
        <v>34</v>
      </c>
      <c r="C2380" s="18">
        <v>9</v>
      </c>
      <c r="D2380" s="26">
        <v>8</v>
      </c>
      <c r="E2380" s="2">
        <v>9</v>
      </c>
      <c r="F2380" s="2">
        <v>9</v>
      </c>
      <c r="G2380" s="2">
        <v>9</v>
      </c>
      <c r="H2380" s="2">
        <v>9</v>
      </c>
      <c r="I2380" s="116">
        <v>3</v>
      </c>
      <c r="J2380" s="116">
        <v>3</v>
      </c>
      <c r="K2380" s="116">
        <v>4</v>
      </c>
      <c r="L2380" s="116">
        <v>7</v>
      </c>
      <c r="M2380" s="147">
        <v>9</v>
      </c>
      <c r="N2380" s="26">
        <f>MIN(D2380:M2380)</f>
        <v>3</v>
      </c>
      <c r="O2380" s="2">
        <f>C2380-N2380</f>
        <v>6</v>
      </c>
      <c r="P2380" s="24">
        <f>O2380/C2380</f>
        <v>0.66666666666666663</v>
      </c>
    </row>
    <row r="2381" spans="1:16" ht="9.75" customHeight="1">
      <c r="A2381" s="18"/>
      <c r="B2381" s="18" t="s">
        <v>35</v>
      </c>
      <c r="C2381" s="18"/>
      <c r="D2381" s="26"/>
      <c r="E2381" s="2"/>
      <c r="F2381" s="2"/>
      <c r="G2381" s="2"/>
      <c r="H2381" s="2"/>
      <c r="I2381" s="2"/>
      <c r="J2381" s="2"/>
      <c r="K2381" s="2"/>
      <c r="L2381" s="2"/>
      <c r="M2381" s="27"/>
      <c r="N2381" s="26"/>
      <c r="O2381" s="2"/>
      <c r="P2381" s="24"/>
    </row>
    <row r="2382" spans="1:16" ht="9.75" customHeight="1">
      <c r="A2382" s="18"/>
      <c r="B2382" s="18" t="s">
        <v>36</v>
      </c>
      <c r="C2382" s="18"/>
      <c r="D2382" s="26"/>
      <c r="E2382" s="2"/>
      <c r="F2382" s="2"/>
      <c r="G2382" s="2"/>
      <c r="H2382" s="2"/>
      <c r="I2382" s="2"/>
      <c r="J2382" s="2"/>
      <c r="K2382" s="2"/>
      <c r="L2382" s="2"/>
      <c r="M2382" s="27"/>
      <c r="N2382" s="26"/>
      <c r="O2382" s="2"/>
      <c r="P2382" s="24"/>
    </row>
    <row r="2383" spans="1:16" ht="9.75" customHeight="1">
      <c r="A2383" s="18"/>
      <c r="B2383" s="18" t="s">
        <v>37</v>
      </c>
      <c r="C2383" s="18"/>
      <c r="D2383" s="26"/>
      <c r="E2383" s="2"/>
      <c r="F2383" s="2"/>
      <c r="G2383" s="2"/>
      <c r="H2383" s="2"/>
      <c r="I2383" s="2"/>
      <c r="J2383" s="2"/>
      <c r="K2383" s="2"/>
      <c r="L2383" s="2"/>
      <c r="M2383" s="27"/>
      <c r="N2383" s="26"/>
      <c r="O2383" s="2"/>
      <c r="P2383" s="24"/>
    </row>
    <row r="2384" spans="1:16" ht="9.75" customHeight="1">
      <c r="A2384" s="32"/>
      <c r="B2384" s="70" t="s">
        <v>38</v>
      </c>
      <c r="C2384" s="70">
        <f t="shared" ref="C2384:M2384" si="462">SUM(C2368:C2383)</f>
        <v>208</v>
      </c>
      <c r="D2384" s="70">
        <f t="shared" si="462"/>
        <v>43</v>
      </c>
      <c r="E2384" s="71">
        <f t="shared" si="462"/>
        <v>38</v>
      </c>
      <c r="F2384" s="71">
        <f t="shared" si="462"/>
        <v>39</v>
      </c>
      <c r="G2384" s="71">
        <f t="shared" si="462"/>
        <v>37</v>
      </c>
      <c r="H2384" s="71">
        <f t="shared" si="462"/>
        <v>41</v>
      </c>
      <c r="I2384" s="71">
        <f t="shared" si="462"/>
        <v>43</v>
      </c>
      <c r="J2384" s="71">
        <f t="shared" si="462"/>
        <v>48</v>
      </c>
      <c r="K2384" s="71">
        <f t="shared" si="462"/>
        <v>50</v>
      </c>
      <c r="L2384" s="71">
        <f t="shared" si="462"/>
        <v>55</v>
      </c>
      <c r="M2384" s="93">
        <f t="shared" si="462"/>
        <v>58</v>
      </c>
      <c r="N2384" s="71">
        <f t="shared" ref="N2384:N2386" si="463">MIN(D2384:M2384)</f>
        <v>37</v>
      </c>
      <c r="O2384" s="71">
        <f t="shared" ref="O2384:O2386" si="464">C2384-N2384</f>
        <v>171</v>
      </c>
      <c r="P2384" s="40">
        <f t="shared" ref="P2384:P2386" si="465">O2384/C2384</f>
        <v>0.82211538461538458</v>
      </c>
    </row>
    <row r="2385" spans="1:16" ht="9.75" customHeight="1">
      <c r="A2385" s="66" t="s">
        <v>339</v>
      </c>
      <c r="B2385" s="66" t="s">
        <v>23</v>
      </c>
      <c r="C2385" s="18">
        <v>117</v>
      </c>
      <c r="D2385" s="26">
        <v>47</v>
      </c>
      <c r="E2385" s="2">
        <v>4</v>
      </c>
      <c r="F2385" s="2">
        <v>1</v>
      </c>
      <c r="G2385" s="2">
        <v>0</v>
      </c>
      <c r="H2385" s="2">
        <v>4</v>
      </c>
      <c r="I2385" s="116">
        <v>8</v>
      </c>
      <c r="J2385" s="116">
        <v>20</v>
      </c>
      <c r="K2385" s="116">
        <v>25</v>
      </c>
      <c r="L2385" s="116">
        <v>40</v>
      </c>
      <c r="M2385" s="147">
        <v>49</v>
      </c>
      <c r="N2385" s="26">
        <f t="shared" si="463"/>
        <v>0</v>
      </c>
      <c r="O2385" s="2">
        <f t="shared" si="464"/>
        <v>117</v>
      </c>
      <c r="P2385" s="24">
        <f t="shared" si="465"/>
        <v>1</v>
      </c>
    </row>
    <row r="2386" spans="1:16" ht="9.75" customHeight="1">
      <c r="A2386" s="18"/>
      <c r="B2386" s="18" t="s">
        <v>25</v>
      </c>
      <c r="C2386" s="18">
        <v>100</v>
      </c>
      <c r="D2386" s="26">
        <v>29</v>
      </c>
      <c r="E2386" s="2">
        <v>18</v>
      </c>
      <c r="F2386" s="2">
        <v>11</v>
      </c>
      <c r="G2386" s="2">
        <v>10</v>
      </c>
      <c r="H2386" s="2">
        <v>7</v>
      </c>
      <c r="I2386" s="116">
        <v>0</v>
      </c>
      <c r="J2386" s="116">
        <v>0</v>
      </c>
      <c r="K2386" s="116">
        <v>15</v>
      </c>
      <c r="L2386" s="116">
        <v>25</v>
      </c>
      <c r="M2386" s="147">
        <v>31</v>
      </c>
      <c r="N2386" s="26">
        <f t="shared" si="463"/>
        <v>0</v>
      </c>
      <c r="O2386" s="2">
        <f t="shared" si="464"/>
        <v>100</v>
      </c>
      <c r="P2386" s="24">
        <f t="shared" si="465"/>
        <v>1</v>
      </c>
    </row>
    <row r="2387" spans="1:16" ht="9.75" customHeight="1">
      <c r="A2387" s="18"/>
      <c r="B2387" s="18" t="s">
        <v>27</v>
      </c>
      <c r="C2387" s="18"/>
      <c r="D2387" s="26"/>
      <c r="E2387" s="2"/>
      <c r="F2387" s="2"/>
      <c r="G2387" s="2"/>
      <c r="H2387" s="2"/>
      <c r="I2387" s="2"/>
      <c r="J2387" s="2"/>
      <c r="K2387" s="2"/>
      <c r="L2387" s="2"/>
      <c r="M2387" s="27"/>
      <c r="N2387" s="26"/>
      <c r="O2387" s="2"/>
      <c r="P2387" s="24"/>
    </row>
    <row r="2388" spans="1:16" ht="9.75" customHeight="1">
      <c r="A2388" s="18"/>
      <c r="B2388" s="18" t="s">
        <v>99</v>
      </c>
      <c r="C2388" s="18"/>
      <c r="D2388" s="26"/>
      <c r="E2388" s="2"/>
      <c r="F2388" s="2"/>
      <c r="G2388" s="2"/>
      <c r="H2388" s="2"/>
      <c r="I2388" s="2"/>
      <c r="J2388" s="2"/>
      <c r="K2388" s="2"/>
      <c r="L2388" s="2"/>
      <c r="M2388" s="27"/>
      <c r="N2388" s="26"/>
      <c r="O2388" s="2"/>
      <c r="P2388" s="24"/>
    </row>
    <row r="2389" spans="1:16" ht="9.75" customHeight="1">
      <c r="A2389" s="18"/>
      <c r="B2389" s="18" t="s">
        <v>99</v>
      </c>
      <c r="C2389" s="18"/>
      <c r="D2389" s="26"/>
      <c r="E2389" s="2"/>
      <c r="F2389" s="2"/>
      <c r="G2389" s="2"/>
      <c r="H2389" s="2"/>
      <c r="I2389" s="2"/>
      <c r="J2389" s="2"/>
      <c r="K2389" s="2"/>
      <c r="L2389" s="2"/>
      <c r="M2389" s="27"/>
      <c r="N2389" s="26"/>
      <c r="O2389" s="2"/>
      <c r="P2389" s="24"/>
    </row>
    <row r="2390" spans="1:16" ht="9.75" customHeight="1">
      <c r="A2390" s="18"/>
      <c r="B2390" s="18" t="s">
        <v>32</v>
      </c>
      <c r="C2390" s="18">
        <v>6</v>
      </c>
      <c r="D2390" s="26">
        <v>6</v>
      </c>
      <c r="E2390" s="2">
        <v>6</v>
      </c>
      <c r="F2390" s="2">
        <v>6</v>
      </c>
      <c r="G2390" s="2">
        <v>6</v>
      </c>
      <c r="H2390" s="2">
        <v>6</v>
      </c>
      <c r="I2390" s="116">
        <v>6</v>
      </c>
      <c r="J2390" s="116">
        <v>6</v>
      </c>
      <c r="K2390" s="116">
        <v>6</v>
      </c>
      <c r="L2390" s="116">
        <v>6</v>
      </c>
      <c r="M2390" s="147">
        <v>6</v>
      </c>
      <c r="N2390" s="26">
        <f>MIN(D2390:M2390)</f>
        <v>6</v>
      </c>
      <c r="O2390" s="2">
        <f>C2390-N2390</f>
        <v>0</v>
      </c>
      <c r="P2390" s="24">
        <f>O2390/C2390</f>
        <v>0</v>
      </c>
    </row>
    <row r="2391" spans="1:16" ht="9.75" customHeight="1">
      <c r="A2391" s="18"/>
      <c r="B2391" s="18" t="s">
        <v>104</v>
      </c>
      <c r="C2391" s="18"/>
      <c r="D2391" s="26"/>
      <c r="E2391" s="2"/>
      <c r="F2391" s="2"/>
      <c r="G2391" s="2"/>
      <c r="H2391" s="2"/>
      <c r="I2391" s="2"/>
      <c r="J2391" s="2"/>
      <c r="K2391" s="2"/>
      <c r="L2391" s="2"/>
      <c r="M2391" s="27"/>
      <c r="N2391" s="26"/>
      <c r="O2391" s="2"/>
      <c r="P2391" s="24"/>
    </row>
    <row r="2392" spans="1:16" ht="9.75" customHeight="1">
      <c r="A2392" s="18"/>
      <c r="B2392" s="18" t="s">
        <v>104</v>
      </c>
      <c r="C2392" s="18"/>
      <c r="D2392" s="26"/>
      <c r="E2392" s="2"/>
      <c r="F2392" s="2"/>
      <c r="G2392" s="2"/>
      <c r="H2392" s="2"/>
      <c r="I2392" s="2"/>
      <c r="J2392" s="2"/>
      <c r="K2392" s="2"/>
      <c r="L2392" s="2"/>
      <c r="M2392" s="27"/>
      <c r="N2392" s="26"/>
      <c r="O2392" s="2"/>
      <c r="P2392" s="24"/>
    </row>
    <row r="2393" spans="1:16" ht="9.75" customHeight="1">
      <c r="A2393" s="18"/>
      <c r="B2393" s="18" t="s">
        <v>104</v>
      </c>
      <c r="C2393" s="18"/>
      <c r="D2393" s="26"/>
      <c r="E2393" s="2"/>
      <c r="F2393" s="2"/>
      <c r="G2393" s="2"/>
      <c r="H2393" s="2"/>
      <c r="I2393" s="2"/>
      <c r="J2393" s="2"/>
      <c r="K2393" s="2"/>
      <c r="L2393" s="2"/>
      <c r="M2393" s="27"/>
      <c r="N2393" s="26"/>
      <c r="O2393" s="2"/>
      <c r="P2393" s="24"/>
    </row>
    <row r="2394" spans="1:16" ht="9.75" customHeight="1">
      <c r="A2394" s="18"/>
      <c r="B2394" s="18" t="s">
        <v>104</v>
      </c>
      <c r="C2394" s="18"/>
      <c r="D2394" s="26"/>
      <c r="E2394" s="2"/>
      <c r="F2394" s="2"/>
      <c r="G2394" s="2"/>
      <c r="H2394" s="2"/>
      <c r="I2394" s="2"/>
      <c r="J2394" s="2"/>
      <c r="K2394" s="2"/>
      <c r="L2394" s="2"/>
      <c r="M2394" s="27"/>
      <c r="N2394" s="26"/>
      <c r="O2394" s="2"/>
      <c r="P2394" s="24"/>
    </row>
    <row r="2395" spans="1:16" ht="9.75" customHeight="1">
      <c r="A2395" s="18"/>
      <c r="B2395" s="18" t="s">
        <v>104</v>
      </c>
      <c r="C2395" s="18"/>
      <c r="D2395" s="26"/>
      <c r="E2395" s="2"/>
      <c r="F2395" s="2"/>
      <c r="G2395" s="2"/>
      <c r="H2395" s="2"/>
      <c r="I2395" s="2"/>
      <c r="J2395" s="2"/>
      <c r="K2395" s="2"/>
      <c r="L2395" s="2"/>
      <c r="M2395" s="27"/>
      <c r="N2395" s="26"/>
      <c r="O2395" s="2"/>
      <c r="P2395" s="24"/>
    </row>
    <row r="2396" spans="1:16" ht="9.75" customHeight="1">
      <c r="A2396" s="18"/>
      <c r="B2396" s="18" t="s">
        <v>104</v>
      </c>
      <c r="C2396" s="18"/>
      <c r="D2396" s="26"/>
      <c r="E2396" s="2"/>
      <c r="F2396" s="2"/>
      <c r="G2396" s="2"/>
      <c r="H2396" s="2"/>
      <c r="I2396" s="2"/>
      <c r="J2396" s="2"/>
      <c r="K2396" s="2"/>
      <c r="L2396" s="2"/>
      <c r="M2396" s="27"/>
      <c r="N2396" s="26"/>
      <c r="O2396" s="2"/>
      <c r="P2396" s="24"/>
    </row>
    <row r="2397" spans="1:16" ht="9.75" customHeight="1">
      <c r="A2397" s="18"/>
      <c r="B2397" s="18" t="s">
        <v>34</v>
      </c>
      <c r="C2397" s="18"/>
      <c r="D2397" s="26"/>
      <c r="E2397" s="2"/>
      <c r="F2397" s="2"/>
      <c r="G2397" s="2"/>
      <c r="H2397" s="2"/>
      <c r="I2397" s="2"/>
      <c r="J2397" s="2"/>
      <c r="K2397" s="2"/>
      <c r="L2397" s="2"/>
      <c r="M2397" s="27"/>
      <c r="N2397" s="26"/>
      <c r="O2397" s="2"/>
      <c r="P2397" s="24"/>
    </row>
    <row r="2398" spans="1:16" ht="9.75" customHeight="1">
      <c r="A2398" s="18"/>
      <c r="B2398" s="18" t="s">
        <v>35</v>
      </c>
      <c r="C2398" s="18"/>
      <c r="D2398" s="26"/>
      <c r="E2398" s="2"/>
      <c r="F2398" s="2"/>
      <c r="G2398" s="2"/>
      <c r="H2398" s="2"/>
      <c r="I2398" s="2"/>
      <c r="J2398" s="2"/>
      <c r="K2398" s="2"/>
      <c r="L2398" s="2"/>
      <c r="M2398" s="27"/>
      <c r="N2398" s="26"/>
      <c r="O2398" s="2"/>
      <c r="P2398" s="24"/>
    </row>
    <row r="2399" spans="1:16" ht="9.75" customHeight="1">
      <c r="A2399" s="18"/>
      <c r="B2399" s="18" t="s">
        <v>36</v>
      </c>
      <c r="C2399" s="18"/>
      <c r="D2399" s="26"/>
      <c r="E2399" s="2"/>
      <c r="F2399" s="2"/>
      <c r="G2399" s="2"/>
      <c r="H2399" s="2"/>
      <c r="I2399" s="2"/>
      <c r="J2399" s="2"/>
      <c r="K2399" s="2"/>
      <c r="L2399" s="2"/>
      <c r="M2399" s="27"/>
      <c r="N2399" s="26"/>
      <c r="O2399" s="2"/>
      <c r="P2399" s="24"/>
    </row>
    <row r="2400" spans="1:16" ht="9.75" customHeight="1">
      <c r="A2400" s="18"/>
      <c r="B2400" s="18" t="s">
        <v>37</v>
      </c>
      <c r="C2400" s="18"/>
      <c r="D2400" s="26"/>
      <c r="E2400" s="2"/>
      <c r="F2400" s="2"/>
      <c r="G2400" s="2"/>
      <c r="H2400" s="2"/>
      <c r="I2400" s="2"/>
      <c r="J2400" s="2"/>
      <c r="K2400" s="2"/>
      <c r="L2400" s="2"/>
      <c r="M2400" s="27"/>
      <c r="N2400" s="26"/>
      <c r="O2400" s="2"/>
      <c r="P2400" s="24"/>
    </row>
    <row r="2401" spans="1:16" ht="9.75" customHeight="1">
      <c r="A2401" s="32"/>
      <c r="B2401" s="70" t="s">
        <v>38</v>
      </c>
      <c r="C2401" s="70">
        <f t="shared" ref="C2401:M2401" si="466">SUM(C2385:C2400)</f>
        <v>223</v>
      </c>
      <c r="D2401" s="70">
        <f t="shared" si="466"/>
        <v>82</v>
      </c>
      <c r="E2401" s="71">
        <f t="shared" si="466"/>
        <v>28</v>
      </c>
      <c r="F2401" s="71">
        <f t="shared" si="466"/>
        <v>18</v>
      </c>
      <c r="G2401" s="71">
        <f t="shared" si="466"/>
        <v>16</v>
      </c>
      <c r="H2401" s="71">
        <f t="shared" si="466"/>
        <v>17</v>
      </c>
      <c r="I2401" s="71">
        <f t="shared" si="466"/>
        <v>14</v>
      </c>
      <c r="J2401" s="71">
        <f t="shared" si="466"/>
        <v>26</v>
      </c>
      <c r="K2401" s="71">
        <f t="shared" si="466"/>
        <v>46</v>
      </c>
      <c r="L2401" s="71">
        <f t="shared" si="466"/>
        <v>71</v>
      </c>
      <c r="M2401" s="93">
        <f t="shared" si="466"/>
        <v>86</v>
      </c>
      <c r="N2401" s="71">
        <f>MIN(D2401:M2401)</f>
        <v>14</v>
      </c>
      <c r="O2401" s="71">
        <f>C2401-N2401</f>
        <v>209</v>
      </c>
      <c r="P2401" s="40">
        <f>O2401/C2401</f>
        <v>0.93721973094170408</v>
      </c>
    </row>
    <row r="2402" spans="1:16" ht="9.75" customHeight="1">
      <c r="A2402" s="66" t="s">
        <v>340</v>
      </c>
      <c r="B2402" s="66" t="s">
        <v>23</v>
      </c>
      <c r="C2402" s="18"/>
      <c r="D2402" s="26"/>
      <c r="E2402" s="2"/>
      <c r="F2402" s="2"/>
      <c r="G2402" s="2"/>
      <c r="H2402" s="2"/>
      <c r="I2402" s="2"/>
      <c r="J2402" s="2"/>
      <c r="K2402" s="2"/>
      <c r="L2402" s="2"/>
      <c r="M2402" s="27"/>
      <c r="N2402" s="26"/>
      <c r="O2402" s="2"/>
      <c r="P2402" s="24"/>
    </row>
    <row r="2403" spans="1:16" ht="9.75" customHeight="1">
      <c r="A2403" s="18"/>
      <c r="B2403" s="18" t="s">
        <v>25</v>
      </c>
      <c r="C2403" s="18">
        <v>222</v>
      </c>
      <c r="D2403" s="26">
        <f>C2403-63</f>
        <v>159</v>
      </c>
      <c r="E2403" s="2">
        <f>C2403-93</f>
        <v>129</v>
      </c>
      <c r="F2403" s="2">
        <f>C2403-102</f>
        <v>120</v>
      </c>
      <c r="G2403" s="2">
        <f>C2403-110</f>
        <v>112</v>
      </c>
      <c r="H2403" s="2">
        <f>C2403-113</f>
        <v>109</v>
      </c>
      <c r="I2403" s="116">
        <v>106</v>
      </c>
      <c r="J2403" s="116">
        <v>110</v>
      </c>
      <c r="K2403" s="116">
        <v>120</v>
      </c>
      <c r="L2403" s="116">
        <v>130</v>
      </c>
      <c r="M2403" s="147">
        <v>137</v>
      </c>
      <c r="N2403" s="26">
        <f>MIN(D2403:M2403)</f>
        <v>106</v>
      </c>
      <c r="O2403" s="2">
        <f>C2403-N2403</f>
        <v>116</v>
      </c>
      <c r="P2403" s="24">
        <f>O2403/C2403</f>
        <v>0.52252252252252251</v>
      </c>
    </row>
    <row r="2404" spans="1:16" ht="9.75" customHeight="1">
      <c r="A2404" s="18"/>
      <c r="B2404" s="18" t="s">
        <v>27</v>
      </c>
      <c r="C2404" s="18"/>
      <c r="D2404" s="26"/>
      <c r="E2404" s="2"/>
      <c r="F2404" s="2"/>
      <c r="G2404" s="2"/>
      <c r="H2404" s="2"/>
      <c r="I2404" s="2"/>
      <c r="J2404" s="2"/>
      <c r="K2404" s="2"/>
      <c r="L2404" s="2"/>
      <c r="M2404" s="27"/>
      <c r="N2404" s="26"/>
      <c r="O2404" s="2"/>
      <c r="P2404" s="24"/>
    </row>
    <row r="2405" spans="1:16" ht="9.75" customHeight="1">
      <c r="A2405" s="18"/>
      <c r="B2405" s="18" t="s">
        <v>341</v>
      </c>
      <c r="C2405" s="18"/>
      <c r="D2405" s="26"/>
      <c r="E2405" s="2"/>
      <c r="F2405" s="2"/>
      <c r="G2405" s="2"/>
      <c r="H2405" s="2"/>
      <c r="I2405" s="2"/>
      <c r="J2405" s="2"/>
      <c r="K2405" s="2"/>
      <c r="L2405" s="2"/>
      <c r="M2405" s="27"/>
      <c r="N2405" s="26"/>
      <c r="O2405" s="2"/>
      <c r="P2405" s="24"/>
    </row>
    <row r="2406" spans="1:16" ht="9.75" customHeight="1">
      <c r="A2406" s="18"/>
      <c r="B2406" s="18" t="s">
        <v>99</v>
      </c>
      <c r="C2406" s="18"/>
      <c r="D2406" s="26"/>
      <c r="E2406" s="2"/>
      <c r="F2406" s="2"/>
      <c r="G2406" s="2"/>
      <c r="H2406" s="2"/>
      <c r="I2406" s="2"/>
      <c r="J2406" s="2"/>
      <c r="K2406" s="2"/>
      <c r="L2406" s="2"/>
      <c r="M2406" s="27"/>
      <c r="N2406" s="26"/>
      <c r="O2406" s="2"/>
      <c r="P2406" s="24"/>
    </row>
    <row r="2407" spans="1:16" ht="9.75" customHeight="1">
      <c r="A2407" s="18"/>
      <c r="B2407" s="18" t="s">
        <v>32</v>
      </c>
      <c r="C2407" s="18"/>
      <c r="D2407" s="26"/>
      <c r="E2407" s="2"/>
      <c r="F2407" s="2"/>
      <c r="G2407" s="2"/>
      <c r="H2407" s="2"/>
      <c r="I2407" s="2"/>
      <c r="J2407" s="2"/>
      <c r="K2407" s="2"/>
      <c r="L2407" s="2"/>
      <c r="M2407" s="27"/>
      <c r="N2407" s="26"/>
      <c r="O2407" s="2"/>
      <c r="P2407" s="24"/>
    </row>
    <row r="2408" spans="1:16" ht="9.75" customHeight="1">
      <c r="A2408" s="18"/>
      <c r="B2408" s="18" t="s">
        <v>342</v>
      </c>
      <c r="C2408" s="18">
        <v>2</v>
      </c>
      <c r="D2408" s="26">
        <v>1</v>
      </c>
      <c r="E2408" s="2">
        <v>1</v>
      </c>
      <c r="F2408" s="2">
        <v>1</v>
      </c>
      <c r="G2408" s="2">
        <v>1</v>
      </c>
      <c r="H2408" s="2">
        <v>1</v>
      </c>
      <c r="I2408" s="116">
        <v>0</v>
      </c>
      <c r="J2408" s="116">
        <v>0</v>
      </c>
      <c r="K2408" s="116">
        <v>0</v>
      </c>
      <c r="L2408" s="116">
        <v>0</v>
      </c>
      <c r="M2408" s="147">
        <v>0</v>
      </c>
      <c r="N2408" s="26">
        <f>MIN(D2408:M2408)</f>
        <v>0</v>
      </c>
      <c r="O2408" s="2">
        <f>C2408-N2408</f>
        <v>2</v>
      </c>
      <c r="P2408" s="24">
        <f>O2408/C2408</f>
        <v>1</v>
      </c>
    </row>
    <row r="2409" spans="1:16" ht="9.75" customHeight="1">
      <c r="A2409" s="18"/>
      <c r="B2409" s="18" t="s">
        <v>104</v>
      </c>
      <c r="C2409" s="18"/>
      <c r="D2409" s="26"/>
      <c r="E2409" s="2"/>
      <c r="F2409" s="2"/>
      <c r="G2409" s="2"/>
      <c r="H2409" s="2"/>
      <c r="I2409" s="2"/>
      <c r="J2409" s="2"/>
      <c r="K2409" s="2"/>
      <c r="L2409" s="2"/>
      <c r="M2409" s="27"/>
      <c r="N2409" s="26"/>
      <c r="O2409" s="2"/>
      <c r="P2409" s="24"/>
    </row>
    <row r="2410" spans="1:16" ht="9.75" customHeight="1">
      <c r="A2410" s="18"/>
      <c r="B2410" s="18" t="s">
        <v>104</v>
      </c>
      <c r="C2410" s="18"/>
      <c r="D2410" s="26"/>
      <c r="E2410" s="2"/>
      <c r="F2410" s="2"/>
      <c r="G2410" s="2"/>
      <c r="H2410" s="2"/>
      <c r="I2410" s="2"/>
      <c r="J2410" s="2"/>
      <c r="K2410" s="2"/>
      <c r="L2410" s="2"/>
      <c r="M2410" s="27"/>
      <c r="N2410" s="26"/>
      <c r="O2410" s="2"/>
      <c r="P2410" s="24"/>
    </row>
    <row r="2411" spans="1:16" ht="9.75" customHeight="1">
      <c r="A2411" s="18"/>
      <c r="B2411" s="18" t="s">
        <v>104</v>
      </c>
      <c r="C2411" s="18"/>
      <c r="D2411" s="26"/>
      <c r="E2411" s="2"/>
      <c r="F2411" s="2"/>
      <c r="G2411" s="2"/>
      <c r="H2411" s="2"/>
      <c r="I2411" s="2"/>
      <c r="J2411" s="2"/>
      <c r="K2411" s="2"/>
      <c r="L2411" s="2"/>
      <c r="M2411" s="27"/>
      <c r="N2411" s="26"/>
      <c r="O2411" s="2"/>
      <c r="P2411" s="24"/>
    </row>
    <row r="2412" spans="1:16" ht="9.75" customHeight="1">
      <c r="A2412" s="18"/>
      <c r="B2412" s="18" t="s">
        <v>104</v>
      </c>
      <c r="C2412" s="18"/>
      <c r="D2412" s="26"/>
      <c r="E2412" s="2"/>
      <c r="F2412" s="2"/>
      <c r="G2412" s="2"/>
      <c r="H2412" s="2"/>
      <c r="I2412" s="2"/>
      <c r="J2412" s="2"/>
      <c r="K2412" s="2"/>
      <c r="L2412" s="2"/>
      <c r="M2412" s="27"/>
      <c r="N2412" s="26"/>
      <c r="O2412" s="2"/>
      <c r="P2412" s="24"/>
    </row>
    <row r="2413" spans="1:16" ht="9.75" customHeight="1">
      <c r="A2413" s="18"/>
      <c r="B2413" s="18" t="s">
        <v>104</v>
      </c>
      <c r="C2413" s="18"/>
      <c r="D2413" s="26"/>
      <c r="E2413" s="2"/>
      <c r="F2413" s="2"/>
      <c r="G2413" s="2"/>
      <c r="H2413" s="2"/>
      <c r="I2413" s="2"/>
      <c r="J2413" s="2"/>
      <c r="K2413" s="2"/>
      <c r="L2413" s="2"/>
      <c r="M2413" s="27"/>
      <c r="N2413" s="26"/>
      <c r="O2413" s="2"/>
      <c r="P2413" s="24"/>
    </row>
    <row r="2414" spans="1:16" ht="9.75" customHeight="1">
      <c r="A2414" s="18"/>
      <c r="B2414" s="18" t="s">
        <v>34</v>
      </c>
      <c r="C2414" s="18"/>
      <c r="D2414" s="26"/>
      <c r="E2414" s="2"/>
      <c r="F2414" s="2"/>
      <c r="G2414" s="2"/>
      <c r="H2414" s="2"/>
      <c r="I2414" s="2"/>
      <c r="J2414" s="2"/>
      <c r="K2414" s="2"/>
      <c r="L2414" s="2"/>
      <c r="M2414" s="27"/>
      <c r="N2414" s="26"/>
      <c r="O2414" s="2"/>
      <c r="P2414" s="24"/>
    </row>
    <row r="2415" spans="1:16" ht="9.75" customHeight="1">
      <c r="A2415" s="18"/>
      <c r="B2415" s="18" t="s">
        <v>35</v>
      </c>
      <c r="C2415" s="18"/>
      <c r="D2415" s="26"/>
      <c r="E2415" s="2"/>
      <c r="F2415" s="2"/>
      <c r="G2415" s="2"/>
      <c r="H2415" s="2"/>
      <c r="I2415" s="2"/>
      <c r="J2415" s="2"/>
      <c r="K2415" s="2"/>
      <c r="L2415" s="2"/>
      <c r="M2415" s="27"/>
      <c r="N2415" s="26"/>
      <c r="O2415" s="2"/>
      <c r="P2415" s="24"/>
    </row>
    <row r="2416" spans="1:16" ht="9.75" customHeight="1">
      <c r="A2416" s="18"/>
      <c r="B2416" s="18" t="s">
        <v>36</v>
      </c>
      <c r="C2416" s="18"/>
      <c r="D2416" s="26"/>
      <c r="E2416" s="2"/>
      <c r="F2416" s="2"/>
      <c r="G2416" s="2"/>
      <c r="H2416" s="2"/>
      <c r="I2416" s="2"/>
      <c r="J2416" s="2"/>
      <c r="K2416" s="2"/>
      <c r="L2416" s="2"/>
      <c r="M2416" s="27"/>
      <c r="N2416" s="26"/>
      <c r="O2416" s="2"/>
      <c r="P2416" s="24"/>
    </row>
    <row r="2417" spans="1:16" ht="9.75" customHeight="1">
      <c r="A2417" s="18"/>
      <c r="B2417" s="18" t="s">
        <v>37</v>
      </c>
      <c r="C2417" s="18"/>
      <c r="D2417" s="26"/>
      <c r="E2417" s="2"/>
      <c r="F2417" s="2"/>
      <c r="G2417" s="2"/>
      <c r="H2417" s="2"/>
      <c r="I2417" s="2"/>
      <c r="J2417" s="2"/>
      <c r="K2417" s="2"/>
      <c r="L2417" s="2"/>
      <c r="M2417" s="27"/>
      <c r="N2417" s="26"/>
      <c r="O2417" s="2"/>
      <c r="P2417" s="24"/>
    </row>
    <row r="2418" spans="1:16" ht="9.75" customHeight="1">
      <c r="A2418" s="32"/>
      <c r="B2418" s="70" t="s">
        <v>38</v>
      </c>
      <c r="C2418" s="70">
        <f t="shared" ref="C2418:M2418" si="467">SUM(C2402:C2417)</f>
        <v>224</v>
      </c>
      <c r="D2418" s="70">
        <f t="shared" si="467"/>
        <v>160</v>
      </c>
      <c r="E2418" s="71">
        <f t="shared" si="467"/>
        <v>130</v>
      </c>
      <c r="F2418" s="71">
        <f t="shared" si="467"/>
        <v>121</v>
      </c>
      <c r="G2418" s="71">
        <f t="shared" si="467"/>
        <v>113</v>
      </c>
      <c r="H2418" s="71">
        <f t="shared" si="467"/>
        <v>110</v>
      </c>
      <c r="I2418" s="71">
        <f t="shared" si="467"/>
        <v>106</v>
      </c>
      <c r="J2418" s="71">
        <f t="shared" si="467"/>
        <v>110</v>
      </c>
      <c r="K2418" s="71">
        <f t="shared" si="467"/>
        <v>120</v>
      </c>
      <c r="L2418" s="71">
        <f t="shared" si="467"/>
        <v>130</v>
      </c>
      <c r="M2418" s="93">
        <f t="shared" si="467"/>
        <v>137</v>
      </c>
      <c r="N2418" s="71">
        <f>MIN(D2418:M2418)</f>
        <v>106</v>
      </c>
      <c r="O2418" s="71">
        <f>C2418-N2418</f>
        <v>118</v>
      </c>
      <c r="P2418" s="40">
        <f>O2418/C2418</f>
        <v>0.5267857142857143</v>
      </c>
    </row>
    <row r="2419" spans="1:16" ht="9.75" customHeight="1">
      <c r="A2419" s="66" t="s">
        <v>343</v>
      </c>
      <c r="B2419" s="66" t="s">
        <v>23</v>
      </c>
      <c r="C2419" s="18"/>
      <c r="D2419" s="26"/>
      <c r="E2419" s="2"/>
      <c r="F2419" s="2"/>
      <c r="G2419" s="2"/>
      <c r="H2419" s="2"/>
      <c r="I2419" s="2"/>
      <c r="J2419" s="2"/>
      <c r="K2419" s="2"/>
      <c r="L2419" s="2"/>
      <c r="M2419" s="27"/>
      <c r="N2419" s="41"/>
      <c r="O2419" s="72"/>
      <c r="P2419" s="99"/>
    </row>
    <row r="2420" spans="1:16" ht="9.75" customHeight="1">
      <c r="A2420" s="18"/>
      <c r="B2420" s="18" t="s">
        <v>25</v>
      </c>
      <c r="C2420" s="26">
        <v>131</v>
      </c>
      <c r="D2420" s="26">
        <v>126</v>
      </c>
      <c r="E2420" s="2">
        <v>123</v>
      </c>
      <c r="F2420" s="2">
        <v>121</v>
      </c>
      <c r="G2420" s="2">
        <v>120</v>
      </c>
      <c r="H2420" s="2">
        <v>120</v>
      </c>
      <c r="I2420" s="2">
        <f>C2420-14</f>
        <v>117</v>
      </c>
      <c r="J2420" s="2">
        <f>C2420-15</f>
        <v>116</v>
      </c>
      <c r="K2420" s="2">
        <f>C2420-12</f>
        <v>119</v>
      </c>
      <c r="L2420" s="2">
        <f>C2420-10</f>
        <v>121</v>
      </c>
      <c r="M2420" s="27">
        <f>C2420-5</f>
        <v>126</v>
      </c>
      <c r="N2420" s="26">
        <f>MIN(D2420:M2420)</f>
        <v>116</v>
      </c>
      <c r="O2420" s="2">
        <f>C2420-N2420</f>
        <v>15</v>
      </c>
      <c r="P2420" s="24">
        <f>O2420/C2420</f>
        <v>0.11450381679389313</v>
      </c>
    </row>
    <row r="2421" spans="1:16" ht="9.75" customHeight="1">
      <c r="A2421" s="18"/>
      <c r="B2421" s="18" t="s">
        <v>27</v>
      </c>
      <c r="C2421" s="18"/>
      <c r="D2421" s="26"/>
      <c r="E2421" s="2"/>
      <c r="F2421" s="2"/>
      <c r="G2421" s="2"/>
      <c r="H2421" s="2"/>
      <c r="I2421" s="2"/>
      <c r="J2421" s="2"/>
      <c r="K2421" s="2"/>
      <c r="L2421" s="2"/>
      <c r="M2421" s="27"/>
      <c r="N2421" s="26"/>
      <c r="O2421" s="2"/>
      <c r="P2421" s="24"/>
    </row>
    <row r="2422" spans="1:16" ht="9.75" customHeight="1">
      <c r="A2422" s="18"/>
      <c r="B2422" s="18" t="s">
        <v>99</v>
      </c>
      <c r="C2422" s="18"/>
      <c r="D2422" s="26"/>
      <c r="E2422" s="2"/>
      <c r="F2422" s="2"/>
      <c r="G2422" s="2"/>
      <c r="H2422" s="2"/>
      <c r="I2422" s="2"/>
      <c r="J2422" s="2"/>
      <c r="K2422" s="2"/>
      <c r="L2422" s="2"/>
      <c r="M2422" s="27"/>
      <c r="N2422" s="26"/>
      <c r="O2422" s="2"/>
      <c r="P2422" s="24"/>
    </row>
    <row r="2423" spans="1:16" ht="9.75" customHeight="1">
      <c r="A2423" s="18"/>
      <c r="B2423" s="18" t="s">
        <v>99</v>
      </c>
      <c r="C2423" s="18"/>
      <c r="D2423" s="26"/>
      <c r="E2423" s="2"/>
      <c r="F2423" s="2"/>
      <c r="G2423" s="2"/>
      <c r="H2423" s="2"/>
      <c r="I2423" s="2"/>
      <c r="J2423" s="2"/>
      <c r="K2423" s="2"/>
      <c r="L2423" s="2"/>
      <c r="M2423" s="27"/>
      <c r="N2423" s="26"/>
      <c r="O2423" s="2"/>
      <c r="P2423" s="24"/>
    </row>
    <row r="2424" spans="1:16" ht="9.75" customHeight="1">
      <c r="A2424" s="18"/>
      <c r="B2424" s="18" t="s">
        <v>32</v>
      </c>
      <c r="C2424" s="18"/>
      <c r="D2424" s="26"/>
      <c r="E2424" s="2"/>
      <c r="F2424" s="2"/>
      <c r="G2424" s="2"/>
      <c r="H2424" s="2"/>
      <c r="I2424" s="2"/>
      <c r="J2424" s="2"/>
      <c r="K2424" s="2"/>
      <c r="L2424" s="2"/>
      <c r="M2424" s="27"/>
      <c r="N2424" s="26"/>
      <c r="O2424" s="2"/>
      <c r="P2424" s="24"/>
    </row>
    <row r="2425" spans="1:16" ht="9.75" customHeight="1">
      <c r="A2425" s="18"/>
      <c r="B2425" s="18" t="s">
        <v>102</v>
      </c>
      <c r="C2425" s="18">
        <v>27</v>
      </c>
      <c r="D2425" s="26">
        <v>14</v>
      </c>
      <c r="E2425" s="2">
        <f>C2425-13</f>
        <v>14</v>
      </c>
      <c r="F2425" s="2">
        <v>14</v>
      </c>
      <c r="G2425" s="2">
        <v>14</v>
      </c>
      <c r="H2425" s="2">
        <v>14</v>
      </c>
      <c r="I2425" s="116">
        <v>12</v>
      </c>
      <c r="J2425" s="116">
        <v>12</v>
      </c>
      <c r="K2425" s="116">
        <v>12</v>
      </c>
      <c r="L2425" s="116">
        <v>13</v>
      </c>
      <c r="M2425" s="147">
        <v>17</v>
      </c>
      <c r="N2425" s="26">
        <f>MIN(D2425:M2425)</f>
        <v>12</v>
      </c>
      <c r="O2425" s="2">
        <f>C2425-N2425</f>
        <v>15</v>
      </c>
      <c r="P2425" s="24">
        <f>O2425/C2425</f>
        <v>0.55555555555555558</v>
      </c>
    </row>
    <row r="2426" spans="1:16" ht="9.75" customHeight="1">
      <c r="A2426" s="18"/>
      <c r="B2426" s="18" t="s">
        <v>104</v>
      </c>
      <c r="C2426" s="18"/>
      <c r="D2426" s="26"/>
      <c r="E2426" s="2"/>
      <c r="F2426" s="2"/>
      <c r="G2426" s="2"/>
      <c r="H2426" s="2"/>
      <c r="I2426" s="2"/>
      <c r="J2426" s="2"/>
      <c r="K2426" s="2"/>
      <c r="L2426" s="2"/>
      <c r="M2426" s="27"/>
      <c r="N2426" s="26"/>
      <c r="O2426" s="2"/>
      <c r="P2426" s="24"/>
    </row>
    <row r="2427" spans="1:16" ht="9.75" customHeight="1">
      <c r="A2427" s="18"/>
      <c r="B2427" s="18" t="s">
        <v>104</v>
      </c>
      <c r="C2427" s="18"/>
      <c r="D2427" s="26"/>
      <c r="E2427" s="2"/>
      <c r="F2427" s="2"/>
      <c r="G2427" s="2"/>
      <c r="H2427" s="2"/>
      <c r="I2427" s="2"/>
      <c r="J2427" s="2"/>
      <c r="K2427" s="2"/>
      <c r="L2427" s="2"/>
      <c r="M2427" s="27"/>
      <c r="N2427" s="26"/>
      <c r="O2427" s="2"/>
      <c r="P2427" s="24"/>
    </row>
    <row r="2428" spans="1:16" ht="9.75" customHeight="1">
      <c r="A2428" s="18"/>
      <c r="B2428" s="18" t="s">
        <v>104</v>
      </c>
      <c r="C2428" s="18"/>
      <c r="D2428" s="26"/>
      <c r="E2428" s="2"/>
      <c r="F2428" s="2"/>
      <c r="G2428" s="2"/>
      <c r="H2428" s="2"/>
      <c r="I2428" s="2"/>
      <c r="J2428" s="2"/>
      <c r="K2428" s="2"/>
      <c r="L2428" s="2"/>
      <c r="M2428" s="27"/>
      <c r="N2428" s="26"/>
      <c r="O2428" s="2"/>
      <c r="P2428" s="24"/>
    </row>
    <row r="2429" spans="1:16" ht="9.75" customHeight="1">
      <c r="A2429" s="18"/>
      <c r="B2429" s="18" t="s">
        <v>104</v>
      </c>
      <c r="C2429" s="18"/>
      <c r="D2429" s="26"/>
      <c r="E2429" s="2"/>
      <c r="F2429" s="2"/>
      <c r="G2429" s="2"/>
      <c r="H2429" s="2"/>
      <c r="I2429" s="2"/>
      <c r="J2429" s="2"/>
      <c r="K2429" s="2"/>
      <c r="L2429" s="2"/>
      <c r="M2429" s="27"/>
      <c r="N2429" s="26"/>
      <c r="O2429" s="2"/>
      <c r="P2429" s="24"/>
    </row>
    <row r="2430" spans="1:16" ht="9.75" customHeight="1">
      <c r="A2430" s="18"/>
      <c r="B2430" s="18" t="s">
        <v>104</v>
      </c>
      <c r="C2430" s="18"/>
      <c r="D2430" s="26"/>
      <c r="E2430" s="2"/>
      <c r="F2430" s="2"/>
      <c r="G2430" s="2"/>
      <c r="H2430" s="2"/>
      <c r="I2430" s="2"/>
      <c r="J2430" s="2"/>
      <c r="K2430" s="2"/>
      <c r="L2430" s="2"/>
      <c r="M2430" s="27"/>
      <c r="N2430" s="26"/>
      <c r="O2430" s="2"/>
      <c r="P2430" s="24"/>
    </row>
    <row r="2431" spans="1:16" ht="9.75" customHeight="1">
      <c r="A2431" s="18"/>
      <c r="B2431" s="18" t="s">
        <v>34</v>
      </c>
      <c r="C2431" s="18"/>
      <c r="D2431" s="26"/>
      <c r="E2431" s="2"/>
      <c r="F2431" s="2"/>
      <c r="G2431" s="2"/>
      <c r="H2431" s="2"/>
      <c r="I2431" s="2"/>
      <c r="J2431" s="2"/>
      <c r="K2431" s="2"/>
      <c r="L2431" s="2"/>
      <c r="M2431" s="27"/>
      <c r="N2431" s="26"/>
      <c r="O2431" s="2"/>
      <c r="P2431" s="24"/>
    </row>
    <row r="2432" spans="1:16" ht="9.75" customHeight="1">
      <c r="A2432" s="18"/>
      <c r="B2432" s="18" t="s">
        <v>35</v>
      </c>
      <c r="C2432" s="18"/>
      <c r="D2432" s="26"/>
      <c r="E2432" s="2"/>
      <c r="F2432" s="2"/>
      <c r="G2432" s="2"/>
      <c r="H2432" s="2"/>
      <c r="I2432" s="2"/>
      <c r="J2432" s="2"/>
      <c r="K2432" s="2"/>
      <c r="L2432" s="2"/>
      <c r="M2432" s="27"/>
      <c r="N2432" s="26"/>
      <c r="O2432" s="2"/>
      <c r="P2432" s="24"/>
    </row>
    <row r="2433" spans="1:16" ht="9.75" customHeight="1">
      <c r="A2433" s="18"/>
      <c r="B2433" s="18" t="s">
        <v>36</v>
      </c>
      <c r="C2433" s="18"/>
      <c r="D2433" s="26"/>
      <c r="E2433" s="2"/>
      <c r="F2433" s="2"/>
      <c r="G2433" s="2"/>
      <c r="H2433" s="2"/>
      <c r="I2433" s="2"/>
      <c r="J2433" s="2"/>
      <c r="K2433" s="2"/>
      <c r="L2433" s="2"/>
      <c r="M2433" s="27"/>
      <c r="N2433" s="26"/>
      <c r="O2433" s="2"/>
      <c r="P2433" s="24"/>
    </row>
    <row r="2434" spans="1:16" ht="9.75" customHeight="1">
      <c r="A2434" s="18"/>
      <c r="B2434" s="18" t="s">
        <v>37</v>
      </c>
      <c r="C2434" s="18"/>
      <c r="D2434" s="26"/>
      <c r="E2434" s="2"/>
      <c r="F2434" s="2"/>
      <c r="G2434" s="2"/>
      <c r="H2434" s="2"/>
      <c r="I2434" s="2"/>
      <c r="J2434" s="2"/>
      <c r="K2434" s="2"/>
      <c r="L2434" s="2"/>
      <c r="M2434" s="27"/>
      <c r="N2434" s="26"/>
      <c r="O2434" s="2"/>
      <c r="P2434" s="24"/>
    </row>
    <row r="2435" spans="1:16" ht="9.75" customHeight="1">
      <c r="A2435" s="32"/>
      <c r="B2435" s="70" t="s">
        <v>38</v>
      </c>
      <c r="C2435" s="70">
        <f t="shared" ref="C2435:M2435" si="468">SUM(C2419:C2434)</f>
        <v>158</v>
      </c>
      <c r="D2435" s="70">
        <f t="shared" si="468"/>
        <v>140</v>
      </c>
      <c r="E2435" s="71">
        <f t="shared" si="468"/>
        <v>137</v>
      </c>
      <c r="F2435" s="71">
        <f t="shared" si="468"/>
        <v>135</v>
      </c>
      <c r="G2435" s="71">
        <f t="shared" si="468"/>
        <v>134</v>
      </c>
      <c r="H2435" s="71">
        <f t="shared" si="468"/>
        <v>134</v>
      </c>
      <c r="I2435" s="71">
        <f t="shared" si="468"/>
        <v>129</v>
      </c>
      <c r="J2435" s="71">
        <f t="shared" si="468"/>
        <v>128</v>
      </c>
      <c r="K2435" s="71">
        <f t="shared" si="468"/>
        <v>131</v>
      </c>
      <c r="L2435" s="71">
        <f t="shared" si="468"/>
        <v>134</v>
      </c>
      <c r="M2435" s="93">
        <f t="shared" si="468"/>
        <v>143</v>
      </c>
      <c r="N2435" s="71">
        <f>MIN(D2435:M2435)</f>
        <v>128</v>
      </c>
      <c r="O2435" s="71">
        <f>C2435-N2435</f>
        <v>30</v>
      </c>
      <c r="P2435" s="40">
        <f>O2435/C2435</f>
        <v>0.189873417721519</v>
      </c>
    </row>
    <row r="2436" spans="1:16" ht="9.75" customHeight="1">
      <c r="A2436" s="66" t="s">
        <v>344</v>
      </c>
      <c r="B2436" s="66" t="s">
        <v>23</v>
      </c>
      <c r="C2436" s="18"/>
      <c r="D2436" s="26"/>
      <c r="E2436" s="2"/>
      <c r="F2436" s="2"/>
      <c r="G2436" s="2"/>
      <c r="H2436" s="2"/>
      <c r="I2436" s="2"/>
      <c r="J2436" s="2"/>
      <c r="K2436" s="2"/>
      <c r="L2436" s="2"/>
      <c r="M2436" s="27"/>
      <c r="N2436" s="41"/>
      <c r="O2436" s="72"/>
      <c r="P2436" s="99"/>
    </row>
    <row r="2437" spans="1:16" ht="9.75" customHeight="1">
      <c r="A2437" s="18"/>
      <c r="B2437" s="18" t="s">
        <v>25</v>
      </c>
      <c r="C2437" s="18">
        <v>100</v>
      </c>
      <c r="D2437" s="26">
        <v>99</v>
      </c>
      <c r="E2437" s="2">
        <v>98</v>
      </c>
      <c r="F2437" s="2">
        <v>98</v>
      </c>
      <c r="G2437" s="2">
        <v>98</v>
      </c>
      <c r="H2437" s="2">
        <v>98</v>
      </c>
      <c r="I2437" s="116">
        <v>98</v>
      </c>
      <c r="J2437" s="116">
        <v>98</v>
      </c>
      <c r="K2437" s="116">
        <v>98</v>
      </c>
      <c r="L2437" s="116">
        <v>98</v>
      </c>
      <c r="M2437" s="147">
        <v>98</v>
      </c>
      <c r="N2437" s="26">
        <f>MIN(D2437:M2437)</f>
        <v>98</v>
      </c>
      <c r="O2437" s="2">
        <f>C2437-N2437</f>
        <v>2</v>
      </c>
      <c r="P2437" s="24">
        <f>O2437/C2437</f>
        <v>0.02</v>
      </c>
    </row>
    <row r="2438" spans="1:16" ht="9.75" customHeight="1">
      <c r="A2438" s="18"/>
      <c r="B2438" s="18" t="s">
        <v>27</v>
      </c>
      <c r="C2438" s="18"/>
      <c r="D2438" s="26"/>
      <c r="E2438" s="2"/>
      <c r="F2438" s="2"/>
      <c r="G2438" s="2"/>
      <c r="H2438" s="2"/>
      <c r="I2438" s="2"/>
      <c r="J2438" s="2"/>
      <c r="K2438" s="2"/>
      <c r="L2438" s="2"/>
      <c r="M2438" s="27"/>
      <c r="N2438" s="26"/>
      <c r="O2438" s="2"/>
      <c r="P2438" s="24"/>
    </row>
    <row r="2439" spans="1:16" ht="9.75" customHeight="1">
      <c r="A2439" s="18"/>
      <c r="B2439" s="18" t="s">
        <v>99</v>
      </c>
      <c r="C2439" s="18"/>
      <c r="D2439" s="26"/>
      <c r="E2439" s="2"/>
      <c r="F2439" s="2"/>
      <c r="G2439" s="2"/>
      <c r="H2439" s="2"/>
      <c r="I2439" s="2"/>
      <c r="J2439" s="2"/>
      <c r="K2439" s="2"/>
      <c r="L2439" s="2"/>
      <c r="M2439" s="27"/>
      <c r="N2439" s="26"/>
      <c r="O2439" s="2"/>
      <c r="P2439" s="24"/>
    </row>
    <row r="2440" spans="1:16" ht="9.75" customHeight="1">
      <c r="A2440" s="18"/>
      <c r="B2440" s="18" t="s">
        <v>99</v>
      </c>
      <c r="C2440" s="18"/>
      <c r="D2440" s="26"/>
      <c r="E2440" s="2"/>
      <c r="F2440" s="2"/>
      <c r="G2440" s="2"/>
      <c r="H2440" s="2"/>
      <c r="I2440" s="2"/>
      <c r="J2440" s="2"/>
      <c r="K2440" s="2"/>
      <c r="L2440" s="2"/>
      <c r="M2440" s="27"/>
      <c r="N2440" s="26"/>
      <c r="O2440" s="2"/>
      <c r="P2440" s="24"/>
    </row>
    <row r="2441" spans="1:16" ht="9.75" customHeight="1">
      <c r="A2441" s="18"/>
      <c r="B2441" s="18" t="s">
        <v>32</v>
      </c>
      <c r="C2441" s="18"/>
      <c r="D2441" s="26"/>
      <c r="E2441" s="2"/>
      <c r="F2441" s="2"/>
      <c r="G2441" s="2"/>
      <c r="H2441" s="2"/>
      <c r="I2441" s="2"/>
      <c r="J2441" s="2"/>
      <c r="K2441" s="2"/>
      <c r="L2441" s="2"/>
      <c r="M2441" s="27"/>
      <c r="N2441" s="26"/>
      <c r="O2441" s="2"/>
      <c r="P2441" s="24"/>
    </row>
    <row r="2442" spans="1:16" ht="9.75" customHeight="1">
      <c r="A2442" s="18"/>
      <c r="B2442" s="18" t="s">
        <v>104</v>
      </c>
      <c r="C2442" s="18"/>
      <c r="D2442" s="26"/>
      <c r="E2442" s="2"/>
      <c r="F2442" s="2"/>
      <c r="G2442" s="2"/>
      <c r="H2442" s="2"/>
      <c r="I2442" s="2"/>
      <c r="J2442" s="2"/>
      <c r="K2442" s="2"/>
      <c r="L2442" s="2"/>
      <c r="M2442" s="27"/>
      <c r="N2442" s="26"/>
      <c r="O2442" s="2"/>
      <c r="P2442" s="24"/>
    </row>
    <row r="2443" spans="1:16" ht="9.75" customHeight="1">
      <c r="A2443" s="18"/>
      <c r="B2443" s="18" t="s">
        <v>104</v>
      </c>
      <c r="C2443" s="18"/>
      <c r="D2443" s="26"/>
      <c r="E2443" s="2"/>
      <c r="F2443" s="2"/>
      <c r="G2443" s="2"/>
      <c r="H2443" s="2"/>
      <c r="I2443" s="2"/>
      <c r="J2443" s="2"/>
      <c r="K2443" s="2"/>
      <c r="L2443" s="2"/>
      <c r="M2443" s="27"/>
      <c r="N2443" s="26"/>
      <c r="O2443" s="2"/>
      <c r="P2443" s="24"/>
    </row>
    <row r="2444" spans="1:16" ht="9.75" customHeight="1">
      <c r="A2444" s="18"/>
      <c r="B2444" s="18" t="s">
        <v>104</v>
      </c>
      <c r="C2444" s="18"/>
      <c r="D2444" s="26"/>
      <c r="E2444" s="2"/>
      <c r="F2444" s="2"/>
      <c r="G2444" s="2"/>
      <c r="H2444" s="2"/>
      <c r="I2444" s="2"/>
      <c r="J2444" s="2"/>
      <c r="K2444" s="2"/>
      <c r="L2444" s="2"/>
      <c r="M2444" s="27"/>
      <c r="N2444" s="26"/>
      <c r="O2444" s="2"/>
      <c r="P2444" s="24"/>
    </row>
    <row r="2445" spans="1:16" ht="9.75" customHeight="1">
      <c r="A2445" s="18"/>
      <c r="B2445" s="18" t="s">
        <v>104</v>
      </c>
      <c r="C2445" s="18"/>
      <c r="D2445" s="26"/>
      <c r="E2445" s="2"/>
      <c r="F2445" s="2"/>
      <c r="G2445" s="2"/>
      <c r="H2445" s="2"/>
      <c r="I2445" s="2"/>
      <c r="J2445" s="2"/>
      <c r="K2445" s="2"/>
      <c r="L2445" s="2"/>
      <c r="M2445" s="27"/>
      <c r="N2445" s="26"/>
      <c r="O2445" s="2"/>
      <c r="P2445" s="24"/>
    </row>
    <row r="2446" spans="1:16" ht="9.75" customHeight="1">
      <c r="A2446" s="18"/>
      <c r="B2446" s="18" t="s">
        <v>104</v>
      </c>
      <c r="C2446" s="18"/>
      <c r="D2446" s="26"/>
      <c r="E2446" s="2"/>
      <c r="F2446" s="2"/>
      <c r="G2446" s="2"/>
      <c r="H2446" s="2"/>
      <c r="I2446" s="2"/>
      <c r="J2446" s="2"/>
      <c r="K2446" s="2"/>
      <c r="L2446" s="2"/>
      <c r="M2446" s="27"/>
      <c r="N2446" s="26"/>
      <c r="O2446" s="2"/>
      <c r="P2446" s="24"/>
    </row>
    <row r="2447" spans="1:16" ht="9.75" customHeight="1">
      <c r="A2447" s="18"/>
      <c r="B2447" s="18" t="s">
        <v>104</v>
      </c>
      <c r="C2447" s="18"/>
      <c r="D2447" s="26"/>
      <c r="E2447" s="2"/>
      <c r="F2447" s="2"/>
      <c r="G2447" s="2"/>
      <c r="H2447" s="2"/>
      <c r="I2447" s="2"/>
      <c r="J2447" s="2"/>
      <c r="K2447" s="2"/>
      <c r="L2447" s="2"/>
      <c r="M2447" s="27"/>
      <c r="N2447" s="26"/>
      <c r="O2447" s="2"/>
      <c r="P2447" s="24"/>
    </row>
    <row r="2448" spans="1:16" ht="9.75" customHeight="1">
      <c r="A2448" s="18"/>
      <c r="B2448" s="18" t="s">
        <v>34</v>
      </c>
      <c r="C2448" s="18"/>
      <c r="D2448" s="26"/>
      <c r="E2448" s="2"/>
      <c r="F2448" s="2"/>
      <c r="G2448" s="2"/>
      <c r="H2448" s="2"/>
      <c r="I2448" s="2"/>
      <c r="J2448" s="2"/>
      <c r="K2448" s="2"/>
      <c r="L2448" s="2"/>
      <c r="M2448" s="27"/>
      <c r="N2448" s="26"/>
      <c r="O2448" s="2"/>
      <c r="P2448" s="24"/>
    </row>
    <row r="2449" spans="1:16" ht="9.75" customHeight="1">
      <c r="A2449" s="18"/>
      <c r="B2449" s="18" t="s">
        <v>35</v>
      </c>
      <c r="C2449" s="18"/>
      <c r="D2449" s="26"/>
      <c r="E2449" s="2"/>
      <c r="F2449" s="2"/>
      <c r="G2449" s="2"/>
      <c r="H2449" s="2"/>
      <c r="I2449" s="2"/>
      <c r="J2449" s="2"/>
      <c r="K2449" s="2"/>
      <c r="L2449" s="2"/>
      <c r="M2449" s="27"/>
      <c r="N2449" s="26"/>
      <c r="O2449" s="2"/>
      <c r="P2449" s="24"/>
    </row>
    <row r="2450" spans="1:16" ht="9.75" customHeight="1">
      <c r="A2450" s="18"/>
      <c r="B2450" s="18" t="s">
        <v>36</v>
      </c>
      <c r="C2450" s="18"/>
      <c r="D2450" s="26"/>
      <c r="E2450" s="2"/>
      <c r="F2450" s="2"/>
      <c r="G2450" s="2"/>
      <c r="H2450" s="2"/>
      <c r="I2450" s="2"/>
      <c r="J2450" s="2"/>
      <c r="K2450" s="2"/>
      <c r="L2450" s="2"/>
      <c r="M2450" s="27"/>
      <c r="N2450" s="26"/>
      <c r="O2450" s="2"/>
      <c r="P2450" s="24"/>
    </row>
    <row r="2451" spans="1:16" ht="9.75" customHeight="1">
      <c r="A2451" s="18"/>
      <c r="B2451" s="18" t="s">
        <v>37</v>
      </c>
      <c r="C2451" s="18"/>
      <c r="D2451" s="26"/>
      <c r="E2451" s="2"/>
      <c r="F2451" s="2"/>
      <c r="G2451" s="2"/>
      <c r="H2451" s="2"/>
      <c r="I2451" s="2"/>
      <c r="J2451" s="2"/>
      <c r="K2451" s="2"/>
      <c r="L2451" s="2"/>
      <c r="M2451" s="27"/>
      <c r="N2451" s="26"/>
      <c r="O2451" s="2"/>
      <c r="P2451" s="24"/>
    </row>
    <row r="2452" spans="1:16" ht="9.75" customHeight="1">
      <c r="A2452" s="32"/>
      <c r="B2452" s="70" t="s">
        <v>38</v>
      </c>
      <c r="C2452" s="70">
        <f t="shared" ref="C2452:M2452" si="469">SUM(C2436:C2451)</f>
        <v>100</v>
      </c>
      <c r="D2452" s="70">
        <f t="shared" si="469"/>
        <v>99</v>
      </c>
      <c r="E2452" s="71">
        <f t="shared" si="469"/>
        <v>98</v>
      </c>
      <c r="F2452" s="71">
        <f t="shared" si="469"/>
        <v>98</v>
      </c>
      <c r="G2452" s="71">
        <f t="shared" si="469"/>
        <v>98</v>
      </c>
      <c r="H2452" s="71">
        <f t="shared" si="469"/>
        <v>98</v>
      </c>
      <c r="I2452" s="71">
        <f t="shared" si="469"/>
        <v>98</v>
      </c>
      <c r="J2452" s="71">
        <f t="shared" si="469"/>
        <v>98</v>
      </c>
      <c r="K2452" s="71">
        <f t="shared" si="469"/>
        <v>98</v>
      </c>
      <c r="L2452" s="71">
        <f t="shared" si="469"/>
        <v>98</v>
      </c>
      <c r="M2452" s="93">
        <f t="shared" si="469"/>
        <v>98</v>
      </c>
      <c r="N2452" s="71">
        <f>MIN(D2452:M2452)</f>
        <v>98</v>
      </c>
      <c r="O2452" s="71">
        <f>C2452-N2452</f>
        <v>2</v>
      </c>
      <c r="P2452" s="40">
        <f>O2452/C2452</f>
        <v>0.02</v>
      </c>
    </row>
    <row r="2453" spans="1:16" ht="9.75" customHeight="1">
      <c r="A2453" s="66" t="s">
        <v>345</v>
      </c>
      <c r="B2453" s="66" t="s">
        <v>23</v>
      </c>
      <c r="C2453" s="18"/>
      <c r="D2453" s="26"/>
      <c r="E2453" s="2"/>
      <c r="F2453" s="2"/>
      <c r="G2453" s="2"/>
      <c r="H2453" s="2"/>
      <c r="I2453" s="2"/>
      <c r="J2453" s="2"/>
      <c r="K2453" s="2"/>
      <c r="L2453" s="2"/>
      <c r="M2453" s="27"/>
      <c r="N2453" s="41"/>
      <c r="O2453" s="72"/>
      <c r="P2453" s="99"/>
    </row>
    <row r="2454" spans="1:16" ht="9.75" customHeight="1">
      <c r="A2454" s="18"/>
      <c r="B2454" s="18" t="s">
        <v>25</v>
      </c>
      <c r="C2454" s="18"/>
      <c r="D2454" s="26"/>
      <c r="E2454" s="2"/>
      <c r="F2454" s="2"/>
      <c r="G2454" s="2"/>
      <c r="H2454" s="2"/>
      <c r="I2454" s="2"/>
      <c r="J2454" s="2"/>
      <c r="K2454" s="2"/>
      <c r="L2454" s="2"/>
      <c r="M2454" s="27"/>
      <c r="N2454" s="26"/>
      <c r="O2454" s="2"/>
      <c r="P2454" s="24"/>
    </row>
    <row r="2455" spans="1:16" ht="9.75" customHeight="1">
      <c r="A2455" s="18"/>
      <c r="B2455" s="18" t="s">
        <v>27</v>
      </c>
      <c r="C2455" s="18"/>
      <c r="D2455" s="26"/>
      <c r="E2455" s="2"/>
      <c r="F2455" s="2"/>
      <c r="G2455" s="2"/>
      <c r="H2455" s="2"/>
      <c r="I2455" s="2"/>
      <c r="J2455" s="2"/>
      <c r="K2455" s="2"/>
      <c r="L2455" s="2"/>
      <c r="M2455" s="27"/>
      <c r="N2455" s="26"/>
      <c r="O2455" s="2"/>
      <c r="P2455" s="24"/>
    </row>
    <row r="2456" spans="1:16" ht="9.75" customHeight="1">
      <c r="A2456" s="18"/>
      <c r="B2456" s="18" t="s">
        <v>227</v>
      </c>
      <c r="C2456" s="18"/>
      <c r="D2456" s="26"/>
      <c r="E2456" s="2"/>
      <c r="F2456" s="2"/>
      <c r="G2456" s="2"/>
      <c r="H2456" s="2"/>
      <c r="I2456" s="2"/>
      <c r="J2456" s="2"/>
      <c r="K2456" s="2"/>
      <c r="L2456" s="2"/>
      <c r="M2456" s="27"/>
      <c r="N2456" s="26"/>
      <c r="O2456" s="2"/>
      <c r="P2456" s="24"/>
    </row>
    <row r="2457" spans="1:16" ht="9.75" customHeight="1">
      <c r="A2457" s="18"/>
      <c r="B2457" s="18" t="s">
        <v>99</v>
      </c>
      <c r="C2457" s="18"/>
      <c r="D2457" s="26"/>
      <c r="E2457" s="2"/>
      <c r="F2457" s="2"/>
      <c r="G2457" s="2"/>
      <c r="H2457" s="2"/>
      <c r="I2457" s="2"/>
      <c r="J2457" s="2"/>
      <c r="K2457" s="2"/>
      <c r="L2457" s="2"/>
      <c r="M2457" s="27"/>
      <c r="N2457" s="26"/>
      <c r="O2457" s="2"/>
      <c r="P2457" s="24"/>
    </row>
    <row r="2458" spans="1:16" ht="9.75" customHeight="1">
      <c r="A2458" s="18"/>
      <c r="B2458" s="18" t="s">
        <v>32</v>
      </c>
      <c r="C2458" s="18"/>
      <c r="D2458" s="26"/>
      <c r="E2458" s="2"/>
      <c r="F2458" s="2"/>
      <c r="G2458" s="2"/>
      <c r="H2458" s="2"/>
      <c r="I2458" s="2"/>
      <c r="J2458" s="2"/>
      <c r="K2458" s="2"/>
      <c r="L2458" s="2"/>
      <c r="M2458" s="27"/>
      <c r="N2458" s="26"/>
      <c r="O2458" s="2"/>
      <c r="P2458" s="24"/>
    </row>
    <row r="2459" spans="1:16" ht="9.75" customHeight="1">
      <c r="A2459" s="18"/>
      <c r="B2459" s="18" t="s">
        <v>346</v>
      </c>
      <c r="C2459" s="18">
        <v>104</v>
      </c>
      <c r="D2459" s="26"/>
      <c r="E2459" s="2"/>
      <c r="F2459" s="2"/>
      <c r="G2459" s="2"/>
      <c r="H2459" s="2" t="s">
        <v>347</v>
      </c>
      <c r="I2459" s="2"/>
      <c r="J2459" s="2"/>
      <c r="K2459" s="2"/>
      <c r="L2459" s="2"/>
      <c r="M2459" s="27"/>
      <c r="N2459" s="26"/>
      <c r="O2459" s="2"/>
      <c r="P2459" s="24"/>
    </row>
    <row r="2460" spans="1:16" ht="9.75" customHeight="1">
      <c r="A2460" s="18"/>
      <c r="B2460" s="18" t="s">
        <v>348</v>
      </c>
      <c r="C2460" s="18">
        <v>3</v>
      </c>
      <c r="D2460" s="115">
        <v>0</v>
      </c>
      <c r="E2460" s="116">
        <v>0</v>
      </c>
      <c r="F2460" s="116">
        <v>0</v>
      </c>
      <c r="G2460" s="116">
        <v>0</v>
      </c>
      <c r="H2460" s="116">
        <v>0</v>
      </c>
      <c r="I2460" s="116">
        <v>3</v>
      </c>
      <c r="J2460" s="116">
        <v>0</v>
      </c>
      <c r="K2460" s="116">
        <v>0</v>
      </c>
      <c r="L2460" s="116">
        <v>0</v>
      </c>
      <c r="M2460" s="147">
        <v>0</v>
      </c>
      <c r="N2460" s="26"/>
      <c r="O2460" s="2"/>
      <c r="P2460" s="24"/>
    </row>
    <row r="2461" spans="1:16" ht="9.75" customHeight="1">
      <c r="A2461" s="18"/>
      <c r="B2461" s="18" t="s">
        <v>104</v>
      </c>
      <c r="C2461" s="18"/>
      <c r="D2461" s="26"/>
      <c r="E2461" s="2"/>
      <c r="F2461" s="2"/>
      <c r="G2461" s="2"/>
      <c r="H2461" s="2"/>
      <c r="I2461" s="2"/>
      <c r="J2461" s="2"/>
      <c r="K2461" s="2"/>
      <c r="L2461" s="2"/>
      <c r="M2461" s="27"/>
      <c r="N2461" s="26"/>
      <c r="O2461" s="2"/>
      <c r="P2461" s="24"/>
    </row>
    <row r="2462" spans="1:16" ht="9.75" customHeight="1">
      <c r="A2462" s="18"/>
      <c r="B2462" s="18" t="s">
        <v>104</v>
      </c>
      <c r="C2462" s="18"/>
      <c r="D2462" s="26"/>
      <c r="E2462" s="2"/>
      <c r="F2462" s="2"/>
      <c r="G2462" s="2"/>
      <c r="H2462" s="2"/>
      <c r="I2462" s="2"/>
      <c r="J2462" s="2"/>
      <c r="K2462" s="2"/>
      <c r="L2462" s="2"/>
      <c r="M2462" s="27"/>
      <c r="N2462" s="26"/>
      <c r="O2462" s="2"/>
      <c r="P2462" s="24"/>
    </row>
    <row r="2463" spans="1:16" ht="9.75" customHeight="1">
      <c r="A2463" s="18"/>
      <c r="B2463" s="18" t="s">
        <v>104</v>
      </c>
      <c r="C2463" s="18"/>
      <c r="D2463" s="26"/>
      <c r="E2463" s="2"/>
      <c r="F2463" s="2"/>
      <c r="G2463" s="2"/>
      <c r="H2463" s="2"/>
      <c r="I2463" s="2"/>
      <c r="J2463" s="2"/>
      <c r="K2463" s="2"/>
      <c r="L2463" s="2"/>
      <c r="M2463" s="27"/>
      <c r="N2463" s="26"/>
      <c r="O2463" s="2"/>
      <c r="P2463" s="24"/>
    </row>
    <row r="2464" spans="1:16" ht="9.75" customHeight="1">
      <c r="A2464" s="18"/>
      <c r="B2464" s="18" t="s">
        <v>104</v>
      </c>
      <c r="C2464" s="18"/>
      <c r="D2464" s="26"/>
      <c r="E2464" s="2"/>
      <c r="F2464" s="2"/>
      <c r="G2464" s="2"/>
      <c r="H2464" s="2"/>
      <c r="I2464" s="2"/>
      <c r="J2464" s="2"/>
      <c r="K2464" s="2"/>
      <c r="L2464" s="2"/>
      <c r="M2464" s="27"/>
      <c r="N2464" s="26"/>
      <c r="O2464" s="2"/>
      <c r="P2464" s="24"/>
    </row>
    <row r="2465" spans="1:16" ht="9.75" customHeight="1">
      <c r="A2465" s="18"/>
      <c r="B2465" s="18" t="s">
        <v>34</v>
      </c>
      <c r="C2465" s="18">
        <v>13</v>
      </c>
      <c r="D2465" s="115">
        <v>4</v>
      </c>
      <c r="E2465" s="116">
        <v>4</v>
      </c>
      <c r="F2465" s="116">
        <v>0</v>
      </c>
      <c r="G2465" s="116">
        <v>3</v>
      </c>
      <c r="H2465" s="116">
        <v>1</v>
      </c>
      <c r="I2465" s="116">
        <v>2</v>
      </c>
      <c r="J2465" s="116">
        <v>2</v>
      </c>
      <c r="K2465" s="116">
        <v>2</v>
      </c>
      <c r="L2465" s="116">
        <v>2</v>
      </c>
      <c r="M2465" s="147">
        <v>2</v>
      </c>
      <c r="N2465" s="26">
        <f>MIN(D2465:M2465)</f>
        <v>0</v>
      </c>
      <c r="O2465" s="2">
        <f>C2465-N2465</f>
        <v>13</v>
      </c>
      <c r="P2465" s="24">
        <f>O2465/C2465</f>
        <v>1</v>
      </c>
    </row>
    <row r="2466" spans="1:16" ht="9.75" customHeight="1">
      <c r="A2466" s="18"/>
      <c r="B2466" s="18" t="s">
        <v>35</v>
      </c>
      <c r="C2466" s="18"/>
      <c r="D2466" s="26"/>
      <c r="E2466" s="2"/>
      <c r="F2466" s="2"/>
      <c r="G2466" s="2"/>
      <c r="H2466" s="2"/>
      <c r="I2466" s="2"/>
      <c r="J2466" s="2"/>
      <c r="K2466" s="2"/>
      <c r="L2466" s="2"/>
      <c r="M2466" s="27"/>
      <c r="N2466" s="26"/>
      <c r="O2466" s="2"/>
      <c r="P2466" s="24"/>
    </row>
    <row r="2467" spans="1:16" ht="9.75" customHeight="1">
      <c r="A2467" s="18"/>
      <c r="B2467" s="18" t="s">
        <v>36</v>
      </c>
      <c r="C2467" s="18"/>
      <c r="D2467" s="26"/>
      <c r="E2467" s="2"/>
      <c r="F2467" s="2"/>
      <c r="G2467" s="2"/>
      <c r="H2467" s="2"/>
      <c r="I2467" s="2"/>
      <c r="J2467" s="2"/>
      <c r="K2467" s="2"/>
      <c r="L2467" s="2"/>
      <c r="M2467" s="27"/>
      <c r="N2467" s="26"/>
      <c r="O2467" s="2"/>
      <c r="P2467" s="24"/>
    </row>
    <row r="2468" spans="1:16" ht="9.75" customHeight="1">
      <c r="A2468" s="18"/>
      <c r="B2468" s="18" t="s">
        <v>37</v>
      </c>
      <c r="C2468" s="18"/>
      <c r="D2468" s="26"/>
      <c r="E2468" s="2"/>
      <c r="F2468" s="2"/>
      <c r="G2468" s="2"/>
      <c r="H2468" s="2"/>
      <c r="I2468" s="2"/>
      <c r="J2468" s="2"/>
      <c r="K2468" s="2"/>
      <c r="L2468" s="2"/>
      <c r="M2468" s="27"/>
      <c r="N2468" s="26"/>
      <c r="O2468" s="2"/>
      <c r="P2468" s="24"/>
    </row>
    <row r="2469" spans="1:16" ht="9.75" customHeight="1">
      <c r="A2469" s="32"/>
      <c r="B2469" s="70" t="s">
        <v>38</v>
      </c>
      <c r="C2469" s="70">
        <f t="shared" ref="C2469:M2469" si="470">SUM(C2453:C2468)</f>
        <v>120</v>
      </c>
      <c r="D2469" s="70">
        <f t="shared" si="470"/>
        <v>4</v>
      </c>
      <c r="E2469" s="71">
        <f t="shared" si="470"/>
        <v>4</v>
      </c>
      <c r="F2469" s="71">
        <f t="shared" si="470"/>
        <v>0</v>
      </c>
      <c r="G2469" s="71">
        <f t="shared" si="470"/>
        <v>3</v>
      </c>
      <c r="H2469" s="71">
        <f t="shared" si="470"/>
        <v>1</v>
      </c>
      <c r="I2469" s="71">
        <f t="shared" si="470"/>
        <v>5</v>
      </c>
      <c r="J2469" s="71">
        <f t="shared" si="470"/>
        <v>2</v>
      </c>
      <c r="K2469" s="71">
        <f t="shared" si="470"/>
        <v>2</v>
      </c>
      <c r="L2469" s="71">
        <f t="shared" si="470"/>
        <v>2</v>
      </c>
      <c r="M2469" s="93">
        <f t="shared" si="470"/>
        <v>2</v>
      </c>
      <c r="N2469" s="71">
        <f>MIN(D2469:M2469)</f>
        <v>0</v>
      </c>
      <c r="O2469" s="71">
        <f>C2469-N2469</f>
        <v>120</v>
      </c>
      <c r="P2469" s="40">
        <f>O2469/C2469</f>
        <v>1</v>
      </c>
    </row>
    <row r="2470" spans="1:16" ht="9.75" customHeight="1">
      <c r="A2470" s="66" t="s">
        <v>349</v>
      </c>
      <c r="B2470" s="66" t="s">
        <v>23</v>
      </c>
      <c r="C2470" s="18"/>
      <c r="D2470" s="26"/>
      <c r="E2470" s="2"/>
      <c r="F2470" s="2"/>
      <c r="G2470" s="2"/>
      <c r="H2470" s="2"/>
      <c r="I2470" s="2"/>
      <c r="J2470" s="2"/>
      <c r="K2470" s="2"/>
      <c r="L2470" s="2"/>
      <c r="M2470" s="27"/>
      <c r="N2470" s="26"/>
      <c r="O2470" s="2"/>
      <c r="P2470" s="24"/>
    </row>
    <row r="2471" spans="1:16" ht="9.75" customHeight="1">
      <c r="A2471" s="18"/>
      <c r="B2471" s="18" t="s">
        <v>25</v>
      </c>
      <c r="C2471" s="18"/>
      <c r="D2471" s="26"/>
      <c r="E2471" s="2"/>
      <c r="F2471" s="2"/>
      <c r="G2471" s="2"/>
      <c r="H2471" s="2"/>
      <c r="I2471" s="2"/>
      <c r="J2471" s="2"/>
      <c r="K2471" s="2"/>
      <c r="L2471" s="2"/>
      <c r="M2471" s="27"/>
      <c r="N2471" s="26"/>
      <c r="O2471" s="2"/>
      <c r="P2471" s="24"/>
    </row>
    <row r="2472" spans="1:16" ht="9.75" customHeight="1">
      <c r="A2472" s="18"/>
      <c r="B2472" s="18" t="s">
        <v>27</v>
      </c>
      <c r="C2472" s="18"/>
      <c r="D2472" s="26"/>
      <c r="E2472" s="2"/>
      <c r="F2472" s="2"/>
      <c r="G2472" s="2"/>
      <c r="H2472" s="2"/>
      <c r="I2472" s="2"/>
      <c r="J2472" s="2"/>
      <c r="K2472" s="2"/>
      <c r="L2472" s="2"/>
      <c r="M2472" s="27"/>
      <c r="N2472" s="26"/>
      <c r="O2472" s="2"/>
      <c r="P2472" s="24"/>
    </row>
    <row r="2473" spans="1:16" ht="9.75" customHeight="1">
      <c r="A2473" s="18"/>
      <c r="B2473" s="18" t="s">
        <v>99</v>
      </c>
      <c r="C2473" s="18"/>
      <c r="D2473" s="26"/>
      <c r="E2473" s="2"/>
      <c r="F2473" s="2"/>
      <c r="G2473" s="2"/>
      <c r="H2473" s="2"/>
      <c r="I2473" s="2"/>
      <c r="J2473" s="2"/>
      <c r="K2473" s="2"/>
      <c r="L2473" s="2"/>
      <c r="M2473" s="27"/>
      <c r="N2473" s="26"/>
      <c r="O2473" s="2"/>
      <c r="P2473" s="24"/>
    </row>
    <row r="2474" spans="1:16" ht="9.75" customHeight="1">
      <c r="A2474" s="18"/>
      <c r="B2474" s="18" t="s">
        <v>99</v>
      </c>
      <c r="C2474" s="18"/>
      <c r="D2474" s="26"/>
      <c r="E2474" s="2"/>
      <c r="F2474" s="2"/>
      <c r="G2474" s="2"/>
      <c r="H2474" s="2"/>
      <c r="I2474" s="2"/>
      <c r="J2474" s="2"/>
      <c r="K2474" s="2"/>
      <c r="L2474" s="2"/>
      <c r="M2474" s="27"/>
      <c r="N2474" s="26"/>
      <c r="O2474" s="2"/>
      <c r="P2474" s="24"/>
    </row>
    <row r="2475" spans="1:16" ht="9.75" customHeight="1">
      <c r="A2475" s="18"/>
      <c r="B2475" s="18" t="s">
        <v>32</v>
      </c>
      <c r="C2475" s="18">
        <v>1</v>
      </c>
      <c r="D2475" s="193">
        <v>0</v>
      </c>
      <c r="E2475" s="194">
        <v>0</v>
      </c>
      <c r="F2475" s="194">
        <v>0</v>
      </c>
      <c r="G2475" s="194">
        <v>0</v>
      </c>
      <c r="H2475" s="194">
        <v>0</v>
      </c>
      <c r="I2475" s="116">
        <v>1</v>
      </c>
      <c r="J2475" s="116">
        <v>1</v>
      </c>
      <c r="K2475" s="116">
        <v>1</v>
      </c>
      <c r="L2475" s="116">
        <v>1</v>
      </c>
      <c r="M2475" s="147">
        <v>1</v>
      </c>
      <c r="N2475" s="26">
        <f t="shared" ref="N2475:N2476" si="471">MIN(D2475:M2475)</f>
        <v>0</v>
      </c>
      <c r="O2475" s="2">
        <f t="shared" ref="O2475:O2476" si="472">C2475-N2475</f>
        <v>1</v>
      </c>
      <c r="P2475" s="24">
        <f t="shared" ref="P2475:P2476" si="473">O2475/C2475</f>
        <v>1</v>
      </c>
    </row>
    <row r="2476" spans="1:16" ht="9.75" customHeight="1">
      <c r="A2476" s="18"/>
      <c r="B2476" s="18" t="s">
        <v>350</v>
      </c>
      <c r="C2476" s="18">
        <v>4</v>
      </c>
      <c r="D2476" s="115">
        <v>3</v>
      </c>
      <c r="E2476" s="116">
        <v>2</v>
      </c>
      <c r="F2476" s="116">
        <v>2</v>
      </c>
      <c r="G2476" s="116">
        <v>2</v>
      </c>
      <c r="H2476" s="116">
        <v>2</v>
      </c>
      <c r="I2476" s="116">
        <v>4</v>
      </c>
      <c r="J2476" s="116">
        <v>4</v>
      </c>
      <c r="K2476" s="116">
        <v>4</v>
      </c>
      <c r="L2476" s="116">
        <v>4</v>
      </c>
      <c r="M2476" s="147">
        <v>4</v>
      </c>
      <c r="N2476" s="26">
        <f t="shared" si="471"/>
        <v>2</v>
      </c>
      <c r="O2476" s="2">
        <f t="shared" si="472"/>
        <v>2</v>
      </c>
      <c r="P2476" s="24">
        <f t="shared" si="473"/>
        <v>0.5</v>
      </c>
    </row>
    <row r="2477" spans="1:16" ht="9.75" customHeight="1">
      <c r="A2477" s="18"/>
      <c r="B2477" s="18" t="s">
        <v>346</v>
      </c>
      <c r="C2477" s="18">
        <v>24</v>
      </c>
      <c r="D2477" s="26"/>
      <c r="E2477" s="2"/>
      <c r="F2477" s="2"/>
      <c r="G2477" s="2" t="s">
        <v>347</v>
      </c>
      <c r="H2477" s="2"/>
      <c r="I2477" s="2"/>
      <c r="J2477" s="2"/>
      <c r="K2477" s="2"/>
      <c r="L2477" s="2"/>
      <c r="M2477" s="27"/>
      <c r="N2477" s="26"/>
      <c r="O2477" s="2"/>
      <c r="P2477" s="24"/>
    </row>
    <row r="2478" spans="1:16" ht="9.75" customHeight="1">
      <c r="A2478" s="18"/>
      <c r="B2478" s="18" t="s">
        <v>104</v>
      </c>
      <c r="C2478" s="18"/>
      <c r="D2478" s="26"/>
      <c r="E2478" s="2"/>
      <c r="F2478" s="2"/>
      <c r="G2478" s="2"/>
      <c r="H2478" s="2"/>
      <c r="I2478" s="2"/>
      <c r="J2478" s="2"/>
      <c r="K2478" s="2"/>
      <c r="L2478" s="2"/>
      <c r="M2478" s="27"/>
      <c r="N2478" s="26"/>
      <c r="O2478" s="2"/>
      <c r="P2478" s="24"/>
    </row>
    <row r="2479" spans="1:16" ht="9.75" customHeight="1">
      <c r="A2479" s="18"/>
      <c r="B2479" s="18" t="s">
        <v>104</v>
      </c>
      <c r="C2479" s="18"/>
      <c r="D2479" s="26"/>
      <c r="E2479" s="2"/>
      <c r="F2479" s="2"/>
      <c r="G2479" s="2"/>
      <c r="H2479" s="2"/>
      <c r="I2479" s="2"/>
      <c r="J2479" s="2"/>
      <c r="K2479" s="2"/>
      <c r="L2479" s="2"/>
      <c r="M2479" s="27"/>
      <c r="N2479" s="26"/>
      <c r="O2479" s="2"/>
      <c r="P2479" s="24"/>
    </row>
    <row r="2480" spans="1:16" ht="9.75" customHeight="1">
      <c r="A2480" s="18"/>
      <c r="B2480" s="18" t="s">
        <v>104</v>
      </c>
      <c r="C2480" s="18"/>
      <c r="D2480" s="26"/>
      <c r="E2480" s="2"/>
      <c r="F2480" s="2"/>
      <c r="G2480" s="2"/>
      <c r="H2480" s="2"/>
      <c r="I2480" s="2"/>
      <c r="J2480" s="2"/>
      <c r="K2480" s="2"/>
      <c r="L2480" s="2"/>
      <c r="M2480" s="27"/>
      <c r="N2480" s="26"/>
      <c r="O2480" s="2"/>
      <c r="P2480" s="24"/>
    </row>
    <row r="2481" spans="1:16" ht="9.75" customHeight="1">
      <c r="A2481" s="18"/>
      <c r="B2481" s="18" t="s">
        <v>104</v>
      </c>
      <c r="C2481" s="18"/>
      <c r="D2481" s="26"/>
      <c r="E2481" s="2"/>
      <c r="F2481" s="2"/>
      <c r="G2481" s="2"/>
      <c r="H2481" s="2"/>
      <c r="I2481" s="2"/>
      <c r="J2481" s="2"/>
      <c r="K2481" s="2"/>
      <c r="L2481" s="2"/>
      <c r="M2481" s="27"/>
      <c r="N2481" s="26"/>
      <c r="O2481" s="2"/>
      <c r="P2481" s="24"/>
    </row>
    <row r="2482" spans="1:16" ht="9.75" customHeight="1">
      <c r="A2482" s="18"/>
      <c r="B2482" s="18" t="s">
        <v>34</v>
      </c>
      <c r="C2482" s="18">
        <v>2</v>
      </c>
      <c r="D2482" s="115">
        <v>1</v>
      </c>
      <c r="E2482" s="194">
        <v>0</v>
      </c>
      <c r="F2482" s="194">
        <v>0</v>
      </c>
      <c r="G2482" s="194">
        <v>0</v>
      </c>
      <c r="H2482" s="194">
        <v>0</v>
      </c>
      <c r="I2482" s="116">
        <v>2</v>
      </c>
      <c r="J2482" s="116">
        <v>2</v>
      </c>
      <c r="K2482" s="116">
        <v>2</v>
      </c>
      <c r="L2482" s="116">
        <v>2</v>
      </c>
      <c r="M2482" s="147">
        <v>2</v>
      </c>
      <c r="N2482" s="26">
        <f>MIN(D2482:M2482)</f>
        <v>0</v>
      </c>
      <c r="O2482" s="2">
        <f>C2482-N2482</f>
        <v>2</v>
      </c>
      <c r="P2482" s="24">
        <f>O2482/C2482</f>
        <v>1</v>
      </c>
    </row>
    <row r="2483" spans="1:16" ht="9.75" customHeight="1">
      <c r="A2483" s="18"/>
      <c r="B2483" s="18" t="s">
        <v>35</v>
      </c>
      <c r="C2483" s="18"/>
      <c r="D2483" s="26"/>
      <c r="E2483" s="2"/>
      <c r="F2483" s="2"/>
      <c r="G2483" s="2"/>
      <c r="H2483" s="2"/>
      <c r="I2483" s="2"/>
      <c r="J2483" s="2"/>
      <c r="K2483" s="2"/>
      <c r="L2483" s="2"/>
      <c r="M2483" s="27"/>
      <c r="N2483" s="26"/>
      <c r="O2483" s="2"/>
      <c r="P2483" s="24"/>
    </row>
    <row r="2484" spans="1:16" ht="9.75" customHeight="1">
      <c r="A2484" s="18"/>
      <c r="B2484" s="18" t="s">
        <v>36</v>
      </c>
      <c r="C2484" s="18"/>
      <c r="D2484" s="26"/>
      <c r="E2484" s="2"/>
      <c r="F2484" s="2"/>
      <c r="G2484" s="2"/>
      <c r="H2484" s="2"/>
      <c r="I2484" s="2"/>
      <c r="J2484" s="2"/>
      <c r="K2484" s="2"/>
      <c r="L2484" s="2"/>
      <c r="M2484" s="27"/>
      <c r="N2484" s="26"/>
      <c r="O2484" s="2"/>
      <c r="P2484" s="24"/>
    </row>
    <row r="2485" spans="1:16" ht="9.75" customHeight="1">
      <c r="A2485" s="18"/>
      <c r="B2485" s="18" t="s">
        <v>37</v>
      </c>
      <c r="C2485" s="18"/>
      <c r="D2485" s="26"/>
      <c r="E2485" s="2"/>
      <c r="F2485" s="2"/>
      <c r="G2485" s="2"/>
      <c r="H2485" s="2"/>
      <c r="I2485" s="2"/>
      <c r="J2485" s="2"/>
      <c r="K2485" s="2"/>
      <c r="L2485" s="2"/>
      <c r="M2485" s="27"/>
      <c r="N2485" s="26"/>
      <c r="O2485" s="2"/>
      <c r="P2485" s="24"/>
    </row>
    <row r="2486" spans="1:16" ht="9.75" customHeight="1">
      <c r="A2486" s="32"/>
      <c r="B2486" s="70" t="s">
        <v>38</v>
      </c>
      <c r="C2486" s="70">
        <f t="shared" ref="C2486:M2486" si="474">SUM(C2470:C2485)</f>
        <v>31</v>
      </c>
      <c r="D2486" s="70">
        <f t="shared" si="474"/>
        <v>4</v>
      </c>
      <c r="E2486" s="71">
        <f t="shared" si="474"/>
        <v>2</v>
      </c>
      <c r="F2486" s="71">
        <f t="shared" si="474"/>
        <v>2</v>
      </c>
      <c r="G2486" s="71">
        <f t="shared" si="474"/>
        <v>2</v>
      </c>
      <c r="H2486" s="71">
        <f t="shared" si="474"/>
        <v>2</v>
      </c>
      <c r="I2486" s="71">
        <f t="shared" si="474"/>
        <v>7</v>
      </c>
      <c r="J2486" s="71">
        <f t="shared" si="474"/>
        <v>7</v>
      </c>
      <c r="K2486" s="71">
        <f t="shared" si="474"/>
        <v>7</v>
      </c>
      <c r="L2486" s="71">
        <f t="shared" si="474"/>
        <v>7</v>
      </c>
      <c r="M2486" s="93">
        <f t="shared" si="474"/>
        <v>7</v>
      </c>
      <c r="N2486" s="71">
        <f>MIN(D2486:M2486)</f>
        <v>2</v>
      </c>
      <c r="O2486" s="71">
        <f>C2486-N2486</f>
        <v>29</v>
      </c>
      <c r="P2486" s="40">
        <f>O2486/C2486</f>
        <v>0.93548387096774188</v>
      </c>
    </row>
    <row r="2487" spans="1:16" ht="9.75" customHeight="1">
      <c r="A2487" s="66" t="s">
        <v>351</v>
      </c>
      <c r="B2487" s="66" t="s">
        <v>23</v>
      </c>
      <c r="C2487" s="18"/>
      <c r="D2487" s="26"/>
      <c r="E2487" s="2"/>
      <c r="F2487" s="2"/>
      <c r="G2487" s="2"/>
      <c r="H2487" s="2"/>
      <c r="I2487" s="2"/>
      <c r="J2487" s="2"/>
      <c r="K2487" s="2"/>
      <c r="L2487" s="2"/>
      <c r="M2487" s="27"/>
      <c r="N2487" s="26"/>
      <c r="O2487" s="2"/>
      <c r="P2487" s="24"/>
    </row>
    <row r="2488" spans="1:16" ht="9.75" customHeight="1">
      <c r="A2488" s="18"/>
      <c r="B2488" s="18" t="s">
        <v>25</v>
      </c>
      <c r="C2488" s="18"/>
      <c r="D2488" s="26"/>
      <c r="E2488" s="2"/>
      <c r="F2488" s="2"/>
      <c r="G2488" s="2"/>
      <c r="H2488" s="2"/>
      <c r="I2488" s="2"/>
      <c r="J2488" s="2"/>
      <c r="K2488" s="2"/>
      <c r="L2488" s="2"/>
      <c r="M2488" s="27"/>
      <c r="N2488" s="26"/>
      <c r="O2488" s="2"/>
      <c r="P2488" s="24"/>
    </row>
    <row r="2489" spans="1:16" ht="9.75" customHeight="1">
      <c r="A2489" s="18"/>
      <c r="B2489" s="18" t="s">
        <v>27</v>
      </c>
      <c r="C2489" s="18"/>
      <c r="D2489" s="26"/>
      <c r="E2489" s="2"/>
      <c r="F2489" s="2"/>
      <c r="G2489" s="2"/>
      <c r="H2489" s="2"/>
      <c r="I2489" s="2"/>
      <c r="J2489" s="2"/>
      <c r="K2489" s="2"/>
      <c r="L2489" s="2"/>
      <c r="M2489" s="27"/>
      <c r="N2489" s="26"/>
      <c r="O2489" s="2"/>
      <c r="P2489" s="24"/>
    </row>
    <row r="2490" spans="1:16" ht="9.75" customHeight="1">
      <c r="A2490" s="18"/>
      <c r="B2490" s="18" t="s">
        <v>99</v>
      </c>
      <c r="C2490" s="18"/>
      <c r="D2490" s="26"/>
      <c r="E2490" s="2"/>
      <c r="F2490" s="2"/>
      <c r="G2490" s="2"/>
      <c r="H2490" s="2"/>
      <c r="I2490" s="2"/>
      <c r="J2490" s="2"/>
      <c r="K2490" s="2"/>
      <c r="L2490" s="2"/>
      <c r="M2490" s="27"/>
      <c r="N2490" s="26"/>
      <c r="O2490" s="2"/>
      <c r="P2490" s="24"/>
    </row>
    <row r="2491" spans="1:16" ht="9.75" customHeight="1">
      <c r="A2491" s="18"/>
      <c r="B2491" s="18" t="s">
        <v>99</v>
      </c>
      <c r="C2491" s="18"/>
      <c r="D2491" s="26"/>
      <c r="E2491" s="2"/>
      <c r="F2491" s="2"/>
      <c r="G2491" s="2"/>
      <c r="H2491" s="2"/>
      <c r="I2491" s="2"/>
      <c r="J2491" s="2"/>
      <c r="K2491" s="2"/>
      <c r="L2491" s="2"/>
      <c r="M2491" s="27"/>
      <c r="N2491" s="26"/>
      <c r="O2491" s="2"/>
      <c r="P2491" s="24"/>
    </row>
    <row r="2492" spans="1:16" ht="9.75" customHeight="1">
      <c r="A2492" s="18"/>
      <c r="B2492" s="18" t="s">
        <v>32</v>
      </c>
      <c r="C2492" s="26">
        <v>32</v>
      </c>
      <c r="D2492" s="161">
        <v>20</v>
      </c>
      <c r="E2492" s="137">
        <v>19</v>
      </c>
      <c r="F2492" s="137">
        <v>18</v>
      </c>
      <c r="G2492" s="52">
        <f>C2492-17</f>
        <v>15</v>
      </c>
      <c r="H2492" s="52">
        <f>C2492-15</f>
        <v>17</v>
      </c>
      <c r="I2492" s="52">
        <f>32-15</f>
        <v>17</v>
      </c>
      <c r="J2492" s="52">
        <f>32-14</f>
        <v>18</v>
      </c>
      <c r="K2492" s="52">
        <f>32-13</f>
        <v>19</v>
      </c>
      <c r="L2492" s="52">
        <f>32-8</f>
        <v>24</v>
      </c>
      <c r="M2492" s="87">
        <f>32-7</f>
        <v>25</v>
      </c>
      <c r="N2492" s="23">
        <f>MIN(D2492:M2492)</f>
        <v>15</v>
      </c>
      <c r="O2492" s="23">
        <f>C2492-N2492</f>
        <v>17</v>
      </c>
      <c r="P2492" s="24">
        <f>O2492/C2492</f>
        <v>0.53125</v>
      </c>
    </row>
    <row r="2493" spans="1:16" ht="9.75" customHeight="1">
      <c r="A2493" s="18"/>
      <c r="B2493" s="18" t="s">
        <v>174</v>
      </c>
      <c r="C2493" s="18"/>
      <c r="D2493" s="26"/>
      <c r="E2493" s="2"/>
      <c r="F2493" s="2"/>
      <c r="G2493" s="2"/>
      <c r="H2493" s="2"/>
      <c r="I2493" s="2"/>
      <c r="J2493" s="2"/>
      <c r="K2493" s="2"/>
      <c r="L2493" s="2"/>
      <c r="M2493" s="27"/>
      <c r="N2493" s="26"/>
      <c r="O2493" s="2"/>
      <c r="P2493" s="24"/>
    </row>
    <row r="2494" spans="1:16" ht="9.75" customHeight="1">
      <c r="A2494" s="18"/>
      <c r="B2494" s="18" t="s">
        <v>104</v>
      </c>
      <c r="C2494" s="18"/>
      <c r="D2494" s="26"/>
      <c r="E2494" s="2"/>
      <c r="F2494" s="2"/>
      <c r="G2494" s="2"/>
      <c r="H2494" s="2"/>
      <c r="I2494" s="2"/>
      <c r="J2494" s="2"/>
      <c r="K2494" s="2"/>
      <c r="L2494" s="2"/>
      <c r="M2494" s="27"/>
      <c r="N2494" s="26"/>
      <c r="O2494" s="2"/>
      <c r="P2494" s="24"/>
    </row>
    <row r="2495" spans="1:16" ht="9.75" customHeight="1">
      <c r="A2495" s="18"/>
      <c r="B2495" s="18" t="s">
        <v>174</v>
      </c>
      <c r="C2495" s="18"/>
      <c r="D2495" s="26"/>
      <c r="E2495" s="2"/>
      <c r="F2495" s="2"/>
      <c r="G2495" s="2"/>
      <c r="H2495" s="2"/>
      <c r="I2495" s="2"/>
      <c r="J2495" s="2"/>
      <c r="K2495" s="2"/>
      <c r="L2495" s="2"/>
      <c r="M2495" s="27"/>
      <c r="N2495" s="26"/>
      <c r="O2495" s="2"/>
      <c r="P2495" s="24"/>
    </row>
    <row r="2496" spans="1:16" ht="9.75" customHeight="1">
      <c r="A2496" s="18"/>
      <c r="B2496" s="18" t="s">
        <v>104</v>
      </c>
      <c r="C2496" s="18"/>
      <c r="D2496" s="26"/>
      <c r="E2496" s="2"/>
      <c r="F2496" s="2"/>
      <c r="G2496" s="2"/>
      <c r="H2496" s="2"/>
      <c r="I2496" s="2"/>
      <c r="J2496" s="2"/>
      <c r="K2496" s="2"/>
      <c r="L2496" s="2"/>
      <c r="M2496" s="27"/>
      <c r="N2496" s="26"/>
      <c r="O2496" s="2"/>
      <c r="P2496" s="24"/>
    </row>
    <row r="2497" spans="1:16" ht="9.75" customHeight="1">
      <c r="A2497" s="18"/>
      <c r="B2497" s="18" t="s">
        <v>104</v>
      </c>
      <c r="C2497" s="18"/>
      <c r="D2497" s="26"/>
      <c r="E2497" s="2"/>
      <c r="F2497" s="2"/>
      <c r="G2497" s="2"/>
      <c r="H2497" s="2"/>
      <c r="I2497" s="2"/>
      <c r="J2497" s="2"/>
      <c r="K2497" s="2"/>
      <c r="L2497" s="2"/>
      <c r="M2497" s="27"/>
      <c r="N2497" s="26"/>
      <c r="O2497" s="2"/>
      <c r="P2497" s="24"/>
    </row>
    <row r="2498" spans="1:16" ht="9.75" customHeight="1">
      <c r="A2498" s="18"/>
      <c r="B2498" s="18" t="s">
        <v>104</v>
      </c>
      <c r="C2498" s="18"/>
      <c r="D2498" s="26"/>
      <c r="E2498" s="2"/>
      <c r="F2498" s="2"/>
      <c r="G2498" s="2"/>
      <c r="H2498" s="2"/>
      <c r="I2498" s="2"/>
      <c r="J2498" s="2"/>
      <c r="K2498" s="2"/>
      <c r="L2498" s="2"/>
      <c r="M2498" s="27"/>
      <c r="N2498" s="26"/>
      <c r="O2498" s="2"/>
      <c r="P2498" s="24"/>
    </row>
    <row r="2499" spans="1:16" ht="9.75" customHeight="1">
      <c r="A2499" s="18"/>
      <c r="B2499" s="18" t="s">
        <v>34</v>
      </c>
      <c r="C2499" s="18">
        <v>2</v>
      </c>
      <c r="D2499" s="115">
        <v>0</v>
      </c>
      <c r="E2499" s="116">
        <v>0</v>
      </c>
      <c r="F2499" s="116">
        <v>0</v>
      </c>
      <c r="G2499" s="116">
        <v>0</v>
      </c>
      <c r="H2499" s="116">
        <v>0</v>
      </c>
      <c r="I2499" s="116">
        <v>0</v>
      </c>
      <c r="J2499" s="116">
        <v>0</v>
      </c>
      <c r="K2499" s="116">
        <v>0</v>
      </c>
      <c r="L2499" s="116">
        <v>0</v>
      </c>
      <c r="M2499" s="147">
        <v>0</v>
      </c>
      <c r="N2499" s="26">
        <f>MIN(D2499:M2499)</f>
        <v>0</v>
      </c>
      <c r="O2499" s="2">
        <f>C2499-N2499</f>
        <v>2</v>
      </c>
      <c r="P2499" s="24">
        <f>O2499/C2499</f>
        <v>1</v>
      </c>
    </row>
    <row r="2500" spans="1:16" ht="9.75" customHeight="1">
      <c r="A2500" s="18"/>
      <c r="B2500" s="18" t="s">
        <v>35</v>
      </c>
      <c r="C2500" s="18"/>
      <c r="D2500" s="26"/>
      <c r="E2500" s="2"/>
      <c r="F2500" s="2"/>
      <c r="G2500" s="2"/>
      <c r="H2500" s="2"/>
      <c r="I2500" s="2"/>
      <c r="J2500" s="2"/>
      <c r="K2500" s="2"/>
      <c r="L2500" s="2"/>
      <c r="M2500" s="27"/>
      <c r="N2500" s="26"/>
      <c r="O2500" s="2"/>
      <c r="P2500" s="24"/>
    </row>
    <row r="2501" spans="1:16" ht="9.75" customHeight="1">
      <c r="A2501" s="18"/>
      <c r="B2501" s="18" t="s">
        <v>36</v>
      </c>
      <c r="C2501" s="18"/>
      <c r="D2501" s="26"/>
      <c r="E2501" s="2"/>
      <c r="F2501" s="2"/>
      <c r="G2501" s="2"/>
      <c r="H2501" s="2"/>
      <c r="I2501" s="2"/>
      <c r="J2501" s="2"/>
      <c r="K2501" s="2"/>
      <c r="L2501" s="2"/>
      <c r="M2501" s="27"/>
      <c r="N2501" s="26"/>
      <c r="O2501" s="2"/>
      <c r="P2501" s="24"/>
    </row>
    <row r="2502" spans="1:16" ht="9.75" customHeight="1">
      <c r="A2502" s="18"/>
      <c r="B2502" s="18" t="s">
        <v>37</v>
      </c>
      <c r="C2502" s="18"/>
      <c r="D2502" s="26"/>
      <c r="E2502" s="2"/>
      <c r="F2502" s="2"/>
      <c r="G2502" s="2"/>
      <c r="H2502" s="2"/>
      <c r="I2502" s="2"/>
      <c r="J2502" s="2"/>
      <c r="K2502" s="2"/>
      <c r="L2502" s="2"/>
      <c r="M2502" s="27"/>
      <c r="N2502" s="26"/>
      <c r="O2502" s="2"/>
      <c r="P2502" s="24"/>
    </row>
    <row r="2503" spans="1:16" ht="9.75" customHeight="1">
      <c r="A2503" s="32"/>
      <c r="B2503" s="70" t="s">
        <v>38</v>
      </c>
      <c r="C2503" s="70">
        <f t="shared" ref="C2503:M2503" si="475">SUM(C2487:C2502)</f>
        <v>34</v>
      </c>
      <c r="D2503" s="70">
        <f t="shared" si="475"/>
        <v>20</v>
      </c>
      <c r="E2503" s="71">
        <f t="shared" si="475"/>
        <v>19</v>
      </c>
      <c r="F2503" s="71">
        <f t="shared" si="475"/>
        <v>18</v>
      </c>
      <c r="G2503" s="71">
        <f t="shared" si="475"/>
        <v>15</v>
      </c>
      <c r="H2503" s="71">
        <f t="shared" si="475"/>
        <v>17</v>
      </c>
      <c r="I2503" s="71">
        <f t="shared" si="475"/>
        <v>17</v>
      </c>
      <c r="J2503" s="71">
        <f t="shared" si="475"/>
        <v>18</v>
      </c>
      <c r="K2503" s="71">
        <f t="shared" si="475"/>
        <v>19</v>
      </c>
      <c r="L2503" s="71">
        <f t="shared" si="475"/>
        <v>24</v>
      </c>
      <c r="M2503" s="93">
        <f t="shared" si="475"/>
        <v>25</v>
      </c>
      <c r="N2503" s="71">
        <f>MIN(D2503:M2503)</f>
        <v>15</v>
      </c>
      <c r="O2503" s="71">
        <f>C2503-N2503</f>
        <v>19</v>
      </c>
      <c r="P2503" s="40">
        <f>O2503/C2503</f>
        <v>0.55882352941176472</v>
      </c>
    </row>
    <row r="2504" spans="1:16" ht="9.75" customHeight="1">
      <c r="A2504" s="66" t="s">
        <v>352</v>
      </c>
      <c r="B2504" s="66" t="s">
        <v>23</v>
      </c>
      <c r="C2504" s="18"/>
      <c r="D2504" s="26"/>
      <c r="E2504" s="2"/>
      <c r="F2504" s="2"/>
      <c r="G2504" s="2"/>
      <c r="H2504" s="2"/>
      <c r="I2504" s="2"/>
      <c r="J2504" s="2"/>
      <c r="K2504" s="2"/>
      <c r="L2504" s="2"/>
      <c r="M2504" s="27"/>
      <c r="N2504" s="26"/>
      <c r="O2504" s="2"/>
      <c r="P2504" s="24"/>
    </row>
    <row r="2505" spans="1:16" ht="9.75" customHeight="1">
      <c r="A2505" s="18"/>
      <c r="B2505" s="18" t="s">
        <v>25</v>
      </c>
      <c r="C2505" s="18"/>
      <c r="D2505" s="26"/>
      <c r="E2505" s="2"/>
      <c r="F2505" s="2"/>
      <c r="G2505" s="2"/>
      <c r="H2505" s="2"/>
      <c r="I2505" s="2"/>
      <c r="J2505" s="2"/>
      <c r="K2505" s="2"/>
      <c r="L2505" s="2"/>
      <c r="M2505" s="27"/>
      <c r="N2505" s="26"/>
      <c r="O2505" s="2"/>
      <c r="P2505" s="24"/>
    </row>
    <row r="2506" spans="1:16" ht="9.75" customHeight="1">
      <c r="A2506" s="18"/>
      <c r="B2506" s="18" t="s">
        <v>27</v>
      </c>
      <c r="C2506" s="18"/>
      <c r="D2506" s="26"/>
      <c r="E2506" s="2"/>
      <c r="F2506" s="2"/>
      <c r="G2506" s="2"/>
      <c r="H2506" s="2"/>
      <c r="I2506" s="2"/>
      <c r="J2506" s="2"/>
      <c r="K2506" s="2"/>
      <c r="L2506" s="2"/>
      <c r="M2506" s="27"/>
      <c r="N2506" s="26"/>
      <c r="O2506" s="2"/>
      <c r="P2506" s="24"/>
    </row>
    <row r="2507" spans="1:16" ht="9.75" customHeight="1">
      <c r="A2507" s="18"/>
      <c r="B2507" s="18" t="s">
        <v>99</v>
      </c>
      <c r="C2507" s="18"/>
      <c r="D2507" s="26"/>
      <c r="E2507" s="2"/>
      <c r="F2507" s="2"/>
      <c r="G2507" s="2"/>
      <c r="H2507" s="2"/>
      <c r="I2507" s="2"/>
      <c r="J2507" s="2"/>
      <c r="K2507" s="2"/>
      <c r="L2507" s="2"/>
      <c r="M2507" s="27"/>
      <c r="N2507" s="26"/>
      <c r="O2507" s="2"/>
      <c r="P2507" s="24"/>
    </row>
    <row r="2508" spans="1:16" ht="9.75" customHeight="1">
      <c r="A2508" s="18"/>
      <c r="B2508" s="18" t="s">
        <v>99</v>
      </c>
      <c r="C2508" s="18"/>
      <c r="D2508" s="26"/>
      <c r="E2508" s="2"/>
      <c r="F2508" s="2"/>
      <c r="G2508" s="2"/>
      <c r="H2508" s="2"/>
      <c r="I2508" s="2"/>
      <c r="J2508" s="2"/>
      <c r="K2508" s="2"/>
      <c r="L2508" s="2"/>
      <c r="M2508" s="27"/>
      <c r="N2508" s="26"/>
      <c r="O2508" s="2"/>
      <c r="P2508" s="24"/>
    </row>
    <row r="2509" spans="1:16" ht="9.75" customHeight="1">
      <c r="A2509" s="18"/>
      <c r="B2509" s="18" t="s">
        <v>32</v>
      </c>
      <c r="C2509" s="18">
        <v>7</v>
      </c>
      <c r="D2509" s="115">
        <v>4</v>
      </c>
      <c r="E2509" s="116">
        <v>4</v>
      </c>
      <c r="F2509" s="116">
        <v>6</v>
      </c>
      <c r="G2509" s="116">
        <v>5</v>
      </c>
      <c r="H2509" s="116">
        <v>6</v>
      </c>
      <c r="I2509" s="116">
        <v>4</v>
      </c>
      <c r="J2509" s="116">
        <v>4</v>
      </c>
      <c r="K2509" s="116">
        <v>4</v>
      </c>
      <c r="L2509" s="116">
        <v>5</v>
      </c>
      <c r="M2509" s="147">
        <v>5</v>
      </c>
      <c r="N2509" s="26">
        <f>MIN(D2509:M2509)</f>
        <v>4</v>
      </c>
      <c r="O2509" s="2">
        <f>C2509-N2509</f>
        <v>3</v>
      </c>
      <c r="P2509" s="24">
        <f>O2509/C2509</f>
        <v>0.42857142857142855</v>
      </c>
    </row>
    <row r="2510" spans="1:16" ht="9.75" customHeight="1">
      <c r="A2510" s="18"/>
      <c r="B2510" s="18" t="s">
        <v>104</v>
      </c>
      <c r="C2510" s="18"/>
      <c r="D2510" s="26"/>
      <c r="E2510" s="2"/>
      <c r="F2510" s="2"/>
      <c r="G2510" s="2"/>
      <c r="H2510" s="2"/>
      <c r="I2510" s="2"/>
      <c r="J2510" s="2"/>
      <c r="K2510" s="2"/>
      <c r="L2510" s="2"/>
      <c r="M2510" s="27"/>
      <c r="N2510" s="26"/>
      <c r="O2510" s="2"/>
      <c r="P2510" s="24"/>
    </row>
    <row r="2511" spans="1:16" ht="9.75" customHeight="1">
      <c r="A2511" s="18"/>
      <c r="B2511" s="18" t="s">
        <v>104</v>
      </c>
      <c r="C2511" s="18"/>
      <c r="D2511" s="26"/>
      <c r="E2511" s="2"/>
      <c r="F2511" s="2"/>
      <c r="G2511" s="2"/>
      <c r="H2511" s="2"/>
      <c r="I2511" s="2"/>
      <c r="J2511" s="2"/>
      <c r="K2511" s="2"/>
      <c r="L2511" s="2"/>
      <c r="M2511" s="27"/>
      <c r="N2511" s="26"/>
      <c r="O2511" s="2"/>
      <c r="P2511" s="24"/>
    </row>
    <row r="2512" spans="1:16" ht="9.75" customHeight="1">
      <c r="A2512" s="18"/>
      <c r="B2512" s="18" t="s">
        <v>104</v>
      </c>
      <c r="C2512" s="18"/>
      <c r="D2512" s="26"/>
      <c r="E2512" s="2"/>
      <c r="F2512" s="2"/>
      <c r="G2512" s="2"/>
      <c r="H2512" s="2"/>
      <c r="I2512" s="2"/>
      <c r="J2512" s="2"/>
      <c r="K2512" s="2"/>
      <c r="L2512" s="2"/>
      <c r="M2512" s="27"/>
      <c r="N2512" s="26"/>
      <c r="O2512" s="2"/>
      <c r="P2512" s="24"/>
    </row>
    <row r="2513" spans="1:16" ht="9.75" customHeight="1">
      <c r="A2513" s="18"/>
      <c r="B2513" s="18" t="s">
        <v>104</v>
      </c>
      <c r="C2513" s="18"/>
      <c r="D2513" s="26"/>
      <c r="E2513" s="2"/>
      <c r="F2513" s="2"/>
      <c r="G2513" s="2"/>
      <c r="H2513" s="2"/>
      <c r="I2513" s="2"/>
      <c r="J2513" s="2"/>
      <c r="K2513" s="2"/>
      <c r="L2513" s="2"/>
      <c r="M2513" s="27"/>
      <c r="N2513" s="26"/>
      <c r="O2513" s="2"/>
      <c r="P2513" s="24"/>
    </row>
    <row r="2514" spans="1:16" ht="9.75" customHeight="1">
      <c r="A2514" s="18"/>
      <c r="B2514" s="18" t="s">
        <v>104</v>
      </c>
      <c r="C2514" s="18"/>
      <c r="D2514" s="26"/>
      <c r="E2514" s="2"/>
      <c r="F2514" s="2"/>
      <c r="G2514" s="2"/>
      <c r="H2514" s="2"/>
      <c r="I2514" s="2"/>
      <c r="J2514" s="2"/>
      <c r="K2514" s="2"/>
      <c r="L2514" s="2"/>
      <c r="M2514" s="27"/>
      <c r="N2514" s="26"/>
      <c r="O2514" s="2"/>
      <c r="P2514" s="24"/>
    </row>
    <row r="2515" spans="1:16" ht="9.75" customHeight="1">
      <c r="A2515" s="18"/>
      <c r="B2515" s="18" t="s">
        <v>104</v>
      </c>
      <c r="C2515" s="18"/>
      <c r="D2515" s="26"/>
      <c r="E2515" s="2"/>
      <c r="F2515" s="2"/>
      <c r="G2515" s="2"/>
      <c r="H2515" s="2"/>
      <c r="I2515" s="2"/>
      <c r="J2515" s="2"/>
      <c r="K2515" s="2"/>
      <c r="L2515" s="2"/>
      <c r="M2515" s="27"/>
      <c r="N2515" s="26"/>
      <c r="O2515" s="2"/>
      <c r="P2515" s="24"/>
    </row>
    <row r="2516" spans="1:16" ht="9.75" customHeight="1">
      <c r="A2516" s="18"/>
      <c r="B2516" s="18" t="s">
        <v>34</v>
      </c>
      <c r="C2516" s="18"/>
      <c r="D2516" s="26"/>
      <c r="E2516" s="2"/>
      <c r="F2516" s="2"/>
      <c r="G2516" s="2"/>
      <c r="H2516" s="2"/>
      <c r="I2516" s="2"/>
      <c r="J2516" s="2"/>
      <c r="K2516" s="2"/>
      <c r="L2516" s="2"/>
      <c r="M2516" s="27"/>
      <c r="N2516" s="26"/>
      <c r="O2516" s="2"/>
      <c r="P2516" s="24"/>
    </row>
    <row r="2517" spans="1:16" ht="9.75" customHeight="1">
      <c r="A2517" s="18"/>
      <c r="B2517" s="18" t="s">
        <v>35</v>
      </c>
      <c r="C2517" s="18">
        <v>2</v>
      </c>
      <c r="D2517" s="115">
        <v>0</v>
      </c>
      <c r="E2517" s="116">
        <v>0</v>
      </c>
      <c r="F2517" s="116">
        <v>0</v>
      </c>
      <c r="G2517" s="116">
        <v>0</v>
      </c>
      <c r="H2517" s="116">
        <v>0</v>
      </c>
      <c r="I2517" s="116">
        <v>0</v>
      </c>
      <c r="J2517" s="116">
        <v>0</v>
      </c>
      <c r="K2517" s="116">
        <v>0</v>
      </c>
      <c r="L2517" s="116">
        <v>3</v>
      </c>
      <c r="M2517" s="147">
        <v>3</v>
      </c>
      <c r="N2517" s="26">
        <f>MIN(D2517:M2517)</f>
        <v>0</v>
      </c>
      <c r="O2517" s="2">
        <f>C2517-N2517</f>
        <v>2</v>
      </c>
      <c r="P2517" s="24">
        <f>O2517/C2517</f>
        <v>1</v>
      </c>
    </row>
    <row r="2518" spans="1:16" ht="9.75" customHeight="1">
      <c r="A2518" s="18"/>
      <c r="B2518" s="18" t="s">
        <v>36</v>
      </c>
      <c r="C2518" s="18"/>
      <c r="D2518" s="26"/>
      <c r="E2518" s="2"/>
      <c r="F2518" s="2"/>
      <c r="G2518" s="2"/>
      <c r="H2518" s="2"/>
      <c r="I2518" s="2"/>
      <c r="J2518" s="2"/>
      <c r="K2518" s="2"/>
      <c r="L2518" s="2"/>
      <c r="M2518" s="27"/>
      <c r="N2518" s="26"/>
      <c r="O2518" s="2"/>
      <c r="P2518" s="24"/>
    </row>
    <row r="2519" spans="1:16" ht="9.75" customHeight="1">
      <c r="A2519" s="18"/>
      <c r="B2519" s="18" t="s">
        <v>37</v>
      </c>
      <c r="C2519" s="18">
        <v>4</v>
      </c>
      <c r="D2519" s="115">
        <v>3</v>
      </c>
      <c r="E2519" s="116">
        <v>2</v>
      </c>
      <c r="F2519" s="116">
        <v>1</v>
      </c>
      <c r="G2519" s="116">
        <v>1</v>
      </c>
      <c r="H2519" s="116">
        <v>3</v>
      </c>
      <c r="I2519" s="116">
        <v>0</v>
      </c>
      <c r="J2519" s="116">
        <v>0</v>
      </c>
      <c r="K2519" s="116">
        <v>0</v>
      </c>
      <c r="L2519" s="116">
        <v>0</v>
      </c>
      <c r="M2519" s="147">
        <v>0</v>
      </c>
      <c r="N2519" s="26">
        <f t="shared" ref="N2519:N2520" si="476">MIN(D2519:M2519)</f>
        <v>0</v>
      </c>
      <c r="O2519" s="2">
        <f t="shared" ref="O2519:O2520" si="477">C2519-N2519</f>
        <v>4</v>
      </c>
      <c r="P2519" s="24">
        <f t="shared" ref="P2519:P2520" si="478">O2519/C2519</f>
        <v>1</v>
      </c>
    </row>
    <row r="2520" spans="1:16" ht="9.75" customHeight="1">
      <c r="A2520" s="32"/>
      <c r="B2520" s="70" t="s">
        <v>38</v>
      </c>
      <c r="C2520" s="70">
        <f t="shared" ref="C2520:M2520" si="479">SUM(C2504:C2519)</f>
        <v>13</v>
      </c>
      <c r="D2520" s="70">
        <f t="shared" si="479"/>
        <v>7</v>
      </c>
      <c r="E2520" s="71">
        <f t="shared" si="479"/>
        <v>6</v>
      </c>
      <c r="F2520" s="71">
        <f t="shared" si="479"/>
        <v>7</v>
      </c>
      <c r="G2520" s="71">
        <f t="shared" si="479"/>
        <v>6</v>
      </c>
      <c r="H2520" s="71">
        <f t="shared" si="479"/>
        <v>9</v>
      </c>
      <c r="I2520" s="71">
        <f t="shared" si="479"/>
        <v>4</v>
      </c>
      <c r="J2520" s="71">
        <f t="shared" si="479"/>
        <v>4</v>
      </c>
      <c r="K2520" s="71">
        <f t="shared" si="479"/>
        <v>4</v>
      </c>
      <c r="L2520" s="71">
        <f t="shared" si="479"/>
        <v>8</v>
      </c>
      <c r="M2520" s="93">
        <f t="shared" si="479"/>
        <v>8</v>
      </c>
      <c r="N2520" s="71">
        <f t="shared" si="476"/>
        <v>4</v>
      </c>
      <c r="O2520" s="71">
        <f t="shared" si="477"/>
        <v>9</v>
      </c>
      <c r="P2520" s="40">
        <f t="shared" si="478"/>
        <v>0.69230769230769229</v>
      </c>
    </row>
    <row r="2521" spans="1:16" ht="9.75" customHeight="1">
      <c r="A2521" s="66" t="s">
        <v>353</v>
      </c>
      <c r="B2521" s="66" t="s">
        <v>23</v>
      </c>
      <c r="C2521" s="18"/>
      <c r="D2521" s="26"/>
      <c r="E2521" s="2"/>
      <c r="F2521" s="2"/>
      <c r="G2521" s="2"/>
      <c r="H2521" s="2"/>
      <c r="I2521" s="2"/>
      <c r="J2521" s="2"/>
      <c r="K2521" s="2"/>
      <c r="L2521" s="2"/>
      <c r="M2521" s="27"/>
      <c r="N2521" s="26"/>
      <c r="O2521" s="2"/>
      <c r="P2521" s="24"/>
    </row>
    <row r="2522" spans="1:16" ht="9.75" customHeight="1">
      <c r="A2522" s="18"/>
      <c r="B2522" s="18" t="s">
        <v>25</v>
      </c>
      <c r="C2522" s="18"/>
      <c r="D2522" s="26"/>
      <c r="E2522" s="2"/>
      <c r="F2522" s="2"/>
      <c r="G2522" s="2"/>
      <c r="H2522" s="2"/>
      <c r="I2522" s="2"/>
      <c r="J2522" s="2"/>
      <c r="K2522" s="2"/>
      <c r="L2522" s="2"/>
      <c r="M2522" s="27"/>
      <c r="N2522" s="26"/>
      <c r="O2522" s="2"/>
      <c r="P2522" s="24"/>
    </row>
    <row r="2523" spans="1:16" ht="9.75" customHeight="1">
      <c r="A2523" s="18"/>
      <c r="B2523" s="18" t="s">
        <v>27</v>
      </c>
      <c r="C2523" s="18"/>
      <c r="D2523" s="26"/>
      <c r="E2523" s="2"/>
      <c r="F2523" s="2"/>
      <c r="G2523" s="2"/>
      <c r="H2523" s="2"/>
      <c r="I2523" s="2"/>
      <c r="J2523" s="2"/>
      <c r="K2523" s="2"/>
      <c r="L2523" s="2"/>
      <c r="M2523" s="27"/>
      <c r="N2523" s="26"/>
      <c r="O2523" s="2"/>
      <c r="P2523" s="24"/>
    </row>
    <row r="2524" spans="1:16" ht="9.75" customHeight="1">
      <c r="A2524" s="18"/>
      <c r="B2524" s="18" t="s">
        <v>99</v>
      </c>
      <c r="C2524" s="18"/>
      <c r="D2524" s="26"/>
      <c r="E2524" s="2"/>
      <c r="F2524" s="2"/>
      <c r="G2524" s="2"/>
      <c r="H2524" s="2"/>
      <c r="I2524" s="2"/>
      <c r="J2524" s="2"/>
      <c r="K2524" s="2"/>
      <c r="L2524" s="2"/>
      <c r="M2524" s="27"/>
      <c r="N2524" s="26"/>
      <c r="O2524" s="2"/>
      <c r="P2524" s="24"/>
    </row>
    <row r="2525" spans="1:16" ht="9.75" customHeight="1">
      <c r="A2525" s="18"/>
      <c r="B2525" s="18" t="s">
        <v>99</v>
      </c>
      <c r="C2525" s="18"/>
      <c r="D2525" s="26"/>
      <c r="E2525" s="2"/>
      <c r="F2525" s="2"/>
      <c r="G2525" s="2"/>
      <c r="H2525" s="2"/>
      <c r="I2525" s="2"/>
      <c r="J2525" s="2"/>
      <c r="K2525" s="2"/>
      <c r="L2525" s="2"/>
      <c r="M2525" s="27"/>
      <c r="N2525" s="26"/>
      <c r="O2525" s="2"/>
      <c r="P2525" s="24"/>
    </row>
    <row r="2526" spans="1:16" ht="9.75" customHeight="1">
      <c r="A2526" s="18"/>
      <c r="B2526" s="18" t="s">
        <v>32</v>
      </c>
      <c r="C2526" s="18">
        <v>5</v>
      </c>
      <c r="D2526" s="161">
        <v>4</v>
      </c>
      <c r="E2526" s="137">
        <v>4</v>
      </c>
      <c r="F2526" s="137">
        <v>4</v>
      </c>
      <c r="G2526" s="137">
        <v>4</v>
      </c>
      <c r="H2526" s="137">
        <v>4</v>
      </c>
      <c r="I2526" s="137">
        <v>3</v>
      </c>
      <c r="J2526" s="137">
        <v>3</v>
      </c>
      <c r="K2526" s="137">
        <v>3</v>
      </c>
      <c r="L2526" s="137">
        <v>3</v>
      </c>
      <c r="M2526" s="138">
        <v>3</v>
      </c>
      <c r="N2526" s="19">
        <f>MIN(D2526:M2526)</f>
        <v>3</v>
      </c>
      <c r="O2526" s="23">
        <f>C2526-N2526</f>
        <v>2</v>
      </c>
      <c r="P2526" s="24">
        <f>O2526/C2526</f>
        <v>0.4</v>
      </c>
    </row>
    <row r="2527" spans="1:16" ht="9.75" customHeight="1">
      <c r="A2527" s="18"/>
      <c r="B2527" s="18" t="s">
        <v>216</v>
      </c>
      <c r="C2527" s="18"/>
      <c r="D2527" s="26"/>
      <c r="E2527" s="2"/>
      <c r="F2527" s="2"/>
      <c r="G2527" s="2"/>
      <c r="H2527" s="2"/>
      <c r="I2527" s="2"/>
      <c r="J2527" s="2"/>
      <c r="K2527" s="2"/>
      <c r="L2527" s="2"/>
      <c r="M2527" s="27"/>
      <c r="N2527" s="26"/>
      <c r="O2527" s="2"/>
      <c r="P2527" s="24"/>
    </row>
    <row r="2528" spans="1:16" ht="9.75" customHeight="1">
      <c r="A2528" s="18"/>
      <c r="B2528" s="18" t="s">
        <v>104</v>
      </c>
      <c r="C2528" s="18"/>
      <c r="D2528" s="26"/>
      <c r="E2528" s="2"/>
      <c r="F2528" s="2"/>
      <c r="G2528" s="2"/>
      <c r="H2528" s="2"/>
      <c r="I2528" s="2"/>
      <c r="J2528" s="2"/>
      <c r="K2528" s="2"/>
      <c r="L2528" s="2"/>
      <c r="M2528" s="27"/>
      <c r="N2528" s="26"/>
      <c r="O2528" s="2"/>
      <c r="P2528" s="24"/>
    </row>
    <row r="2529" spans="1:16" ht="9.75" customHeight="1">
      <c r="A2529" s="18"/>
      <c r="B2529" s="18" t="s">
        <v>104</v>
      </c>
      <c r="C2529" s="18"/>
      <c r="D2529" s="26"/>
      <c r="E2529" s="2"/>
      <c r="F2529" s="2"/>
      <c r="G2529" s="2"/>
      <c r="H2529" s="2"/>
      <c r="I2529" s="2"/>
      <c r="J2529" s="2"/>
      <c r="K2529" s="2"/>
      <c r="L2529" s="2"/>
      <c r="M2529" s="27"/>
      <c r="N2529" s="26"/>
      <c r="O2529" s="2"/>
      <c r="P2529" s="24"/>
    </row>
    <row r="2530" spans="1:16" ht="9.75" customHeight="1">
      <c r="A2530" s="18"/>
      <c r="B2530" s="18" t="s">
        <v>104</v>
      </c>
      <c r="C2530" s="18"/>
      <c r="D2530" s="26"/>
      <c r="E2530" s="2"/>
      <c r="F2530" s="2"/>
      <c r="G2530" s="2"/>
      <c r="H2530" s="2"/>
      <c r="I2530" s="2"/>
      <c r="J2530" s="2"/>
      <c r="K2530" s="2"/>
      <c r="L2530" s="2"/>
      <c r="M2530" s="27"/>
      <c r="N2530" s="26"/>
      <c r="O2530" s="2"/>
      <c r="P2530" s="24"/>
    </row>
    <row r="2531" spans="1:16" ht="9.75" customHeight="1">
      <c r="A2531" s="18"/>
      <c r="B2531" s="18" t="s">
        <v>104</v>
      </c>
      <c r="C2531" s="18"/>
      <c r="D2531" s="26"/>
      <c r="E2531" s="2"/>
      <c r="F2531" s="2"/>
      <c r="G2531" s="2"/>
      <c r="H2531" s="2"/>
      <c r="I2531" s="2"/>
      <c r="J2531" s="2"/>
      <c r="K2531" s="2"/>
      <c r="L2531" s="2"/>
      <c r="M2531" s="27"/>
      <c r="N2531" s="26"/>
      <c r="O2531" s="2"/>
      <c r="P2531" s="24"/>
    </row>
    <row r="2532" spans="1:16" ht="9.75" customHeight="1">
      <c r="A2532" s="18"/>
      <c r="B2532" s="18" t="s">
        <v>104</v>
      </c>
      <c r="C2532" s="18"/>
      <c r="D2532" s="26"/>
      <c r="E2532" s="2"/>
      <c r="F2532" s="2"/>
      <c r="G2532" s="2"/>
      <c r="H2532" s="2"/>
      <c r="I2532" s="2"/>
      <c r="J2532" s="2"/>
      <c r="K2532" s="2"/>
      <c r="L2532" s="2"/>
      <c r="M2532" s="27"/>
      <c r="N2532" s="26"/>
      <c r="O2532" s="2"/>
      <c r="P2532" s="24"/>
    </row>
    <row r="2533" spans="1:16" ht="9.75" customHeight="1">
      <c r="A2533" s="18"/>
      <c r="B2533" s="18" t="s">
        <v>34</v>
      </c>
      <c r="C2533" s="18">
        <v>2</v>
      </c>
      <c r="D2533" s="115">
        <v>1</v>
      </c>
      <c r="E2533" s="116">
        <v>1</v>
      </c>
      <c r="F2533" s="116">
        <v>1</v>
      </c>
      <c r="G2533" s="116">
        <v>1</v>
      </c>
      <c r="H2533" s="116">
        <v>0</v>
      </c>
      <c r="I2533" s="116">
        <v>0</v>
      </c>
      <c r="J2533" s="116">
        <v>2</v>
      </c>
      <c r="K2533" s="116">
        <v>0</v>
      </c>
      <c r="L2533" s="116">
        <v>0</v>
      </c>
      <c r="M2533" s="147">
        <v>0</v>
      </c>
      <c r="N2533" s="26">
        <f>MIN(D2533:M2533)</f>
        <v>0</v>
      </c>
      <c r="O2533" s="2">
        <f>C2533-N2533</f>
        <v>2</v>
      </c>
      <c r="P2533" s="24">
        <f>O2533/C2533</f>
        <v>1</v>
      </c>
    </row>
    <row r="2534" spans="1:16" ht="9.75" customHeight="1">
      <c r="A2534" s="18"/>
      <c r="B2534" s="18" t="s">
        <v>35</v>
      </c>
      <c r="C2534" s="18"/>
      <c r="D2534" s="26"/>
      <c r="E2534" s="2"/>
      <c r="F2534" s="2"/>
      <c r="G2534" s="2"/>
      <c r="H2534" s="2"/>
      <c r="I2534" s="2"/>
      <c r="J2534" s="2"/>
      <c r="K2534" s="2"/>
      <c r="L2534" s="2"/>
      <c r="M2534" s="27"/>
      <c r="N2534" s="26"/>
      <c r="O2534" s="2"/>
      <c r="P2534" s="24"/>
    </row>
    <row r="2535" spans="1:16" ht="9.75" customHeight="1">
      <c r="A2535" s="18"/>
      <c r="B2535" s="18" t="s">
        <v>36</v>
      </c>
      <c r="C2535" s="18"/>
      <c r="D2535" s="26"/>
      <c r="E2535" s="2"/>
      <c r="F2535" s="2"/>
      <c r="G2535" s="2"/>
      <c r="H2535" s="2"/>
      <c r="I2535" s="2"/>
      <c r="J2535" s="2"/>
      <c r="K2535" s="2"/>
      <c r="L2535" s="2"/>
      <c r="M2535" s="27"/>
      <c r="N2535" s="26"/>
      <c r="O2535" s="2"/>
      <c r="P2535" s="24"/>
    </row>
    <row r="2536" spans="1:16" ht="9.75" customHeight="1">
      <c r="A2536" s="18"/>
      <c r="B2536" s="18" t="s">
        <v>37</v>
      </c>
      <c r="C2536" s="18"/>
      <c r="D2536" s="26"/>
      <c r="E2536" s="2"/>
      <c r="F2536" s="2"/>
      <c r="G2536" s="2"/>
      <c r="H2536" s="2"/>
      <c r="I2536" s="2"/>
      <c r="J2536" s="2"/>
      <c r="K2536" s="2"/>
      <c r="L2536" s="2"/>
      <c r="M2536" s="27"/>
      <c r="N2536" s="26"/>
      <c r="O2536" s="2"/>
      <c r="P2536" s="24"/>
    </row>
    <row r="2537" spans="1:16" ht="9.75" customHeight="1">
      <c r="A2537" s="32"/>
      <c r="B2537" s="70" t="s">
        <v>38</v>
      </c>
      <c r="C2537" s="70">
        <f t="shared" ref="C2537:M2537" si="480">SUM(C2521:C2536)</f>
        <v>7</v>
      </c>
      <c r="D2537" s="70">
        <f t="shared" si="480"/>
        <v>5</v>
      </c>
      <c r="E2537" s="71">
        <f t="shared" si="480"/>
        <v>5</v>
      </c>
      <c r="F2537" s="71">
        <f t="shared" si="480"/>
        <v>5</v>
      </c>
      <c r="G2537" s="71">
        <f t="shared" si="480"/>
        <v>5</v>
      </c>
      <c r="H2537" s="71">
        <f t="shared" si="480"/>
        <v>4</v>
      </c>
      <c r="I2537" s="71">
        <f t="shared" si="480"/>
        <v>3</v>
      </c>
      <c r="J2537" s="71">
        <f t="shared" si="480"/>
        <v>5</v>
      </c>
      <c r="K2537" s="71">
        <f t="shared" si="480"/>
        <v>3</v>
      </c>
      <c r="L2537" s="71">
        <f t="shared" si="480"/>
        <v>3</v>
      </c>
      <c r="M2537" s="93">
        <f t="shared" si="480"/>
        <v>3</v>
      </c>
      <c r="N2537" s="71">
        <f t="shared" ref="N2537:N2538" si="481">MIN(D2537:M2537)</f>
        <v>3</v>
      </c>
      <c r="O2537" s="71">
        <f t="shared" ref="O2537:O2538" si="482">C2537-N2537</f>
        <v>4</v>
      </c>
      <c r="P2537" s="40">
        <f t="shared" ref="P2537:P2538" si="483">O2537/C2537</f>
        <v>0.5714285714285714</v>
      </c>
    </row>
    <row r="2538" spans="1:16" ht="9.75" customHeight="1">
      <c r="A2538" s="66" t="s">
        <v>354</v>
      </c>
      <c r="B2538" s="66" t="s">
        <v>355</v>
      </c>
      <c r="C2538" s="18">
        <v>85</v>
      </c>
      <c r="D2538" s="26">
        <f>C2538-47</f>
        <v>38</v>
      </c>
      <c r="E2538" s="2">
        <f>C2538-63</f>
        <v>22</v>
      </c>
      <c r="F2538" s="116">
        <v>12</v>
      </c>
      <c r="G2538" s="116">
        <v>7</v>
      </c>
      <c r="H2538" s="116">
        <v>5</v>
      </c>
      <c r="I2538" s="116">
        <v>3</v>
      </c>
      <c r="J2538" s="116">
        <v>3</v>
      </c>
      <c r="K2538" s="116">
        <v>6</v>
      </c>
      <c r="L2538" s="116">
        <v>9</v>
      </c>
      <c r="M2538" s="147">
        <v>15</v>
      </c>
      <c r="N2538" s="26">
        <f t="shared" si="481"/>
        <v>3</v>
      </c>
      <c r="O2538" s="2">
        <f t="shared" si="482"/>
        <v>82</v>
      </c>
      <c r="P2538" s="24">
        <f t="shared" si="483"/>
        <v>0.96470588235294119</v>
      </c>
    </row>
    <row r="2539" spans="1:16" ht="9.75" customHeight="1">
      <c r="A2539" s="18"/>
      <c r="B2539" s="18" t="s">
        <v>25</v>
      </c>
      <c r="C2539" s="18"/>
      <c r="D2539" s="26"/>
      <c r="E2539" s="2"/>
      <c r="F2539" s="2"/>
      <c r="G2539" s="2"/>
      <c r="H2539" s="2"/>
      <c r="I2539" s="2"/>
      <c r="J2539" s="2"/>
      <c r="K2539" s="2"/>
      <c r="L2539" s="2"/>
      <c r="M2539" s="27"/>
      <c r="N2539" s="26"/>
      <c r="O2539" s="2"/>
      <c r="P2539" s="24"/>
    </row>
    <row r="2540" spans="1:16" ht="9.75" customHeight="1">
      <c r="A2540" s="18"/>
      <c r="B2540" s="18" t="s">
        <v>27</v>
      </c>
      <c r="C2540" s="18"/>
      <c r="D2540" s="26"/>
      <c r="E2540" s="2"/>
      <c r="F2540" s="2"/>
      <c r="G2540" s="2"/>
      <c r="H2540" s="2"/>
      <c r="I2540" s="2"/>
      <c r="J2540" s="2"/>
      <c r="K2540" s="2"/>
      <c r="L2540" s="2"/>
      <c r="M2540" s="27"/>
      <c r="N2540" s="26"/>
      <c r="O2540" s="2"/>
      <c r="P2540" s="24"/>
    </row>
    <row r="2541" spans="1:16" ht="9.75" customHeight="1">
      <c r="A2541" s="18"/>
      <c r="B2541" s="18" t="s">
        <v>99</v>
      </c>
      <c r="C2541" s="18"/>
      <c r="D2541" s="26"/>
      <c r="E2541" s="2"/>
      <c r="F2541" s="2"/>
      <c r="G2541" s="2"/>
      <c r="H2541" s="2"/>
      <c r="I2541" s="2"/>
      <c r="J2541" s="2"/>
      <c r="K2541" s="2"/>
      <c r="L2541" s="2"/>
      <c r="M2541" s="27"/>
      <c r="N2541" s="26"/>
      <c r="O2541" s="2"/>
      <c r="P2541" s="24"/>
    </row>
    <row r="2542" spans="1:16" ht="9.75" customHeight="1">
      <c r="A2542" s="18"/>
      <c r="B2542" s="18" t="s">
        <v>99</v>
      </c>
      <c r="C2542" s="18"/>
      <c r="D2542" s="26"/>
      <c r="E2542" s="2"/>
      <c r="F2542" s="2"/>
      <c r="G2542" s="2"/>
      <c r="H2542" s="2"/>
      <c r="I2542" s="2"/>
      <c r="J2542" s="2"/>
      <c r="K2542" s="2"/>
      <c r="L2542" s="2"/>
      <c r="M2542" s="27"/>
      <c r="N2542" s="26"/>
      <c r="O2542" s="2"/>
      <c r="P2542" s="24"/>
    </row>
    <row r="2543" spans="1:16" ht="9.75" customHeight="1">
      <c r="A2543" s="18"/>
      <c r="B2543" s="18" t="s">
        <v>32</v>
      </c>
      <c r="C2543" s="18"/>
      <c r="D2543" s="26"/>
      <c r="E2543" s="2"/>
      <c r="F2543" s="2"/>
      <c r="G2543" s="2"/>
      <c r="H2543" s="2"/>
      <c r="I2543" s="2"/>
      <c r="J2543" s="2"/>
      <c r="K2543" s="2"/>
      <c r="L2543" s="2"/>
      <c r="M2543" s="27"/>
      <c r="N2543" s="26"/>
      <c r="O2543" s="2"/>
      <c r="P2543" s="24"/>
    </row>
    <row r="2544" spans="1:16" ht="9.75" customHeight="1">
      <c r="A2544" s="18"/>
      <c r="B2544" s="18" t="s">
        <v>356</v>
      </c>
      <c r="C2544" s="18">
        <v>10</v>
      </c>
      <c r="D2544" s="115">
        <v>7</v>
      </c>
      <c r="E2544" s="116">
        <v>1</v>
      </c>
      <c r="F2544" s="116">
        <v>1</v>
      </c>
      <c r="G2544" s="116">
        <v>1</v>
      </c>
      <c r="H2544" s="116">
        <v>2</v>
      </c>
      <c r="I2544" s="116">
        <v>2</v>
      </c>
      <c r="J2544" s="116">
        <v>3</v>
      </c>
      <c r="K2544" s="116">
        <v>1</v>
      </c>
      <c r="L2544" s="116">
        <v>7</v>
      </c>
      <c r="M2544" s="147">
        <v>9</v>
      </c>
      <c r="N2544" s="26">
        <f t="shared" ref="N2544:N2546" si="484">MIN(D2544:M2544)</f>
        <v>1</v>
      </c>
      <c r="O2544" s="2">
        <f t="shared" ref="O2544:O2546" si="485">C2544-N2544</f>
        <v>9</v>
      </c>
      <c r="P2544" s="24">
        <f t="shared" ref="P2544:P2546" si="486">O2544/C2544</f>
        <v>0.9</v>
      </c>
    </row>
    <row r="2545" spans="1:16" ht="9.75" customHeight="1">
      <c r="A2545" s="18"/>
      <c r="B2545" s="18" t="s">
        <v>357</v>
      </c>
      <c r="C2545" s="18">
        <v>2</v>
      </c>
      <c r="D2545" s="115">
        <v>1</v>
      </c>
      <c r="E2545" s="116">
        <v>1</v>
      </c>
      <c r="F2545" s="116">
        <v>1</v>
      </c>
      <c r="G2545" s="116">
        <v>1</v>
      </c>
      <c r="H2545" s="116">
        <v>1</v>
      </c>
      <c r="I2545" s="116">
        <v>0</v>
      </c>
      <c r="J2545" s="116">
        <v>0</v>
      </c>
      <c r="K2545" s="116">
        <v>0</v>
      </c>
      <c r="L2545" s="116">
        <v>0</v>
      </c>
      <c r="M2545" s="147">
        <v>0</v>
      </c>
      <c r="N2545" s="26">
        <f t="shared" si="484"/>
        <v>0</v>
      </c>
      <c r="O2545" s="2">
        <f t="shared" si="485"/>
        <v>2</v>
      </c>
      <c r="P2545" s="24">
        <f t="shared" si="486"/>
        <v>1</v>
      </c>
    </row>
    <row r="2546" spans="1:16" ht="9.75" customHeight="1">
      <c r="A2546" s="18"/>
      <c r="B2546" s="18" t="s">
        <v>346</v>
      </c>
      <c r="C2546" s="18">
        <v>4</v>
      </c>
      <c r="D2546" s="26"/>
      <c r="E2546" s="2"/>
      <c r="F2546" s="2"/>
      <c r="G2546" s="116" t="s">
        <v>358</v>
      </c>
      <c r="H2546" s="2"/>
      <c r="I2546" s="2"/>
      <c r="J2546" s="2"/>
      <c r="K2546" s="2"/>
      <c r="L2546" s="2"/>
      <c r="M2546" s="27"/>
      <c r="N2546" s="26">
        <f t="shared" si="484"/>
        <v>0</v>
      </c>
      <c r="O2546" s="2">
        <f t="shared" si="485"/>
        <v>4</v>
      </c>
      <c r="P2546" s="24">
        <f t="shared" si="486"/>
        <v>1</v>
      </c>
    </row>
    <row r="2547" spans="1:16" ht="9.75" customHeight="1">
      <c r="A2547" s="18"/>
      <c r="B2547" s="18" t="s">
        <v>104</v>
      </c>
      <c r="C2547" s="18"/>
      <c r="D2547" s="26"/>
      <c r="E2547" s="2"/>
      <c r="F2547" s="2"/>
      <c r="G2547" s="2"/>
      <c r="H2547" s="2"/>
      <c r="I2547" s="2"/>
      <c r="J2547" s="2"/>
      <c r="K2547" s="2"/>
      <c r="L2547" s="2"/>
      <c r="M2547" s="27"/>
      <c r="N2547" s="26"/>
      <c r="O2547" s="2"/>
      <c r="P2547" s="24"/>
    </row>
    <row r="2548" spans="1:16" ht="9.75" customHeight="1">
      <c r="A2548" s="18"/>
      <c r="B2548" s="18" t="s">
        <v>104</v>
      </c>
      <c r="C2548" s="18"/>
      <c r="D2548" s="26"/>
      <c r="E2548" s="2"/>
      <c r="F2548" s="2"/>
      <c r="G2548" s="2"/>
      <c r="H2548" s="2"/>
      <c r="I2548" s="2"/>
      <c r="J2548" s="2"/>
      <c r="K2548" s="2"/>
      <c r="L2548" s="2"/>
      <c r="M2548" s="27"/>
      <c r="N2548" s="26"/>
      <c r="O2548" s="2"/>
      <c r="P2548" s="24"/>
    </row>
    <row r="2549" spans="1:16" ht="9.75" customHeight="1">
      <c r="A2549" s="18"/>
      <c r="B2549" s="18" t="s">
        <v>104</v>
      </c>
      <c r="C2549" s="18"/>
      <c r="D2549" s="26"/>
      <c r="E2549" s="2"/>
      <c r="F2549" s="2"/>
      <c r="G2549" s="2"/>
      <c r="H2549" s="2"/>
      <c r="I2549" s="2"/>
      <c r="J2549" s="2"/>
      <c r="K2549" s="2"/>
      <c r="L2549" s="2"/>
      <c r="M2549" s="27"/>
      <c r="N2549" s="26"/>
      <c r="O2549" s="2"/>
      <c r="P2549" s="24"/>
    </row>
    <row r="2550" spans="1:16" ht="9.75" customHeight="1">
      <c r="A2550" s="18"/>
      <c r="B2550" s="18" t="s">
        <v>34</v>
      </c>
      <c r="C2550" s="18">
        <v>9</v>
      </c>
      <c r="D2550" s="115">
        <v>2</v>
      </c>
      <c r="E2550" s="116">
        <v>0</v>
      </c>
      <c r="F2550" s="116">
        <v>0</v>
      </c>
      <c r="G2550" s="116">
        <v>0</v>
      </c>
      <c r="H2550" s="116">
        <v>0</v>
      </c>
      <c r="I2550" s="116">
        <v>0</v>
      </c>
      <c r="J2550" s="116">
        <v>0</v>
      </c>
      <c r="K2550" s="116">
        <v>0</v>
      </c>
      <c r="L2550" s="116">
        <v>0</v>
      </c>
      <c r="M2550" s="147">
        <v>0</v>
      </c>
      <c r="N2550" s="26">
        <f>MIN(D2550:M2550)</f>
        <v>0</v>
      </c>
      <c r="O2550" s="2">
        <f>C2550-N2550</f>
        <v>9</v>
      </c>
      <c r="P2550" s="24">
        <f>O2550/C2550</f>
        <v>1</v>
      </c>
    </row>
    <row r="2551" spans="1:16" ht="9.75" customHeight="1">
      <c r="A2551" s="18"/>
      <c r="B2551" s="18" t="s">
        <v>35</v>
      </c>
      <c r="C2551" s="18"/>
      <c r="D2551" s="26"/>
      <c r="E2551" s="2"/>
      <c r="F2551" s="2"/>
      <c r="G2551" s="2"/>
      <c r="H2551" s="2"/>
      <c r="I2551" s="2"/>
      <c r="J2551" s="2"/>
      <c r="K2551" s="2"/>
      <c r="L2551" s="2"/>
      <c r="M2551" s="27"/>
      <c r="N2551" s="26"/>
      <c r="O2551" s="2"/>
      <c r="P2551" s="24"/>
    </row>
    <row r="2552" spans="1:16" ht="9.75" customHeight="1">
      <c r="A2552" s="18"/>
      <c r="B2552" s="18" t="s">
        <v>36</v>
      </c>
      <c r="C2552" s="18"/>
      <c r="D2552" s="26"/>
      <c r="E2552" s="2"/>
      <c r="F2552" s="2"/>
      <c r="G2552" s="2"/>
      <c r="H2552" s="2"/>
      <c r="I2552" s="2"/>
      <c r="J2552" s="2"/>
      <c r="K2552" s="2"/>
      <c r="L2552" s="2"/>
      <c r="M2552" s="27"/>
      <c r="N2552" s="26"/>
      <c r="O2552" s="2"/>
      <c r="P2552" s="24"/>
    </row>
    <row r="2553" spans="1:16" ht="9.75" customHeight="1">
      <c r="A2553" s="18"/>
      <c r="B2553" s="18" t="s">
        <v>37</v>
      </c>
      <c r="C2553" s="18">
        <v>2</v>
      </c>
      <c r="D2553" s="115">
        <v>0</v>
      </c>
      <c r="E2553" s="116">
        <v>1</v>
      </c>
      <c r="F2553" s="116">
        <v>0</v>
      </c>
      <c r="G2553" s="116">
        <v>0</v>
      </c>
      <c r="H2553" s="116">
        <v>0</v>
      </c>
      <c r="I2553" s="116">
        <v>1</v>
      </c>
      <c r="J2553" s="116">
        <v>1</v>
      </c>
      <c r="K2553" s="116">
        <v>1</v>
      </c>
      <c r="L2553" s="116">
        <v>1</v>
      </c>
      <c r="M2553" s="147">
        <v>1</v>
      </c>
      <c r="N2553" s="26"/>
      <c r="O2553" s="2"/>
      <c r="P2553" s="24"/>
    </row>
    <row r="2554" spans="1:16" ht="9.75" customHeight="1">
      <c r="A2554" s="32"/>
      <c r="B2554" s="70" t="s">
        <v>38</v>
      </c>
      <c r="C2554" s="70">
        <f t="shared" ref="C2554:M2554" si="487">SUM(C2538:C2553)</f>
        <v>112</v>
      </c>
      <c r="D2554" s="70">
        <f t="shared" si="487"/>
        <v>48</v>
      </c>
      <c r="E2554" s="71">
        <f t="shared" si="487"/>
        <v>25</v>
      </c>
      <c r="F2554" s="71">
        <f t="shared" si="487"/>
        <v>14</v>
      </c>
      <c r="G2554" s="71">
        <f t="shared" si="487"/>
        <v>9</v>
      </c>
      <c r="H2554" s="71">
        <f t="shared" si="487"/>
        <v>8</v>
      </c>
      <c r="I2554" s="71">
        <f t="shared" si="487"/>
        <v>6</v>
      </c>
      <c r="J2554" s="71">
        <f t="shared" si="487"/>
        <v>7</v>
      </c>
      <c r="K2554" s="71">
        <f t="shared" si="487"/>
        <v>8</v>
      </c>
      <c r="L2554" s="71">
        <f t="shared" si="487"/>
        <v>17</v>
      </c>
      <c r="M2554" s="93">
        <f t="shared" si="487"/>
        <v>25</v>
      </c>
      <c r="N2554" s="71">
        <f t="shared" ref="N2554:N2556" si="488">MIN(D2554:M2554)</f>
        <v>6</v>
      </c>
      <c r="O2554" s="71">
        <f t="shared" ref="O2554:O2556" si="489">C2554-N2554</f>
        <v>106</v>
      </c>
      <c r="P2554" s="40">
        <f t="shared" ref="P2554:P2556" si="490">O2554/C2554</f>
        <v>0.9464285714285714</v>
      </c>
    </row>
    <row r="2555" spans="1:16" ht="9.75" customHeight="1">
      <c r="A2555" s="66" t="s">
        <v>359</v>
      </c>
      <c r="B2555" s="66" t="s">
        <v>23</v>
      </c>
      <c r="C2555" s="18">
        <v>74</v>
      </c>
      <c r="D2555" s="26">
        <f>13+3</f>
        <v>16</v>
      </c>
      <c r="E2555" s="116">
        <v>4</v>
      </c>
      <c r="F2555" s="116">
        <v>0</v>
      </c>
      <c r="G2555" s="116">
        <v>0</v>
      </c>
      <c r="H2555" s="116">
        <v>4</v>
      </c>
      <c r="I2555" s="116">
        <v>0</v>
      </c>
      <c r="J2555" s="116">
        <v>3</v>
      </c>
      <c r="K2555" s="116">
        <v>1</v>
      </c>
      <c r="L2555" s="116">
        <v>4</v>
      </c>
      <c r="M2555" s="147">
        <v>10</v>
      </c>
      <c r="N2555" s="26">
        <f t="shared" si="488"/>
        <v>0</v>
      </c>
      <c r="O2555" s="2">
        <f t="shared" si="489"/>
        <v>74</v>
      </c>
      <c r="P2555" s="24">
        <f t="shared" si="490"/>
        <v>1</v>
      </c>
    </row>
    <row r="2556" spans="1:16" ht="9.75" customHeight="1">
      <c r="A2556" s="18"/>
      <c r="B2556" s="18" t="s">
        <v>25</v>
      </c>
      <c r="C2556" s="18">
        <v>111</v>
      </c>
      <c r="D2556" s="115">
        <v>5</v>
      </c>
      <c r="E2556" s="116">
        <v>0</v>
      </c>
      <c r="F2556" s="116">
        <v>0</v>
      </c>
      <c r="G2556" s="116">
        <v>0</v>
      </c>
      <c r="H2556" s="116">
        <v>0</v>
      </c>
      <c r="I2556" s="116">
        <v>1</v>
      </c>
      <c r="J2556" s="116">
        <v>1</v>
      </c>
      <c r="K2556" s="116">
        <v>0</v>
      </c>
      <c r="L2556" s="116">
        <v>13</v>
      </c>
      <c r="M2556" s="147">
        <v>21</v>
      </c>
      <c r="N2556" s="26">
        <f t="shared" si="488"/>
        <v>0</v>
      </c>
      <c r="O2556" s="2">
        <f t="shared" si="489"/>
        <v>111</v>
      </c>
      <c r="P2556" s="24">
        <f t="shared" si="490"/>
        <v>1</v>
      </c>
    </row>
    <row r="2557" spans="1:16" ht="9.75" customHeight="1">
      <c r="A2557" s="18"/>
      <c r="B2557" s="18" t="s">
        <v>27</v>
      </c>
      <c r="C2557" s="18"/>
      <c r="D2557" s="26"/>
      <c r="E2557" s="2"/>
      <c r="F2557" s="2"/>
      <c r="G2557" s="2"/>
      <c r="H2557" s="2"/>
      <c r="I2557" s="2"/>
      <c r="J2557" s="2"/>
      <c r="K2557" s="2"/>
      <c r="L2557" s="2"/>
      <c r="M2557" s="27"/>
      <c r="N2557" s="26"/>
      <c r="O2557" s="2"/>
      <c r="P2557" s="24"/>
    </row>
    <row r="2558" spans="1:16" ht="9.75" customHeight="1">
      <c r="A2558" s="18"/>
      <c r="B2558" s="18" t="s">
        <v>227</v>
      </c>
      <c r="C2558" s="18">
        <v>50</v>
      </c>
      <c r="D2558" s="115">
        <v>30</v>
      </c>
      <c r="E2558" s="116">
        <v>32</v>
      </c>
      <c r="F2558" s="116">
        <v>27</v>
      </c>
      <c r="G2558" s="116">
        <v>21</v>
      </c>
      <c r="H2558" s="116">
        <v>21</v>
      </c>
      <c r="I2558" s="116">
        <v>27</v>
      </c>
      <c r="J2558" s="116">
        <v>25</v>
      </c>
      <c r="K2558" s="116">
        <v>22</v>
      </c>
      <c r="L2558" s="2">
        <f>50-6</f>
        <v>44</v>
      </c>
      <c r="M2558" s="147">
        <v>45</v>
      </c>
      <c r="N2558" s="26">
        <f>MIN(D2558:M2558)</f>
        <v>21</v>
      </c>
      <c r="O2558" s="2">
        <f>C2558-N2558</f>
        <v>29</v>
      </c>
      <c r="P2558" s="24">
        <f>O2558/C2558</f>
        <v>0.57999999999999996</v>
      </c>
    </row>
    <row r="2559" spans="1:16" ht="9.75" customHeight="1">
      <c r="A2559" s="18"/>
      <c r="B2559" s="18" t="s">
        <v>99</v>
      </c>
      <c r="C2559" s="18"/>
      <c r="D2559" s="26"/>
      <c r="E2559" s="2"/>
      <c r="F2559" s="2"/>
      <c r="G2559" s="2"/>
      <c r="H2559" s="2"/>
      <c r="I2559" s="2"/>
      <c r="J2559" s="2"/>
      <c r="K2559" s="2"/>
      <c r="L2559" s="2"/>
      <c r="M2559" s="27"/>
      <c r="N2559" s="26"/>
      <c r="O2559" s="2"/>
      <c r="P2559" s="24"/>
    </row>
    <row r="2560" spans="1:16" ht="9.75" customHeight="1">
      <c r="A2560" s="18"/>
      <c r="B2560" s="18" t="s">
        <v>32</v>
      </c>
      <c r="C2560" s="18">
        <v>1</v>
      </c>
      <c r="D2560" s="115">
        <v>0</v>
      </c>
      <c r="E2560" s="116">
        <v>0</v>
      </c>
      <c r="F2560" s="116">
        <v>0</v>
      </c>
      <c r="G2560" s="116">
        <v>0</v>
      </c>
      <c r="H2560" s="116">
        <v>0</v>
      </c>
      <c r="I2560" s="116">
        <v>0</v>
      </c>
      <c r="J2560" s="116">
        <v>0</v>
      </c>
      <c r="K2560" s="116">
        <v>0</v>
      </c>
      <c r="L2560" s="116">
        <v>0</v>
      </c>
      <c r="M2560" s="147">
        <v>0</v>
      </c>
      <c r="N2560" s="26">
        <f>MIN(D2560:M2560)</f>
        <v>0</v>
      </c>
      <c r="O2560" s="2">
        <f>C2560-N2560</f>
        <v>1</v>
      </c>
      <c r="P2560" s="24">
        <f>O2560/C2560</f>
        <v>1</v>
      </c>
    </row>
    <row r="2561" spans="1:16" ht="9.75" customHeight="1">
      <c r="A2561" s="18"/>
      <c r="B2561" s="18" t="s">
        <v>104</v>
      </c>
      <c r="C2561" s="18"/>
      <c r="D2561" s="26"/>
      <c r="E2561" s="2"/>
      <c r="F2561" s="2"/>
      <c r="G2561" s="2"/>
      <c r="H2561" s="2"/>
      <c r="I2561" s="2"/>
      <c r="J2561" s="2"/>
      <c r="K2561" s="2"/>
      <c r="L2561" s="2"/>
      <c r="M2561" s="27"/>
      <c r="N2561" s="26"/>
      <c r="O2561" s="2"/>
      <c r="P2561" s="24"/>
    </row>
    <row r="2562" spans="1:16" ht="9.75" customHeight="1">
      <c r="A2562" s="18"/>
      <c r="B2562" s="18" t="s">
        <v>104</v>
      </c>
      <c r="C2562" s="18"/>
      <c r="D2562" s="26"/>
      <c r="E2562" s="2"/>
      <c r="F2562" s="2"/>
      <c r="G2562" s="2"/>
      <c r="H2562" s="2"/>
      <c r="I2562" s="2"/>
      <c r="J2562" s="2"/>
      <c r="K2562" s="2"/>
      <c r="L2562" s="2"/>
      <c r="M2562" s="27"/>
      <c r="N2562" s="26"/>
      <c r="O2562" s="2"/>
      <c r="P2562" s="24"/>
    </row>
    <row r="2563" spans="1:16" ht="9.75" customHeight="1">
      <c r="A2563" s="18"/>
      <c r="B2563" s="18" t="s">
        <v>104</v>
      </c>
      <c r="C2563" s="18"/>
      <c r="D2563" s="26"/>
      <c r="E2563" s="2"/>
      <c r="F2563" s="2"/>
      <c r="G2563" s="2"/>
      <c r="H2563" s="2"/>
      <c r="I2563" s="2"/>
      <c r="J2563" s="2"/>
      <c r="K2563" s="2"/>
      <c r="L2563" s="2"/>
      <c r="M2563" s="27"/>
      <c r="N2563" s="26"/>
      <c r="O2563" s="2"/>
      <c r="P2563" s="24"/>
    </row>
    <row r="2564" spans="1:16" ht="9.75" customHeight="1">
      <c r="A2564" s="18"/>
      <c r="B2564" s="18" t="s">
        <v>104</v>
      </c>
      <c r="C2564" s="18"/>
      <c r="D2564" s="26"/>
      <c r="E2564" s="2"/>
      <c r="F2564" s="2"/>
      <c r="G2564" s="2"/>
      <c r="H2564" s="2"/>
      <c r="I2564" s="2"/>
      <c r="J2564" s="2"/>
      <c r="K2564" s="2"/>
      <c r="L2564" s="2"/>
      <c r="M2564" s="27"/>
      <c r="N2564" s="26"/>
      <c r="O2564" s="2"/>
      <c r="P2564" s="24"/>
    </row>
    <row r="2565" spans="1:16" ht="9.75" customHeight="1">
      <c r="A2565" s="18"/>
      <c r="B2565" s="18" t="s">
        <v>104</v>
      </c>
      <c r="C2565" s="18"/>
      <c r="D2565" s="26"/>
      <c r="E2565" s="2"/>
      <c r="F2565" s="2"/>
      <c r="G2565" s="2"/>
      <c r="H2565" s="2"/>
      <c r="I2565" s="2"/>
      <c r="J2565" s="2"/>
      <c r="K2565" s="2"/>
      <c r="L2565" s="2"/>
      <c r="M2565" s="27"/>
      <c r="N2565" s="26"/>
      <c r="O2565" s="2"/>
      <c r="P2565" s="24"/>
    </row>
    <row r="2566" spans="1:16" ht="9.75" customHeight="1">
      <c r="A2566" s="18"/>
      <c r="B2566" s="18" t="s">
        <v>104</v>
      </c>
      <c r="C2566" s="18"/>
      <c r="D2566" s="26"/>
      <c r="E2566" s="2"/>
      <c r="F2566" s="2"/>
      <c r="G2566" s="2"/>
      <c r="H2566" s="2"/>
      <c r="I2566" s="2"/>
      <c r="J2566" s="2"/>
      <c r="K2566" s="2"/>
      <c r="L2566" s="2"/>
      <c r="M2566" s="27"/>
      <c r="N2566" s="26"/>
      <c r="O2566" s="2"/>
      <c r="P2566" s="24"/>
    </row>
    <row r="2567" spans="1:16" ht="9.75" customHeight="1">
      <c r="A2567" s="18"/>
      <c r="B2567" s="18" t="s">
        <v>34</v>
      </c>
      <c r="C2567" s="18">
        <v>11</v>
      </c>
      <c r="D2567" s="115">
        <v>5</v>
      </c>
      <c r="E2567" s="116">
        <v>3</v>
      </c>
      <c r="F2567" s="116">
        <v>3</v>
      </c>
      <c r="G2567" s="116">
        <v>0</v>
      </c>
      <c r="H2567" s="116">
        <v>1</v>
      </c>
      <c r="I2567" s="116">
        <v>2</v>
      </c>
      <c r="J2567" s="116">
        <v>2</v>
      </c>
      <c r="K2567" s="116">
        <v>3</v>
      </c>
      <c r="L2567" s="116">
        <v>4</v>
      </c>
      <c r="M2567" s="147">
        <v>3</v>
      </c>
      <c r="N2567" s="26">
        <f t="shared" ref="N2567:N2568" si="491">MIN(D2567:M2567)</f>
        <v>0</v>
      </c>
      <c r="O2567" s="2">
        <f t="shared" ref="O2567:O2568" si="492">C2567-N2567</f>
        <v>11</v>
      </c>
      <c r="P2567" s="24">
        <f t="shared" ref="P2567:P2568" si="493">O2567/C2567</f>
        <v>1</v>
      </c>
    </row>
    <row r="2568" spans="1:16" ht="9.75" customHeight="1">
      <c r="A2568" s="18"/>
      <c r="B2568" s="18" t="s">
        <v>35</v>
      </c>
      <c r="C2568" s="18">
        <v>1</v>
      </c>
      <c r="D2568" s="115">
        <v>1</v>
      </c>
      <c r="E2568" s="116">
        <v>1</v>
      </c>
      <c r="F2568" s="116">
        <v>1</v>
      </c>
      <c r="G2568" s="116">
        <v>1</v>
      </c>
      <c r="H2568" s="116">
        <v>1</v>
      </c>
      <c r="I2568" s="116">
        <v>0</v>
      </c>
      <c r="J2568" s="116">
        <v>0</v>
      </c>
      <c r="K2568" s="116">
        <v>1</v>
      </c>
      <c r="L2568" s="116">
        <v>1</v>
      </c>
      <c r="M2568" s="147">
        <v>1</v>
      </c>
      <c r="N2568" s="26">
        <f t="shared" si="491"/>
        <v>0</v>
      </c>
      <c r="O2568" s="2">
        <f t="shared" si="492"/>
        <v>1</v>
      </c>
      <c r="P2568" s="24">
        <f t="shared" si="493"/>
        <v>1</v>
      </c>
    </row>
    <row r="2569" spans="1:16" ht="9.75" customHeight="1">
      <c r="A2569" s="18"/>
      <c r="B2569" s="18" t="s">
        <v>36</v>
      </c>
      <c r="C2569" s="18"/>
      <c r="D2569" s="26"/>
      <c r="E2569" s="2"/>
      <c r="F2569" s="2"/>
      <c r="G2569" s="2"/>
      <c r="H2569" s="2"/>
      <c r="I2569" s="2"/>
      <c r="J2569" s="2"/>
      <c r="K2569" s="2"/>
      <c r="L2569" s="2"/>
      <c r="M2569" s="27"/>
      <c r="N2569" s="26"/>
      <c r="O2569" s="2"/>
      <c r="P2569" s="24"/>
    </row>
    <row r="2570" spans="1:16" ht="9.75" customHeight="1">
      <c r="A2570" s="18"/>
      <c r="B2570" s="18" t="s">
        <v>37</v>
      </c>
      <c r="C2570" s="18">
        <v>4</v>
      </c>
      <c r="D2570" s="115">
        <v>2</v>
      </c>
      <c r="E2570" s="116">
        <v>2</v>
      </c>
      <c r="F2570" s="116">
        <v>2</v>
      </c>
      <c r="G2570" s="116">
        <v>0</v>
      </c>
      <c r="H2570" s="116">
        <v>2</v>
      </c>
      <c r="I2570" s="116">
        <v>2</v>
      </c>
      <c r="J2570" s="116">
        <v>1</v>
      </c>
      <c r="K2570" s="116">
        <v>3</v>
      </c>
      <c r="L2570" s="116">
        <v>3</v>
      </c>
      <c r="M2570" s="147">
        <v>3</v>
      </c>
      <c r="N2570" s="26">
        <f t="shared" ref="N2570:N2571" si="494">MIN(D2570:M2570)</f>
        <v>0</v>
      </c>
      <c r="O2570" s="2">
        <f t="shared" ref="O2570:O2571" si="495">C2570-N2570</f>
        <v>4</v>
      </c>
      <c r="P2570" s="24">
        <f t="shared" ref="P2570:P2571" si="496">O2570/C2570</f>
        <v>1</v>
      </c>
    </row>
    <row r="2571" spans="1:16" ht="9.75" customHeight="1">
      <c r="A2571" s="32"/>
      <c r="B2571" s="70" t="s">
        <v>38</v>
      </c>
      <c r="C2571" s="70">
        <f t="shared" ref="C2571:M2571" si="497">SUM(C2555:C2570)</f>
        <v>252</v>
      </c>
      <c r="D2571" s="70">
        <f t="shared" si="497"/>
        <v>59</v>
      </c>
      <c r="E2571" s="71">
        <f t="shared" si="497"/>
        <v>42</v>
      </c>
      <c r="F2571" s="71">
        <f t="shared" si="497"/>
        <v>33</v>
      </c>
      <c r="G2571" s="71">
        <f t="shared" si="497"/>
        <v>22</v>
      </c>
      <c r="H2571" s="71">
        <f t="shared" si="497"/>
        <v>29</v>
      </c>
      <c r="I2571" s="71">
        <f t="shared" si="497"/>
        <v>32</v>
      </c>
      <c r="J2571" s="71">
        <f t="shared" si="497"/>
        <v>32</v>
      </c>
      <c r="K2571" s="71">
        <f t="shared" si="497"/>
        <v>30</v>
      </c>
      <c r="L2571" s="71">
        <f t="shared" si="497"/>
        <v>69</v>
      </c>
      <c r="M2571" s="93">
        <f t="shared" si="497"/>
        <v>83</v>
      </c>
      <c r="N2571" s="71">
        <f t="shared" si="494"/>
        <v>22</v>
      </c>
      <c r="O2571" s="71">
        <f t="shared" si="495"/>
        <v>230</v>
      </c>
      <c r="P2571" s="40">
        <f t="shared" si="496"/>
        <v>0.91269841269841268</v>
      </c>
    </row>
    <row r="2572" spans="1:16" ht="9.75" customHeight="1">
      <c r="A2572" s="66" t="s">
        <v>360</v>
      </c>
      <c r="B2572" s="66" t="s">
        <v>23</v>
      </c>
      <c r="C2572" s="18"/>
      <c r="D2572" s="26"/>
      <c r="E2572" s="2"/>
      <c r="F2572" s="2"/>
      <c r="G2572" s="2"/>
      <c r="H2572" s="2"/>
      <c r="I2572" s="2"/>
      <c r="J2572" s="2"/>
      <c r="K2572" s="2"/>
      <c r="L2572" s="2"/>
      <c r="M2572" s="27"/>
      <c r="N2572" s="26"/>
      <c r="O2572" s="2"/>
      <c r="P2572" s="24"/>
    </row>
    <row r="2573" spans="1:16" ht="9.75" customHeight="1">
      <c r="A2573" s="18"/>
      <c r="B2573" s="18" t="s">
        <v>25</v>
      </c>
      <c r="C2573" s="18"/>
      <c r="D2573" s="26"/>
      <c r="E2573" s="2"/>
      <c r="F2573" s="2"/>
      <c r="G2573" s="2"/>
      <c r="H2573" s="2"/>
      <c r="I2573" s="2"/>
      <c r="J2573" s="2"/>
      <c r="K2573" s="2"/>
      <c r="L2573" s="2"/>
      <c r="M2573" s="27"/>
      <c r="N2573" s="26"/>
      <c r="O2573" s="2"/>
      <c r="P2573" s="24"/>
    </row>
    <row r="2574" spans="1:16" ht="9.75" customHeight="1">
      <c r="A2574" s="18"/>
      <c r="B2574" s="18" t="s">
        <v>27</v>
      </c>
      <c r="C2574" s="18"/>
      <c r="D2574" s="26"/>
      <c r="E2574" s="2"/>
      <c r="F2574" s="2"/>
      <c r="G2574" s="2"/>
      <c r="H2574" s="2"/>
      <c r="I2574" s="2"/>
      <c r="J2574" s="2"/>
      <c r="K2574" s="2"/>
      <c r="L2574" s="2"/>
      <c r="M2574" s="27"/>
      <c r="N2574" s="26"/>
      <c r="O2574" s="2"/>
      <c r="P2574" s="24"/>
    </row>
    <row r="2575" spans="1:16" ht="9.75" customHeight="1">
      <c r="A2575" s="18"/>
      <c r="B2575" s="18" t="s">
        <v>99</v>
      </c>
      <c r="C2575" s="18"/>
      <c r="D2575" s="26"/>
      <c r="E2575" s="2"/>
      <c r="F2575" s="2"/>
      <c r="G2575" s="2"/>
      <c r="H2575" s="2"/>
      <c r="I2575" s="2"/>
      <c r="J2575" s="2"/>
      <c r="K2575" s="2"/>
      <c r="L2575" s="2"/>
      <c r="M2575" s="27"/>
      <c r="N2575" s="26"/>
      <c r="O2575" s="2"/>
      <c r="P2575" s="24"/>
    </row>
    <row r="2576" spans="1:16" ht="9.75" customHeight="1">
      <c r="A2576" s="18"/>
      <c r="B2576" s="18" t="s">
        <v>99</v>
      </c>
      <c r="C2576" s="18"/>
      <c r="D2576" s="26"/>
      <c r="E2576" s="2"/>
      <c r="F2576" s="2"/>
      <c r="G2576" s="2"/>
      <c r="H2576" s="2"/>
      <c r="I2576" s="2"/>
      <c r="J2576" s="2"/>
      <c r="K2576" s="2"/>
      <c r="L2576" s="2"/>
      <c r="M2576" s="27"/>
      <c r="N2576" s="26"/>
      <c r="O2576" s="2"/>
      <c r="P2576" s="24"/>
    </row>
    <row r="2577" spans="1:16" ht="9.75" customHeight="1">
      <c r="A2577" s="18"/>
      <c r="B2577" s="18" t="s">
        <v>32</v>
      </c>
      <c r="C2577" s="18"/>
      <c r="D2577" s="26"/>
      <c r="E2577" s="2"/>
      <c r="F2577" s="2"/>
      <c r="G2577" s="2"/>
      <c r="H2577" s="2"/>
      <c r="I2577" s="2"/>
      <c r="J2577" s="2"/>
      <c r="K2577" s="2"/>
      <c r="L2577" s="2"/>
      <c r="M2577" s="27"/>
      <c r="N2577" s="26"/>
      <c r="O2577" s="2"/>
      <c r="P2577" s="24"/>
    </row>
    <row r="2578" spans="1:16" ht="9.75" customHeight="1">
      <c r="A2578" s="18"/>
      <c r="B2578" s="18" t="s">
        <v>104</v>
      </c>
      <c r="C2578" s="18"/>
      <c r="D2578" s="26"/>
      <c r="E2578" s="2"/>
      <c r="F2578" s="2"/>
      <c r="G2578" s="2"/>
      <c r="H2578" s="2"/>
      <c r="I2578" s="2"/>
      <c r="J2578" s="2"/>
      <c r="K2578" s="2"/>
      <c r="L2578" s="2"/>
      <c r="M2578" s="27"/>
      <c r="N2578" s="26"/>
      <c r="O2578" s="2"/>
      <c r="P2578" s="24"/>
    </row>
    <row r="2579" spans="1:16" ht="9.75" customHeight="1">
      <c r="A2579" s="18"/>
      <c r="B2579" s="18" t="s">
        <v>104</v>
      </c>
      <c r="C2579" s="18"/>
      <c r="D2579" s="26"/>
      <c r="E2579" s="2"/>
      <c r="F2579" s="2"/>
      <c r="G2579" s="2"/>
      <c r="H2579" s="2"/>
      <c r="I2579" s="2"/>
      <c r="J2579" s="2"/>
      <c r="K2579" s="2"/>
      <c r="L2579" s="2"/>
      <c r="M2579" s="27"/>
      <c r="N2579" s="26"/>
      <c r="O2579" s="2"/>
      <c r="P2579" s="24"/>
    </row>
    <row r="2580" spans="1:16" ht="9.75" customHeight="1">
      <c r="A2580" s="18"/>
      <c r="B2580" s="18" t="s">
        <v>104</v>
      </c>
      <c r="C2580" s="18"/>
      <c r="D2580" s="26"/>
      <c r="E2580" s="2"/>
      <c r="F2580" s="2"/>
      <c r="G2580" s="2"/>
      <c r="H2580" s="2"/>
      <c r="I2580" s="2"/>
      <c r="J2580" s="2"/>
      <c r="K2580" s="2"/>
      <c r="L2580" s="2"/>
      <c r="M2580" s="27"/>
      <c r="N2580" s="26"/>
      <c r="O2580" s="2"/>
      <c r="P2580" s="24"/>
    </row>
    <row r="2581" spans="1:16" ht="9.75" customHeight="1">
      <c r="A2581" s="18"/>
      <c r="B2581" s="18" t="s">
        <v>104</v>
      </c>
      <c r="C2581" s="18"/>
      <c r="D2581" s="26"/>
      <c r="E2581" s="2"/>
      <c r="F2581" s="2"/>
      <c r="G2581" s="2"/>
      <c r="H2581" s="2"/>
      <c r="I2581" s="2"/>
      <c r="J2581" s="2"/>
      <c r="K2581" s="2"/>
      <c r="L2581" s="2"/>
      <c r="M2581" s="27"/>
      <c r="N2581" s="26"/>
      <c r="O2581" s="2"/>
      <c r="P2581" s="24"/>
    </row>
    <row r="2582" spans="1:16" ht="9.75" customHeight="1">
      <c r="A2582" s="18"/>
      <c r="B2582" s="18" t="s">
        <v>104</v>
      </c>
      <c r="C2582" s="18"/>
      <c r="D2582" s="26"/>
      <c r="E2582" s="2"/>
      <c r="F2582" s="2"/>
      <c r="G2582" s="2"/>
      <c r="H2582" s="2"/>
      <c r="I2582" s="2"/>
      <c r="J2582" s="2"/>
      <c r="K2582" s="2"/>
      <c r="L2582" s="2"/>
      <c r="M2582" s="27"/>
      <c r="N2582" s="26"/>
      <c r="O2582" s="2"/>
      <c r="P2582" s="24"/>
    </row>
    <row r="2583" spans="1:16" ht="9.75" customHeight="1">
      <c r="A2583" s="18"/>
      <c r="B2583" s="18" t="s">
        <v>104</v>
      </c>
      <c r="C2583" s="18"/>
      <c r="D2583" s="26"/>
      <c r="E2583" s="2"/>
      <c r="F2583" s="2"/>
      <c r="G2583" s="2"/>
      <c r="H2583" s="2"/>
      <c r="I2583" s="2"/>
      <c r="J2583" s="2"/>
      <c r="K2583" s="2"/>
      <c r="L2583" s="2"/>
      <c r="M2583" s="27"/>
      <c r="N2583" s="26"/>
      <c r="O2583" s="2"/>
      <c r="P2583" s="24"/>
    </row>
    <row r="2584" spans="1:16" ht="9.75" customHeight="1">
      <c r="A2584" s="18"/>
      <c r="B2584" s="18" t="s">
        <v>34</v>
      </c>
      <c r="C2584" s="18"/>
      <c r="D2584" s="26"/>
      <c r="E2584" s="2"/>
      <c r="F2584" s="2"/>
      <c r="G2584" s="2"/>
      <c r="H2584" s="2"/>
      <c r="I2584" s="2"/>
      <c r="J2584" s="2"/>
      <c r="K2584" s="2"/>
      <c r="L2584" s="2"/>
      <c r="M2584" s="27"/>
      <c r="N2584" s="26"/>
      <c r="O2584" s="2"/>
      <c r="P2584" s="24"/>
    </row>
    <row r="2585" spans="1:16" ht="9.75" customHeight="1">
      <c r="A2585" s="18"/>
      <c r="B2585" s="18" t="s">
        <v>35</v>
      </c>
      <c r="C2585" s="18">
        <v>3</v>
      </c>
      <c r="D2585" s="115">
        <v>2</v>
      </c>
      <c r="E2585" s="116">
        <v>3</v>
      </c>
      <c r="F2585" s="116">
        <v>2</v>
      </c>
      <c r="G2585" s="116">
        <v>3</v>
      </c>
      <c r="H2585" s="116">
        <v>3</v>
      </c>
      <c r="I2585" s="116">
        <v>2</v>
      </c>
      <c r="J2585" s="116">
        <v>2</v>
      </c>
      <c r="K2585" s="116">
        <v>1</v>
      </c>
      <c r="L2585" s="116">
        <v>0</v>
      </c>
      <c r="M2585" s="147">
        <v>0</v>
      </c>
      <c r="N2585" s="26">
        <f>MIN(D2585:M2585)</f>
        <v>0</v>
      </c>
      <c r="O2585" s="2">
        <f>C2585-N2585</f>
        <v>3</v>
      </c>
      <c r="P2585" s="24">
        <f>O2585/C2585</f>
        <v>1</v>
      </c>
    </row>
    <row r="2586" spans="1:16" ht="9.75" customHeight="1">
      <c r="A2586" s="18"/>
      <c r="B2586" s="18" t="s">
        <v>36</v>
      </c>
      <c r="C2586" s="18"/>
      <c r="D2586" s="26"/>
      <c r="E2586" s="2"/>
      <c r="F2586" s="2"/>
      <c r="G2586" s="2"/>
      <c r="H2586" s="2"/>
      <c r="I2586" s="2"/>
      <c r="J2586" s="2"/>
      <c r="K2586" s="2"/>
      <c r="L2586" s="2"/>
      <c r="M2586" s="27"/>
      <c r="N2586" s="26"/>
      <c r="O2586" s="2"/>
      <c r="P2586" s="24"/>
    </row>
    <row r="2587" spans="1:16" ht="9.75" customHeight="1">
      <c r="A2587" s="18"/>
      <c r="B2587" s="18" t="s">
        <v>37</v>
      </c>
      <c r="C2587" s="18"/>
      <c r="D2587" s="26"/>
      <c r="E2587" s="2"/>
      <c r="F2587" s="2"/>
      <c r="G2587" s="2"/>
      <c r="H2587" s="2"/>
      <c r="I2587" s="2"/>
      <c r="J2587" s="2"/>
      <c r="K2587" s="2"/>
      <c r="L2587" s="2"/>
      <c r="M2587" s="27"/>
      <c r="N2587" s="26"/>
      <c r="O2587" s="2"/>
      <c r="P2587" s="24"/>
    </row>
    <row r="2588" spans="1:16" ht="9.75" customHeight="1">
      <c r="A2588" s="32"/>
      <c r="B2588" s="70" t="s">
        <v>38</v>
      </c>
      <c r="C2588" s="70">
        <f t="shared" ref="C2588:M2588" si="498">SUM(C2572:C2587)</f>
        <v>3</v>
      </c>
      <c r="D2588" s="70">
        <f t="shared" si="498"/>
        <v>2</v>
      </c>
      <c r="E2588" s="71">
        <f t="shared" si="498"/>
        <v>3</v>
      </c>
      <c r="F2588" s="71">
        <f t="shared" si="498"/>
        <v>2</v>
      </c>
      <c r="G2588" s="71">
        <f t="shared" si="498"/>
        <v>3</v>
      </c>
      <c r="H2588" s="71">
        <f t="shared" si="498"/>
        <v>3</v>
      </c>
      <c r="I2588" s="71">
        <f t="shared" si="498"/>
        <v>2</v>
      </c>
      <c r="J2588" s="71">
        <f t="shared" si="498"/>
        <v>2</v>
      </c>
      <c r="K2588" s="71">
        <f t="shared" si="498"/>
        <v>1</v>
      </c>
      <c r="L2588" s="71">
        <f t="shared" si="498"/>
        <v>0</v>
      </c>
      <c r="M2588" s="93">
        <f t="shared" si="498"/>
        <v>0</v>
      </c>
      <c r="N2588" s="71">
        <f>MIN(D2588:M2588)</f>
        <v>0</v>
      </c>
      <c r="O2588" s="71">
        <f>C2588-N2588</f>
        <v>3</v>
      </c>
      <c r="P2588" s="40">
        <f>O2588/C2588</f>
        <v>1</v>
      </c>
    </row>
    <row r="2589" spans="1:16" ht="9.75" customHeight="1">
      <c r="A2589" s="18" t="s">
        <v>361</v>
      </c>
      <c r="B2589" s="66" t="s">
        <v>23</v>
      </c>
      <c r="C2589" s="18"/>
      <c r="D2589" s="26"/>
      <c r="E2589" s="2"/>
      <c r="F2589" s="2"/>
      <c r="G2589" s="2"/>
      <c r="H2589" s="2"/>
      <c r="I2589" s="2"/>
      <c r="J2589" s="2"/>
      <c r="K2589" s="2"/>
      <c r="L2589" s="2"/>
      <c r="M2589" s="27"/>
      <c r="N2589" s="26"/>
      <c r="O2589" s="2"/>
      <c r="P2589" s="24"/>
    </row>
    <row r="2590" spans="1:16" ht="9.75" customHeight="1">
      <c r="A2590" s="18"/>
      <c r="B2590" s="18" t="s">
        <v>25</v>
      </c>
      <c r="C2590" s="18"/>
      <c r="D2590" s="26"/>
      <c r="E2590" s="2"/>
      <c r="F2590" s="2"/>
      <c r="G2590" s="2"/>
      <c r="H2590" s="2"/>
      <c r="I2590" s="2"/>
      <c r="J2590" s="2"/>
      <c r="K2590" s="2"/>
      <c r="L2590" s="2"/>
      <c r="M2590" s="27"/>
      <c r="N2590" s="26"/>
      <c r="O2590" s="2"/>
      <c r="P2590" s="24"/>
    </row>
    <row r="2591" spans="1:16" ht="9.75" customHeight="1">
      <c r="A2591" s="18"/>
      <c r="B2591" s="18" t="s">
        <v>27</v>
      </c>
      <c r="C2591" s="18"/>
      <c r="D2591" s="26"/>
      <c r="E2591" s="2"/>
      <c r="F2591" s="2"/>
      <c r="G2591" s="2"/>
      <c r="H2591" s="2"/>
      <c r="I2591" s="2"/>
      <c r="J2591" s="2"/>
      <c r="K2591" s="2"/>
      <c r="L2591" s="2"/>
      <c r="M2591" s="27"/>
      <c r="N2591" s="26"/>
      <c r="O2591" s="2"/>
      <c r="P2591" s="24"/>
    </row>
    <row r="2592" spans="1:16" ht="9.75" customHeight="1">
      <c r="A2592" s="18"/>
      <c r="B2592" s="18" t="s">
        <v>99</v>
      </c>
      <c r="C2592" s="18"/>
      <c r="D2592" s="26"/>
      <c r="E2592" s="2"/>
      <c r="F2592" s="2"/>
      <c r="G2592" s="2"/>
      <c r="H2592" s="2"/>
      <c r="I2592" s="2"/>
      <c r="J2592" s="2"/>
      <c r="K2592" s="2"/>
      <c r="L2592" s="2"/>
      <c r="M2592" s="27"/>
      <c r="N2592" s="26"/>
      <c r="O2592" s="2"/>
      <c r="P2592" s="24"/>
    </row>
    <row r="2593" spans="1:16" ht="9.75" customHeight="1">
      <c r="A2593" s="18"/>
      <c r="B2593" s="18" t="s">
        <v>99</v>
      </c>
      <c r="C2593" s="18"/>
      <c r="D2593" s="26"/>
      <c r="E2593" s="2"/>
      <c r="F2593" s="2"/>
      <c r="G2593" s="2"/>
      <c r="H2593" s="2"/>
      <c r="I2593" s="2"/>
      <c r="J2593" s="2"/>
      <c r="K2593" s="2"/>
      <c r="L2593" s="2"/>
      <c r="M2593" s="27"/>
      <c r="N2593" s="26"/>
      <c r="O2593" s="2"/>
      <c r="P2593" s="24"/>
    </row>
    <row r="2594" spans="1:16" ht="9.75" customHeight="1">
      <c r="A2594" s="18"/>
      <c r="B2594" s="18" t="s">
        <v>32</v>
      </c>
      <c r="C2594" s="18"/>
      <c r="D2594" s="26"/>
      <c r="E2594" s="2"/>
      <c r="F2594" s="2"/>
      <c r="G2594" s="2"/>
      <c r="H2594" s="2"/>
      <c r="I2594" s="2"/>
      <c r="J2594" s="2"/>
      <c r="K2594" s="2"/>
      <c r="L2594" s="2"/>
      <c r="M2594" s="27"/>
      <c r="N2594" s="26"/>
      <c r="O2594" s="2"/>
      <c r="P2594" s="24"/>
    </row>
    <row r="2595" spans="1:16" ht="9.75" customHeight="1">
      <c r="A2595" s="18"/>
      <c r="B2595" s="18" t="s">
        <v>104</v>
      </c>
      <c r="C2595" s="18"/>
      <c r="D2595" s="26"/>
      <c r="E2595" s="2"/>
      <c r="F2595" s="2"/>
      <c r="G2595" s="2"/>
      <c r="H2595" s="2"/>
      <c r="I2595" s="2"/>
      <c r="J2595" s="2"/>
      <c r="K2595" s="2"/>
      <c r="L2595" s="2"/>
      <c r="M2595" s="27"/>
      <c r="N2595" s="26"/>
      <c r="O2595" s="2"/>
      <c r="P2595" s="24"/>
    </row>
    <row r="2596" spans="1:16" ht="9.75" customHeight="1">
      <c r="A2596" s="18"/>
      <c r="B2596" s="18" t="s">
        <v>104</v>
      </c>
      <c r="C2596" s="18"/>
      <c r="D2596" s="26"/>
      <c r="E2596" s="2"/>
      <c r="F2596" s="2"/>
      <c r="G2596" s="2"/>
      <c r="H2596" s="2"/>
      <c r="I2596" s="2"/>
      <c r="J2596" s="2"/>
      <c r="K2596" s="2"/>
      <c r="L2596" s="2"/>
      <c r="M2596" s="27"/>
      <c r="N2596" s="26"/>
      <c r="O2596" s="2"/>
      <c r="P2596" s="24"/>
    </row>
    <row r="2597" spans="1:16" ht="9.75" customHeight="1">
      <c r="A2597" s="18"/>
      <c r="B2597" s="18" t="s">
        <v>104</v>
      </c>
      <c r="C2597" s="18"/>
      <c r="D2597" s="26"/>
      <c r="E2597" s="2"/>
      <c r="F2597" s="2"/>
      <c r="G2597" s="2"/>
      <c r="H2597" s="2"/>
      <c r="I2597" s="2"/>
      <c r="J2597" s="2"/>
      <c r="K2597" s="2"/>
      <c r="L2597" s="2"/>
      <c r="M2597" s="27"/>
      <c r="N2597" s="26"/>
      <c r="O2597" s="2"/>
      <c r="P2597" s="24"/>
    </row>
    <row r="2598" spans="1:16" ht="9.75" customHeight="1">
      <c r="A2598" s="18"/>
      <c r="B2598" s="18" t="s">
        <v>104</v>
      </c>
      <c r="C2598" s="18"/>
      <c r="D2598" s="26"/>
      <c r="E2598" s="2"/>
      <c r="F2598" s="2"/>
      <c r="G2598" s="2"/>
      <c r="H2598" s="2"/>
      <c r="I2598" s="2"/>
      <c r="J2598" s="2"/>
      <c r="K2598" s="2"/>
      <c r="L2598" s="2"/>
      <c r="M2598" s="27"/>
      <c r="N2598" s="26"/>
      <c r="O2598" s="2"/>
      <c r="P2598" s="24"/>
    </row>
    <row r="2599" spans="1:16" ht="9.75" customHeight="1">
      <c r="A2599" s="18"/>
      <c r="B2599" s="18" t="s">
        <v>104</v>
      </c>
      <c r="C2599" s="18"/>
      <c r="D2599" s="26"/>
      <c r="E2599" s="2"/>
      <c r="F2599" s="2"/>
      <c r="G2599" s="2"/>
      <c r="H2599" s="2"/>
      <c r="I2599" s="2"/>
      <c r="J2599" s="2"/>
      <c r="K2599" s="2"/>
      <c r="L2599" s="2"/>
      <c r="M2599" s="27"/>
      <c r="N2599" s="26"/>
      <c r="O2599" s="2"/>
      <c r="P2599" s="24"/>
    </row>
    <row r="2600" spans="1:16" ht="9.75" customHeight="1">
      <c r="A2600" s="18"/>
      <c r="B2600" s="18" t="s">
        <v>104</v>
      </c>
      <c r="C2600" s="18"/>
      <c r="D2600" s="26"/>
      <c r="E2600" s="2"/>
      <c r="F2600" s="2"/>
      <c r="G2600" s="2"/>
      <c r="H2600" s="2"/>
      <c r="I2600" s="2"/>
      <c r="J2600" s="2"/>
      <c r="K2600" s="2"/>
      <c r="L2600" s="2"/>
      <c r="M2600" s="27"/>
      <c r="N2600" s="26"/>
      <c r="O2600" s="2"/>
      <c r="P2600" s="24"/>
    </row>
    <row r="2601" spans="1:16" ht="9.75" customHeight="1">
      <c r="A2601" s="18"/>
      <c r="B2601" s="18" t="s">
        <v>34</v>
      </c>
      <c r="C2601" s="18"/>
      <c r="D2601" s="26"/>
      <c r="E2601" s="2"/>
      <c r="F2601" s="2"/>
      <c r="G2601" s="2"/>
      <c r="H2601" s="2"/>
      <c r="I2601" s="2"/>
      <c r="J2601" s="2"/>
      <c r="K2601" s="2"/>
      <c r="L2601" s="2"/>
      <c r="M2601" s="27"/>
      <c r="N2601" s="26"/>
      <c r="O2601" s="2"/>
      <c r="P2601" s="24"/>
    </row>
    <row r="2602" spans="1:16" ht="9.75" customHeight="1">
      <c r="A2602" s="18"/>
      <c r="B2602" s="18" t="s">
        <v>35</v>
      </c>
      <c r="C2602" s="18"/>
      <c r="D2602" s="26"/>
      <c r="E2602" s="2"/>
      <c r="F2602" s="2"/>
      <c r="G2602" s="2"/>
      <c r="H2602" s="2"/>
      <c r="I2602" s="2"/>
      <c r="J2602" s="2"/>
      <c r="K2602" s="2"/>
      <c r="L2602" s="2"/>
      <c r="M2602" s="27"/>
      <c r="N2602" s="26"/>
      <c r="O2602" s="2"/>
      <c r="P2602" s="24"/>
    </row>
    <row r="2603" spans="1:16" ht="9.75" customHeight="1">
      <c r="A2603" s="18"/>
      <c r="B2603" s="18" t="s">
        <v>36</v>
      </c>
      <c r="C2603" s="18">
        <v>3</v>
      </c>
      <c r="D2603" s="193">
        <v>0</v>
      </c>
      <c r="E2603" s="194">
        <v>0</v>
      </c>
      <c r="F2603" s="116">
        <v>1</v>
      </c>
      <c r="G2603" s="116">
        <v>1</v>
      </c>
      <c r="H2603" s="194">
        <v>0</v>
      </c>
      <c r="I2603" s="116">
        <v>0</v>
      </c>
      <c r="J2603" s="116">
        <v>0</v>
      </c>
      <c r="K2603" s="116">
        <v>0</v>
      </c>
      <c r="L2603" s="116">
        <v>0</v>
      </c>
      <c r="M2603" s="147">
        <v>0</v>
      </c>
      <c r="N2603" s="26">
        <f t="shared" ref="N2603:N2605" si="499">MIN(D2603:M2603)</f>
        <v>0</v>
      </c>
      <c r="O2603" s="2">
        <f t="shared" ref="O2603:O2605" si="500">C2603-N2603</f>
        <v>3</v>
      </c>
      <c r="P2603" s="24">
        <f t="shared" ref="P2603:P2605" si="501">O2603/C2603</f>
        <v>1</v>
      </c>
    </row>
    <row r="2604" spans="1:16" ht="9.75" customHeight="1">
      <c r="A2604" s="18"/>
      <c r="B2604" s="18" t="s">
        <v>37</v>
      </c>
      <c r="C2604" s="18">
        <v>1</v>
      </c>
      <c r="D2604" s="193">
        <v>0</v>
      </c>
      <c r="E2604" s="194">
        <v>0</v>
      </c>
      <c r="F2604" s="194">
        <v>0</v>
      </c>
      <c r="G2604" s="116">
        <v>1</v>
      </c>
      <c r="H2604" s="194">
        <v>0</v>
      </c>
      <c r="I2604" s="116">
        <v>1</v>
      </c>
      <c r="J2604" s="116">
        <v>1</v>
      </c>
      <c r="K2604" s="116">
        <v>1</v>
      </c>
      <c r="L2604" s="116">
        <v>1</v>
      </c>
      <c r="M2604" s="147">
        <v>1</v>
      </c>
      <c r="N2604" s="26">
        <f t="shared" si="499"/>
        <v>0</v>
      </c>
      <c r="O2604" s="2">
        <f t="shared" si="500"/>
        <v>1</v>
      </c>
      <c r="P2604" s="24">
        <f t="shared" si="501"/>
        <v>1</v>
      </c>
    </row>
    <row r="2605" spans="1:16" ht="9.75" customHeight="1">
      <c r="A2605" s="18"/>
      <c r="B2605" s="70" t="s">
        <v>38</v>
      </c>
      <c r="C2605" s="70">
        <f t="shared" ref="C2605:M2605" si="502">SUM(C2589:C2604)</f>
        <v>4</v>
      </c>
      <c r="D2605" s="70">
        <f t="shared" si="502"/>
        <v>0</v>
      </c>
      <c r="E2605" s="71">
        <f t="shared" si="502"/>
        <v>0</v>
      </c>
      <c r="F2605" s="71">
        <f t="shared" si="502"/>
        <v>1</v>
      </c>
      <c r="G2605" s="71">
        <f t="shared" si="502"/>
        <v>2</v>
      </c>
      <c r="H2605" s="71">
        <f t="shared" si="502"/>
        <v>0</v>
      </c>
      <c r="I2605" s="71">
        <f t="shared" si="502"/>
        <v>1</v>
      </c>
      <c r="J2605" s="71">
        <f t="shared" si="502"/>
        <v>1</v>
      </c>
      <c r="K2605" s="71">
        <f t="shared" si="502"/>
        <v>1</v>
      </c>
      <c r="L2605" s="71">
        <f t="shared" si="502"/>
        <v>1</v>
      </c>
      <c r="M2605" s="93">
        <f t="shared" si="502"/>
        <v>1</v>
      </c>
      <c r="N2605" s="71">
        <f t="shared" si="499"/>
        <v>0</v>
      </c>
      <c r="O2605" s="71">
        <f t="shared" si="500"/>
        <v>4</v>
      </c>
      <c r="P2605" s="40">
        <f t="shared" si="501"/>
        <v>1</v>
      </c>
    </row>
    <row r="2606" spans="1:16" ht="9.75" customHeight="1">
      <c r="A2606" s="66" t="s">
        <v>362</v>
      </c>
      <c r="B2606" s="66" t="s">
        <v>23</v>
      </c>
      <c r="C2606" s="18"/>
      <c r="D2606" s="26"/>
      <c r="E2606" s="2"/>
      <c r="F2606" s="2"/>
      <c r="G2606" s="2"/>
      <c r="H2606" s="2"/>
      <c r="I2606" s="2"/>
      <c r="J2606" s="2"/>
      <c r="K2606" s="2"/>
      <c r="L2606" s="2"/>
      <c r="M2606" s="27"/>
      <c r="N2606" s="41"/>
      <c r="O2606" s="72"/>
      <c r="P2606" s="99"/>
    </row>
    <row r="2607" spans="1:16" ht="9.75" customHeight="1">
      <c r="A2607" s="18"/>
      <c r="B2607" s="18" t="s">
        <v>25</v>
      </c>
      <c r="C2607" s="18"/>
      <c r="D2607" s="26"/>
      <c r="E2607" s="2"/>
      <c r="F2607" s="2"/>
      <c r="G2607" s="2"/>
      <c r="H2607" s="2"/>
      <c r="I2607" s="2"/>
      <c r="J2607" s="2"/>
      <c r="K2607" s="2"/>
      <c r="L2607" s="2"/>
      <c r="M2607" s="27"/>
      <c r="N2607" s="26"/>
      <c r="O2607" s="2"/>
      <c r="P2607" s="24"/>
    </row>
    <row r="2608" spans="1:16" ht="9.75" customHeight="1">
      <c r="A2608" s="18"/>
      <c r="B2608" s="74" t="s">
        <v>363</v>
      </c>
      <c r="C2608" s="74">
        <v>243</v>
      </c>
      <c r="D2608" s="195"/>
      <c r="E2608" s="196"/>
      <c r="F2608" s="197" t="s">
        <v>364</v>
      </c>
      <c r="G2608" s="196"/>
      <c r="H2608" s="196"/>
      <c r="I2608" s="76"/>
      <c r="J2608" s="76"/>
      <c r="K2608" s="76"/>
      <c r="L2608" s="76"/>
      <c r="M2608" s="78"/>
      <c r="N2608" s="75"/>
      <c r="O2608" s="76"/>
      <c r="P2608" s="79"/>
    </row>
    <row r="2609" spans="1:16" ht="9.75" customHeight="1">
      <c r="A2609" s="18"/>
      <c r="B2609" s="18" t="s">
        <v>99</v>
      </c>
      <c r="C2609" s="18"/>
      <c r="D2609" s="26"/>
      <c r="E2609" s="2"/>
      <c r="F2609" s="2"/>
      <c r="G2609" s="2"/>
      <c r="H2609" s="2"/>
      <c r="I2609" s="2"/>
      <c r="J2609" s="2"/>
      <c r="K2609" s="2"/>
      <c r="L2609" s="2"/>
      <c r="M2609" s="27"/>
      <c r="N2609" s="26"/>
      <c r="O2609" s="2"/>
      <c r="P2609" s="24"/>
    </row>
    <row r="2610" spans="1:16" ht="9.75" customHeight="1">
      <c r="A2610" s="18"/>
      <c r="B2610" s="18" t="s">
        <v>99</v>
      </c>
      <c r="C2610" s="18"/>
      <c r="D2610" s="26"/>
      <c r="E2610" s="2"/>
      <c r="F2610" s="2"/>
      <c r="G2610" s="2"/>
      <c r="H2610" s="2"/>
      <c r="I2610" s="2"/>
      <c r="J2610" s="2"/>
      <c r="K2610" s="2"/>
      <c r="L2610" s="2"/>
      <c r="M2610" s="27"/>
      <c r="N2610" s="26"/>
      <c r="O2610" s="2"/>
      <c r="P2610" s="24"/>
    </row>
    <row r="2611" spans="1:16" ht="9.75" customHeight="1">
      <c r="A2611" s="18"/>
      <c r="B2611" s="18" t="s">
        <v>32</v>
      </c>
      <c r="C2611" s="18"/>
      <c r="D2611" s="26"/>
      <c r="E2611" s="2"/>
      <c r="F2611" s="2"/>
      <c r="G2611" s="2"/>
      <c r="H2611" s="2"/>
      <c r="I2611" s="2"/>
      <c r="J2611" s="2"/>
      <c r="K2611" s="2"/>
      <c r="L2611" s="2"/>
      <c r="M2611" s="27"/>
      <c r="N2611" s="26"/>
      <c r="O2611" s="2"/>
      <c r="P2611" s="24"/>
    </row>
    <row r="2612" spans="1:16" ht="9.75" customHeight="1">
      <c r="A2612" s="18"/>
      <c r="B2612" s="18" t="s">
        <v>104</v>
      </c>
      <c r="C2612" s="18"/>
      <c r="D2612" s="26"/>
      <c r="E2612" s="2"/>
      <c r="F2612" s="2"/>
      <c r="G2612" s="2"/>
      <c r="H2612" s="2"/>
      <c r="I2612" s="2"/>
      <c r="J2612" s="2"/>
      <c r="K2612" s="2"/>
      <c r="L2612" s="2"/>
      <c r="M2612" s="27"/>
      <c r="N2612" s="26"/>
      <c r="O2612" s="2"/>
      <c r="P2612" s="24"/>
    </row>
    <row r="2613" spans="1:16" ht="9.75" customHeight="1">
      <c r="A2613" s="18"/>
      <c r="B2613" s="18" t="s">
        <v>104</v>
      </c>
      <c r="C2613" s="18"/>
      <c r="D2613" s="26"/>
      <c r="E2613" s="2"/>
      <c r="F2613" s="2"/>
      <c r="G2613" s="2"/>
      <c r="H2613" s="2"/>
      <c r="I2613" s="2"/>
      <c r="J2613" s="2"/>
      <c r="K2613" s="2"/>
      <c r="L2613" s="2"/>
      <c r="M2613" s="27"/>
      <c r="N2613" s="26"/>
      <c r="O2613" s="2"/>
      <c r="P2613" s="24"/>
    </row>
    <row r="2614" spans="1:16" ht="9.75" customHeight="1">
      <c r="A2614" s="18"/>
      <c r="B2614" s="18" t="s">
        <v>104</v>
      </c>
      <c r="C2614" s="18"/>
      <c r="D2614" s="26"/>
      <c r="E2614" s="2"/>
      <c r="F2614" s="2"/>
      <c r="G2614" s="2"/>
      <c r="H2614" s="2"/>
      <c r="I2614" s="2"/>
      <c r="J2614" s="2"/>
      <c r="K2614" s="2"/>
      <c r="L2614" s="2"/>
      <c r="M2614" s="27"/>
      <c r="N2614" s="26"/>
      <c r="O2614" s="2"/>
      <c r="P2614" s="24"/>
    </row>
    <row r="2615" spans="1:16" ht="9.75" customHeight="1">
      <c r="A2615" s="18"/>
      <c r="B2615" s="18" t="s">
        <v>104</v>
      </c>
      <c r="C2615" s="18"/>
      <c r="D2615" s="26"/>
      <c r="E2615" s="2"/>
      <c r="F2615" s="2"/>
      <c r="G2615" s="2"/>
      <c r="H2615" s="2"/>
      <c r="I2615" s="2"/>
      <c r="J2615" s="2"/>
      <c r="K2615" s="2"/>
      <c r="L2615" s="2"/>
      <c r="M2615" s="27"/>
      <c r="N2615" s="26"/>
      <c r="O2615" s="2"/>
      <c r="P2615" s="24"/>
    </row>
    <row r="2616" spans="1:16" ht="9.75" customHeight="1">
      <c r="A2616" s="18"/>
      <c r="B2616" s="18" t="s">
        <v>104</v>
      </c>
      <c r="C2616" s="18"/>
      <c r="D2616" s="26"/>
      <c r="E2616" s="2"/>
      <c r="F2616" s="2"/>
      <c r="G2616" s="2"/>
      <c r="H2616" s="2"/>
      <c r="I2616" s="2"/>
      <c r="J2616" s="2"/>
      <c r="K2616" s="2"/>
      <c r="L2616" s="2"/>
      <c r="M2616" s="27"/>
      <c r="N2616" s="26"/>
      <c r="O2616" s="2"/>
      <c r="P2616" s="24"/>
    </row>
    <row r="2617" spans="1:16" ht="9.75" customHeight="1">
      <c r="A2617" s="18"/>
      <c r="B2617" s="18" t="s">
        <v>104</v>
      </c>
      <c r="C2617" s="18"/>
      <c r="D2617" s="26"/>
      <c r="E2617" s="2"/>
      <c r="F2617" s="2"/>
      <c r="G2617" s="2"/>
      <c r="H2617" s="2"/>
      <c r="I2617" s="2"/>
      <c r="J2617" s="2"/>
      <c r="K2617" s="2"/>
      <c r="L2617" s="2"/>
      <c r="M2617" s="27"/>
      <c r="N2617" s="26"/>
      <c r="O2617" s="2"/>
      <c r="P2617" s="24"/>
    </row>
    <row r="2618" spans="1:16" ht="9.75" customHeight="1">
      <c r="A2618" s="18"/>
      <c r="B2618" s="18" t="s">
        <v>34</v>
      </c>
      <c r="C2618" s="18"/>
      <c r="D2618" s="26"/>
      <c r="E2618" s="2"/>
      <c r="F2618" s="2"/>
      <c r="G2618" s="2"/>
      <c r="H2618" s="2"/>
      <c r="I2618" s="2"/>
      <c r="J2618" s="2"/>
      <c r="K2618" s="2"/>
      <c r="L2618" s="2"/>
      <c r="M2618" s="27"/>
      <c r="N2618" s="26"/>
      <c r="O2618" s="2"/>
      <c r="P2618" s="24"/>
    </row>
    <row r="2619" spans="1:16" ht="9.75" customHeight="1">
      <c r="A2619" s="18"/>
      <c r="B2619" s="18" t="s">
        <v>35</v>
      </c>
      <c r="C2619" s="18"/>
      <c r="D2619" s="26"/>
      <c r="E2619" s="2"/>
      <c r="F2619" s="2"/>
      <c r="G2619" s="2"/>
      <c r="H2619" s="2"/>
      <c r="I2619" s="2"/>
      <c r="J2619" s="2"/>
      <c r="K2619" s="2"/>
      <c r="L2619" s="2"/>
      <c r="M2619" s="27"/>
      <c r="N2619" s="26"/>
      <c r="O2619" s="2"/>
      <c r="P2619" s="24"/>
    </row>
    <row r="2620" spans="1:16" ht="9.75" customHeight="1">
      <c r="A2620" s="18"/>
      <c r="B2620" s="18" t="s">
        <v>36</v>
      </c>
      <c r="C2620" s="18"/>
      <c r="D2620" s="26"/>
      <c r="E2620" s="2"/>
      <c r="F2620" s="2"/>
      <c r="G2620" s="2"/>
      <c r="H2620" s="2"/>
      <c r="I2620" s="2"/>
      <c r="J2620" s="2"/>
      <c r="K2620" s="2"/>
      <c r="L2620" s="2"/>
      <c r="M2620" s="27"/>
      <c r="N2620" s="26"/>
      <c r="O2620" s="2"/>
      <c r="P2620" s="24"/>
    </row>
    <row r="2621" spans="1:16" ht="9.75" customHeight="1">
      <c r="A2621" s="18"/>
      <c r="B2621" s="18" t="s">
        <v>37</v>
      </c>
      <c r="C2621" s="18"/>
      <c r="D2621" s="26"/>
      <c r="E2621" s="2"/>
      <c r="F2621" s="2"/>
      <c r="G2621" s="2"/>
      <c r="H2621" s="2"/>
      <c r="I2621" s="2"/>
      <c r="J2621" s="2"/>
      <c r="K2621" s="2"/>
      <c r="L2621" s="2"/>
      <c r="M2621" s="27"/>
      <c r="N2621" s="26"/>
      <c r="O2621" s="2"/>
      <c r="P2621" s="24"/>
    </row>
    <row r="2622" spans="1:16" ht="9.75" customHeight="1">
      <c r="A2622" s="32"/>
      <c r="B2622" s="70" t="s">
        <v>38</v>
      </c>
      <c r="C2622" s="70">
        <f t="shared" ref="C2622:M2622" si="503">SUM(C2606:C2621)</f>
        <v>243</v>
      </c>
      <c r="D2622" s="70">
        <f t="shared" si="503"/>
        <v>0</v>
      </c>
      <c r="E2622" s="71">
        <f t="shared" si="503"/>
        <v>0</v>
      </c>
      <c r="F2622" s="71">
        <f t="shared" si="503"/>
        <v>0</v>
      </c>
      <c r="G2622" s="71">
        <f t="shared" si="503"/>
        <v>0</v>
      </c>
      <c r="H2622" s="71">
        <f t="shared" si="503"/>
        <v>0</v>
      </c>
      <c r="I2622" s="71">
        <f t="shared" si="503"/>
        <v>0</v>
      </c>
      <c r="J2622" s="71">
        <f t="shared" si="503"/>
        <v>0</v>
      </c>
      <c r="K2622" s="71">
        <f t="shared" si="503"/>
        <v>0</v>
      </c>
      <c r="L2622" s="71">
        <f t="shared" si="503"/>
        <v>0</v>
      </c>
      <c r="M2622" s="93">
        <f t="shared" si="503"/>
        <v>0</v>
      </c>
      <c r="N2622" s="71">
        <f>MIN(D2622:M2622)</f>
        <v>0</v>
      </c>
      <c r="O2622" s="71">
        <f>C2622-N2622</f>
        <v>243</v>
      </c>
      <c r="P2622" s="40">
        <f>O2622/C2622</f>
        <v>1</v>
      </c>
    </row>
    <row r="2623" spans="1:16" ht="9.75" customHeight="1">
      <c r="A2623" s="66" t="s">
        <v>365</v>
      </c>
      <c r="B2623" s="66" t="s">
        <v>23</v>
      </c>
      <c r="C2623" s="18"/>
      <c r="D2623" s="26"/>
      <c r="E2623" s="2"/>
      <c r="F2623" s="2"/>
      <c r="G2623" s="2"/>
      <c r="H2623" s="2"/>
      <c r="I2623" s="2"/>
      <c r="J2623" s="2"/>
      <c r="K2623" s="2"/>
      <c r="L2623" s="2"/>
      <c r="M2623" s="27"/>
      <c r="N2623" s="41"/>
      <c r="O2623" s="72"/>
      <c r="P2623" s="99"/>
    </row>
    <row r="2624" spans="1:16" ht="9.75" customHeight="1">
      <c r="A2624" s="18"/>
      <c r="B2624" s="18" t="s">
        <v>25</v>
      </c>
      <c r="C2624" s="18">
        <f>78-18</f>
        <v>60</v>
      </c>
      <c r="D2624" s="115">
        <v>0</v>
      </c>
      <c r="E2624" s="116">
        <v>0</v>
      </c>
      <c r="F2624" s="116">
        <v>0</v>
      </c>
      <c r="G2624" s="116">
        <v>0</v>
      </c>
      <c r="H2624" s="116">
        <v>0</v>
      </c>
      <c r="I2624" s="116">
        <v>11</v>
      </c>
      <c r="J2624" s="116">
        <v>11</v>
      </c>
      <c r="K2624" s="116">
        <v>18</v>
      </c>
      <c r="L2624" s="2">
        <f>16+17</f>
        <v>33</v>
      </c>
      <c r="M2624" s="27">
        <f>23+19</f>
        <v>42</v>
      </c>
      <c r="N2624" s="26">
        <f>MIN(D2624:M2624)</f>
        <v>0</v>
      </c>
      <c r="O2624" s="2">
        <f>C2624-N2624</f>
        <v>60</v>
      </c>
      <c r="P2624" s="24">
        <f>O2624/C2624</f>
        <v>1</v>
      </c>
    </row>
    <row r="2625" spans="1:16" ht="9.75" customHeight="1">
      <c r="A2625" s="18"/>
      <c r="B2625" s="18" t="s">
        <v>27</v>
      </c>
      <c r="C2625" s="18"/>
      <c r="D2625" s="26"/>
      <c r="E2625" s="2"/>
      <c r="F2625" s="2"/>
      <c r="G2625" s="2"/>
      <c r="H2625" s="2"/>
      <c r="I2625" s="2"/>
      <c r="J2625" s="2"/>
      <c r="K2625" s="2"/>
      <c r="L2625" s="2"/>
      <c r="M2625" s="27"/>
      <c r="N2625" s="26"/>
      <c r="O2625" s="2"/>
      <c r="P2625" s="24"/>
    </row>
    <row r="2626" spans="1:16" ht="9.75" customHeight="1">
      <c r="A2626" s="18"/>
      <c r="B2626" s="18" t="s">
        <v>222</v>
      </c>
      <c r="C2626" s="18"/>
      <c r="D2626" s="26"/>
      <c r="E2626" s="2"/>
      <c r="F2626" s="2"/>
      <c r="G2626" s="2"/>
      <c r="H2626" s="2"/>
      <c r="I2626" s="2"/>
      <c r="J2626" s="2"/>
      <c r="K2626" s="2"/>
      <c r="L2626" s="2"/>
      <c r="M2626" s="27"/>
      <c r="N2626" s="26"/>
      <c r="O2626" s="2"/>
      <c r="P2626" s="24"/>
    </row>
    <row r="2627" spans="1:16" ht="9.75" customHeight="1">
      <c r="A2627" s="18"/>
      <c r="B2627" s="18" t="s">
        <v>99</v>
      </c>
      <c r="C2627" s="18"/>
      <c r="D2627" s="26"/>
      <c r="E2627" s="2"/>
      <c r="F2627" s="2"/>
      <c r="G2627" s="2"/>
      <c r="H2627" s="2"/>
      <c r="I2627" s="2"/>
      <c r="J2627" s="2"/>
      <c r="K2627" s="2"/>
      <c r="L2627" s="2"/>
      <c r="M2627" s="27"/>
      <c r="N2627" s="26"/>
      <c r="O2627" s="2"/>
      <c r="P2627" s="24"/>
    </row>
    <row r="2628" spans="1:16" ht="9.75" customHeight="1">
      <c r="A2628" s="18"/>
      <c r="B2628" s="18" t="s">
        <v>32</v>
      </c>
      <c r="C2628" s="18"/>
      <c r="D2628" s="26"/>
      <c r="E2628" s="2"/>
      <c r="F2628" s="2"/>
      <c r="G2628" s="2"/>
      <c r="H2628" s="2"/>
      <c r="I2628" s="2"/>
      <c r="J2628" s="2"/>
      <c r="K2628" s="2"/>
      <c r="L2628" s="2"/>
      <c r="M2628" s="27"/>
      <c r="N2628" s="26"/>
      <c r="O2628" s="2"/>
      <c r="P2628" s="24"/>
    </row>
    <row r="2629" spans="1:16" ht="9.75" customHeight="1">
      <c r="A2629" s="18"/>
      <c r="B2629" s="18" t="s">
        <v>346</v>
      </c>
      <c r="C2629" s="18"/>
      <c r="D2629" s="26"/>
      <c r="E2629" s="2"/>
      <c r="F2629" s="2"/>
      <c r="G2629" s="2" t="s">
        <v>347</v>
      </c>
      <c r="H2629" s="2"/>
      <c r="I2629" s="2"/>
      <c r="J2629" s="2"/>
      <c r="K2629" s="2"/>
      <c r="L2629" s="2"/>
      <c r="M2629" s="27"/>
      <c r="N2629" s="26"/>
      <c r="O2629" s="2"/>
      <c r="P2629" s="24"/>
    </row>
    <row r="2630" spans="1:16" ht="9.75" customHeight="1">
      <c r="A2630" s="18"/>
      <c r="B2630" s="18" t="s">
        <v>104</v>
      </c>
      <c r="C2630" s="18"/>
      <c r="D2630" s="26"/>
      <c r="E2630" s="2"/>
      <c r="F2630" s="2"/>
      <c r="G2630" s="2"/>
      <c r="H2630" s="2"/>
      <c r="I2630" s="2"/>
      <c r="J2630" s="2"/>
      <c r="K2630" s="2"/>
      <c r="L2630" s="2"/>
      <c r="M2630" s="27"/>
      <c r="N2630" s="26"/>
      <c r="O2630" s="2"/>
      <c r="P2630" s="24"/>
    </row>
    <row r="2631" spans="1:16" ht="9.75" customHeight="1">
      <c r="A2631" s="18"/>
      <c r="B2631" s="18" t="s">
        <v>104</v>
      </c>
      <c r="C2631" s="18"/>
      <c r="D2631" s="26"/>
      <c r="E2631" s="2"/>
      <c r="F2631" s="2"/>
      <c r="G2631" s="2"/>
      <c r="H2631" s="2"/>
      <c r="I2631" s="2"/>
      <c r="J2631" s="2"/>
      <c r="K2631" s="2"/>
      <c r="L2631" s="2"/>
      <c r="M2631" s="27"/>
      <c r="N2631" s="26"/>
      <c r="O2631" s="2"/>
      <c r="P2631" s="24"/>
    </row>
    <row r="2632" spans="1:16" ht="9.75" customHeight="1">
      <c r="A2632" s="18"/>
      <c r="B2632" s="18" t="s">
        <v>104</v>
      </c>
      <c r="C2632" s="18"/>
      <c r="D2632" s="26"/>
      <c r="E2632" s="2"/>
      <c r="F2632" s="2"/>
      <c r="G2632" s="2"/>
      <c r="H2632" s="2"/>
      <c r="I2632" s="2"/>
      <c r="J2632" s="2"/>
      <c r="K2632" s="2"/>
      <c r="L2632" s="2"/>
      <c r="M2632" s="27"/>
      <c r="N2632" s="26"/>
      <c r="O2632" s="2"/>
      <c r="P2632" s="24"/>
    </row>
    <row r="2633" spans="1:16" ht="9.75" customHeight="1">
      <c r="A2633" s="18"/>
      <c r="B2633" s="18" t="s">
        <v>104</v>
      </c>
      <c r="C2633" s="18"/>
      <c r="D2633" s="26"/>
      <c r="E2633" s="2"/>
      <c r="F2633" s="2"/>
      <c r="G2633" s="2"/>
      <c r="H2633" s="2"/>
      <c r="I2633" s="2"/>
      <c r="J2633" s="2"/>
      <c r="K2633" s="2"/>
      <c r="L2633" s="2"/>
      <c r="M2633" s="27"/>
      <c r="N2633" s="26"/>
      <c r="O2633" s="2"/>
      <c r="P2633" s="24"/>
    </row>
    <row r="2634" spans="1:16" ht="9.75" customHeight="1">
      <c r="A2634" s="18"/>
      <c r="B2634" s="18" t="s">
        <v>104</v>
      </c>
      <c r="C2634" s="18"/>
      <c r="D2634" s="26"/>
      <c r="E2634" s="2"/>
      <c r="F2634" s="2"/>
      <c r="G2634" s="2"/>
      <c r="H2634" s="2"/>
      <c r="I2634" s="2"/>
      <c r="J2634" s="2"/>
      <c r="K2634" s="2"/>
      <c r="L2634" s="2"/>
      <c r="M2634" s="27"/>
      <c r="N2634" s="26"/>
      <c r="O2634" s="2"/>
      <c r="P2634" s="24"/>
    </row>
    <row r="2635" spans="1:16" ht="9.75" customHeight="1">
      <c r="A2635" s="18"/>
      <c r="B2635" s="18" t="s">
        <v>34</v>
      </c>
      <c r="C2635" s="18">
        <v>18</v>
      </c>
      <c r="D2635" s="115">
        <v>15</v>
      </c>
      <c r="E2635" s="116">
        <v>11</v>
      </c>
      <c r="F2635" s="2">
        <f>18-12</f>
        <v>6</v>
      </c>
      <c r="G2635" s="116">
        <v>8</v>
      </c>
      <c r="H2635" s="116">
        <v>8</v>
      </c>
      <c r="I2635" s="2">
        <v>5</v>
      </c>
      <c r="J2635" s="2">
        <v>6</v>
      </c>
      <c r="K2635" s="2">
        <v>11</v>
      </c>
      <c r="L2635" s="2">
        <v>12</v>
      </c>
      <c r="M2635" s="27">
        <v>14</v>
      </c>
      <c r="N2635" s="26">
        <f>MIN(D2635:M2635)</f>
        <v>5</v>
      </c>
      <c r="O2635" s="2">
        <f>C2635-N2635</f>
        <v>13</v>
      </c>
      <c r="P2635" s="24">
        <f>O2635/C2635</f>
        <v>0.72222222222222221</v>
      </c>
    </row>
    <row r="2636" spans="1:16" ht="9.75" customHeight="1">
      <c r="A2636" s="18"/>
      <c r="B2636" s="18" t="s">
        <v>35</v>
      </c>
      <c r="C2636" s="18"/>
      <c r="D2636" s="26"/>
      <c r="E2636" s="2"/>
      <c r="F2636" s="2"/>
      <c r="G2636" s="2"/>
      <c r="H2636" s="2"/>
      <c r="I2636" s="2"/>
      <c r="J2636" s="2"/>
      <c r="K2636" s="2"/>
      <c r="L2636" s="2"/>
      <c r="M2636" s="27"/>
      <c r="N2636" s="26"/>
      <c r="O2636" s="2"/>
      <c r="P2636" s="24"/>
    </row>
    <row r="2637" spans="1:16" ht="9.75" customHeight="1">
      <c r="A2637" s="18"/>
      <c r="B2637" s="18" t="s">
        <v>36</v>
      </c>
      <c r="C2637" s="18"/>
      <c r="D2637" s="26"/>
      <c r="E2637" s="2"/>
      <c r="F2637" s="2"/>
      <c r="G2637" s="2"/>
      <c r="H2637" s="2"/>
      <c r="I2637" s="2"/>
      <c r="J2637" s="2"/>
      <c r="K2637" s="2"/>
      <c r="L2637" s="2"/>
      <c r="M2637" s="27"/>
      <c r="N2637" s="26"/>
      <c r="O2637" s="2"/>
      <c r="P2637" s="24"/>
    </row>
    <row r="2638" spans="1:16" ht="9.75" customHeight="1">
      <c r="A2638" s="18"/>
      <c r="B2638" s="18" t="s">
        <v>37</v>
      </c>
      <c r="C2638" s="18"/>
      <c r="D2638" s="26"/>
      <c r="E2638" s="2"/>
      <c r="F2638" s="2"/>
      <c r="G2638" s="2"/>
      <c r="H2638" s="2"/>
      <c r="I2638" s="2"/>
      <c r="J2638" s="2"/>
      <c r="K2638" s="2"/>
      <c r="L2638" s="2"/>
      <c r="M2638" s="27"/>
      <c r="N2638" s="26"/>
      <c r="O2638" s="2"/>
      <c r="P2638" s="24"/>
    </row>
    <row r="2639" spans="1:16" ht="9.75" customHeight="1">
      <c r="A2639" s="32"/>
      <c r="B2639" s="70" t="s">
        <v>38</v>
      </c>
      <c r="C2639" s="70">
        <f t="shared" ref="C2639:M2639" si="504">SUM(C2623:C2638)</f>
        <v>78</v>
      </c>
      <c r="D2639" s="70">
        <f t="shared" si="504"/>
        <v>15</v>
      </c>
      <c r="E2639" s="71">
        <f t="shared" si="504"/>
        <v>11</v>
      </c>
      <c r="F2639" s="71">
        <f t="shared" si="504"/>
        <v>6</v>
      </c>
      <c r="G2639" s="71">
        <f t="shared" si="504"/>
        <v>8</v>
      </c>
      <c r="H2639" s="71">
        <f t="shared" si="504"/>
        <v>8</v>
      </c>
      <c r="I2639" s="71">
        <f t="shared" si="504"/>
        <v>16</v>
      </c>
      <c r="J2639" s="71">
        <f t="shared" si="504"/>
        <v>17</v>
      </c>
      <c r="K2639" s="71">
        <f t="shared" si="504"/>
        <v>29</v>
      </c>
      <c r="L2639" s="71">
        <f t="shared" si="504"/>
        <v>45</v>
      </c>
      <c r="M2639" s="93">
        <f t="shared" si="504"/>
        <v>56</v>
      </c>
      <c r="N2639" s="71">
        <f>MIN(D2639:M2639)</f>
        <v>6</v>
      </c>
      <c r="O2639" s="71">
        <f>C2639-N2639</f>
        <v>72</v>
      </c>
      <c r="P2639" s="40">
        <f>O2639/C2639</f>
        <v>0.92307692307692313</v>
      </c>
    </row>
    <row r="2640" spans="1:16" ht="9.75" customHeight="1">
      <c r="A2640" s="66" t="s">
        <v>366</v>
      </c>
      <c r="B2640" s="66" t="s">
        <v>23</v>
      </c>
      <c r="C2640" s="18"/>
      <c r="D2640" s="26"/>
      <c r="E2640" s="2"/>
      <c r="F2640" s="2"/>
      <c r="G2640" s="2"/>
      <c r="H2640" s="2"/>
      <c r="I2640" s="2"/>
      <c r="J2640" s="2"/>
      <c r="K2640" s="2"/>
      <c r="L2640" s="2"/>
      <c r="M2640" s="27"/>
      <c r="N2640" s="26"/>
      <c r="O2640" s="2"/>
      <c r="P2640" s="24"/>
    </row>
    <row r="2641" spans="1:16" ht="9.75" customHeight="1">
      <c r="A2641" s="18"/>
      <c r="B2641" s="18" t="s">
        <v>25</v>
      </c>
      <c r="C2641" s="18">
        <v>384</v>
      </c>
      <c r="D2641" s="26">
        <f>C2641-137</f>
        <v>247</v>
      </c>
      <c r="E2641" s="116">
        <v>160</v>
      </c>
      <c r="F2641" s="116">
        <v>100</v>
      </c>
      <c r="G2641" s="116">
        <v>104</v>
      </c>
      <c r="H2641" s="116">
        <v>120</v>
      </c>
      <c r="I2641" s="2">
        <v>172</v>
      </c>
      <c r="J2641" s="2">
        <v>184</v>
      </c>
      <c r="K2641" s="2">
        <v>171</v>
      </c>
      <c r="L2641" s="2">
        <v>205</v>
      </c>
      <c r="M2641" s="27">
        <v>244</v>
      </c>
      <c r="N2641" s="26">
        <f>MIN(D2641:M2641)</f>
        <v>100</v>
      </c>
      <c r="O2641" s="2">
        <f>C2641-N2641</f>
        <v>284</v>
      </c>
      <c r="P2641" s="24">
        <f>O2641/C2641</f>
        <v>0.73958333333333337</v>
      </c>
    </row>
    <row r="2642" spans="1:16" ht="9.75" customHeight="1">
      <c r="A2642" s="18"/>
      <c r="B2642" s="18" t="s">
        <v>27</v>
      </c>
      <c r="C2642" s="18"/>
      <c r="D2642" s="26"/>
      <c r="E2642" s="2"/>
      <c r="F2642" s="2"/>
      <c r="G2642" s="2"/>
      <c r="H2642" s="2"/>
      <c r="I2642" s="2"/>
      <c r="J2642" s="2"/>
      <c r="K2642" s="2"/>
      <c r="L2642" s="2"/>
      <c r="M2642" s="27"/>
      <c r="N2642" s="26"/>
      <c r="O2642" s="2"/>
      <c r="P2642" s="24"/>
    </row>
    <row r="2643" spans="1:16" ht="9.75" customHeight="1">
      <c r="A2643" s="18"/>
      <c r="B2643" s="18" t="s">
        <v>222</v>
      </c>
      <c r="C2643" s="18"/>
      <c r="D2643" s="26"/>
      <c r="E2643" s="2"/>
      <c r="F2643" s="2"/>
      <c r="G2643" s="2"/>
      <c r="H2643" s="2"/>
      <c r="I2643" s="2"/>
      <c r="J2643" s="2"/>
      <c r="K2643" s="2"/>
      <c r="L2643" s="2"/>
      <c r="M2643" s="27"/>
      <c r="N2643" s="26"/>
      <c r="O2643" s="2"/>
      <c r="P2643" s="24"/>
    </row>
    <row r="2644" spans="1:16" ht="9.75" customHeight="1">
      <c r="A2644" s="18"/>
      <c r="B2644" s="18" t="s">
        <v>99</v>
      </c>
      <c r="C2644" s="18"/>
      <c r="D2644" s="26"/>
      <c r="E2644" s="2"/>
      <c r="F2644" s="2"/>
      <c r="G2644" s="2"/>
      <c r="H2644" s="2"/>
      <c r="I2644" s="2"/>
      <c r="J2644" s="2"/>
      <c r="K2644" s="2"/>
      <c r="L2644" s="2"/>
      <c r="M2644" s="27"/>
      <c r="N2644" s="26"/>
      <c r="O2644" s="2"/>
      <c r="P2644" s="24"/>
    </row>
    <row r="2645" spans="1:16" ht="9.75" customHeight="1">
      <c r="A2645" s="18"/>
      <c r="B2645" s="18" t="s">
        <v>32</v>
      </c>
      <c r="C2645" s="18"/>
      <c r="D2645" s="26"/>
      <c r="E2645" s="2"/>
      <c r="F2645" s="2"/>
      <c r="G2645" s="2"/>
      <c r="H2645" s="2"/>
      <c r="I2645" s="2"/>
      <c r="J2645" s="2"/>
      <c r="K2645" s="2"/>
      <c r="L2645" s="2"/>
      <c r="M2645" s="27"/>
      <c r="N2645" s="26"/>
      <c r="O2645" s="2"/>
      <c r="P2645" s="24"/>
    </row>
    <row r="2646" spans="1:16" ht="9.75" customHeight="1">
      <c r="A2646" s="18"/>
      <c r="B2646" s="18" t="s">
        <v>104</v>
      </c>
      <c r="C2646" s="18"/>
      <c r="D2646" s="26"/>
      <c r="E2646" s="2"/>
      <c r="F2646" s="2"/>
      <c r="G2646" s="2"/>
      <c r="H2646" s="2"/>
      <c r="I2646" s="2"/>
      <c r="J2646" s="2"/>
      <c r="K2646" s="2"/>
      <c r="L2646" s="2"/>
      <c r="M2646" s="27"/>
      <c r="N2646" s="26"/>
      <c r="O2646" s="2"/>
      <c r="P2646" s="24"/>
    </row>
    <row r="2647" spans="1:16" ht="9.75" customHeight="1">
      <c r="A2647" s="18"/>
      <c r="B2647" s="18" t="s">
        <v>104</v>
      </c>
      <c r="C2647" s="18"/>
      <c r="D2647" s="26"/>
      <c r="E2647" s="2"/>
      <c r="F2647" s="2"/>
      <c r="G2647" s="2"/>
      <c r="H2647" s="2"/>
      <c r="I2647" s="2"/>
      <c r="J2647" s="2"/>
      <c r="K2647" s="2"/>
      <c r="L2647" s="2"/>
      <c r="M2647" s="27"/>
      <c r="N2647" s="26"/>
      <c r="O2647" s="2"/>
      <c r="P2647" s="24"/>
    </row>
    <row r="2648" spans="1:16" ht="9.75" customHeight="1">
      <c r="A2648" s="18"/>
      <c r="B2648" s="18" t="s">
        <v>104</v>
      </c>
      <c r="C2648" s="18"/>
      <c r="D2648" s="26"/>
      <c r="E2648" s="2"/>
      <c r="F2648" s="2"/>
      <c r="G2648" s="2"/>
      <c r="H2648" s="2"/>
      <c r="I2648" s="2"/>
      <c r="J2648" s="2"/>
      <c r="K2648" s="2"/>
      <c r="L2648" s="2"/>
      <c r="M2648" s="27"/>
      <c r="N2648" s="26"/>
      <c r="O2648" s="2"/>
      <c r="P2648" s="24"/>
    </row>
    <row r="2649" spans="1:16" ht="9.75" customHeight="1">
      <c r="A2649" s="18"/>
      <c r="B2649" s="18" t="s">
        <v>104</v>
      </c>
      <c r="C2649" s="18"/>
      <c r="D2649" s="26"/>
      <c r="E2649" s="2"/>
      <c r="F2649" s="2"/>
      <c r="G2649" s="2"/>
      <c r="H2649" s="2"/>
      <c r="I2649" s="2"/>
      <c r="J2649" s="2"/>
      <c r="K2649" s="2"/>
      <c r="L2649" s="2"/>
      <c r="M2649" s="27"/>
      <c r="N2649" s="26"/>
      <c r="O2649" s="2"/>
      <c r="P2649" s="24"/>
    </row>
    <row r="2650" spans="1:16" ht="9.75" customHeight="1">
      <c r="A2650" s="18"/>
      <c r="B2650" s="18" t="s">
        <v>104</v>
      </c>
      <c r="C2650" s="18"/>
      <c r="D2650" s="26"/>
      <c r="E2650" s="2"/>
      <c r="F2650" s="2"/>
      <c r="G2650" s="2"/>
      <c r="H2650" s="2"/>
      <c r="I2650" s="2"/>
      <c r="J2650" s="2"/>
      <c r="K2650" s="2"/>
      <c r="L2650" s="2"/>
      <c r="M2650" s="27"/>
      <c r="N2650" s="26"/>
      <c r="O2650" s="2"/>
      <c r="P2650" s="24"/>
    </row>
    <row r="2651" spans="1:16" ht="9.75" customHeight="1">
      <c r="A2651" s="18"/>
      <c r="B2651" s="18" t="s">
        <v>104</v>
      </c>
      <c r="C2651" s="18"/>
      <c r="D2651" s="26"/>
      <c r="E2651" s="2"/>
      <c r="F2651" s="2"/>
      <c r="G2651" s="2"/>
      <c r="H2651" s="2"/>
      <c r="I2651" s="2"/>
      <c r="J2651" s="2"/>
      <c r="K2651" s="2"/>
      <c r="L2651" s="2"/>
      <c r="M2651" s="27"/>
      <c r="N2651" s="26"/>
      <c r="O2651" s="2"/>
      <c r="P2651" s="24"/>
    </row>
    <row r="2652" spans="1:16" ht="9.75" customHeight="1">
      <c r="A2652" s="18"/>
      <c r="B2652" s="18" t="s">
        <v>34</v>
      </c>
      <c r="C2652" s="18">
        <v>8</v>
      </c>
      <c r="D2652" s="115">
        <v>8</v>
      </c>
      <c r="E2652" s="116">
        <v>8</v>
      </c>
      <c r="F2652" s="116">
        <v>8</v>
      </c>
      <c r="G2652" s="116">
        <v>8</v>
      </c>
      <c r="H2652" s="116">
        <v>8</v>
      </c>
      <c r="I2652" s="2">
        <v>7</v>
      </c>
      <c r="J2652" s="2">
        <v>7</v>
      </c>
      <c r="K2652" s="2">
        <v>6</v>
      </c>
      <c r="L2652" s="2">
        <v>7</v>
      </c>
      <c r="M2652" s="27">
        <v>8</v>
      </c>
      <c r="N2652" s="26">
        <f>MIN(D2652:M2652)</f>
        <v>6</v>
      </c>
      <c r="O2652" s="2">
        <f>C2652-N2652</f>
        <v>2</v>
      </c>
      <c r="P2652" s="24">
        <f>O2652/C2652</f>
        <v>0.25</v>
      </c>
    </row>
    <row r="2653" spans="1:16" ht="9.75" customHeight="1">
      <c r="A2653" s="18"/>
      <c r="B2653" s="18" t="s">
        <v>35</v>
      </c>
      <c r="C2653" s="18"/>
      <c r="D2653" s="26"/>
      <c r="E2653" s="2"/>
      <c r="F2653" s="2"/>
      <c r="G2653" s="2"/>
      <c r="H2653" s="2"/>
      <c r="I2653" s="2"/>
      <c r="J2653" s="2"/>
      <c r="K2653" s="2"/>
      <c r="L2653" s="2"/>
      <c r="M2653" s="27"/>
      <c r="N2653" s="26"/>
      <c r="O2653" s="2"/>
      <c r="P2653" s="24"/>
    </row>
    <row r="2654" spans="1:16" ht="9.75" customHeight="1">
      <c r="A2654" s="18"/>
      <c r="B2654" s="18" t="s">
        <v>36</v>
      </c>
      <c r="C2654" s="18"/>
      <c r="D2654" s="26"/>
      <c r="E2654" s="2"/>
      <c r="F2654" s="2"/>
      <c r="G2654" s="2"/>
      <c r="H2654" s="2"/>
      <c r="I2654" s="2"/>
      <c r="J2654" s="2"/>
      <c r="K2654" s="2"/>
      <c r="L2654" s="2"/>
      <c r="M2654" s="27"/>
      <c r="N2654" s="26"/>
      <c r="O2654" s="2"/>
      <c r="P2654" s="24"/>
    </row>
    <row r="2655" spans="1:16" ht="9.75" customHeight="1">
      <c r="A2655" s="18"/>
      <c r="B2655" s="18" t="s">
        <v>37</v>
      </c>
      <c r="C2655" s="18"/>
      <c r="D2655" s="26"/>
      <c r="E2655" s="2"/>
      <c r="F2655" s="2"/>
      <c r="G2655" s="2"/>
      <c r="H2655" s="2"/>
      <c r="I2655" s="2"/>
      <c r="J2655" s="2"/>
      <c r="K2655" s="2"/>
      <c r="L2655" s="2"/>
      <c r="M2655" s="27"/>
      <c r="N2655" s="26"/>
      <c r="O2655" s="2"/>
      <c r="P2655" s="24"/>
    </row>
    <row r="2656" spans="1:16" ht="9.75" customHeight="1">
      <c r="A2656" s="32"/>
      <c r="B2656" s="70" t="s">
        <v>38</v>
      </c>
      <c r="C2656" s="70">
        <f t="shared" ref="C2656:M2656" si="505">SUM(C2640:C2655)</f>
        <v>392</v>
      </c>
      <c r="D2656" s="70">
        <f t="shared" si="505"/>
        <v>255</v>
      </c>
      <c r="E2656" s="71">
        <f t="shared" si="505"/>
        <v>168</v>
      </c>
      <c r="F2656" s="71">
        <f t="shared" si="505"/>
        <v>108</v>
      </c>
      <c r="G2656" s="71">
        <f t="shared" si="505"/>
        <v>112</v>
      </c>
      <c r="H2656" s="71">
        <f t="shared" si="505"/>
        <v>128</v>
      </c>
      <c r="I2656" s="71">
        <f t="shared" si="505"/>
        <v>179</v>
      </c>
      <c r="J2656" s="71">
        <f t="shared" si="505"/>
        <v>191</v>
      </c>
      <c r="K2656" s="71">
        <f t="shared" si="505"/>
        <v>177</v>
      </c>
      <c r="L2656" s="71">
        <f t="shared" si="505"/>
        <v>212</v>
      </c>
      <c r="M2656" s="93">
        <f t="shared" si="505"/>
        <v>252</v>
      </c>
      <c r="N2656" s="71">
        <f>MIN(D2656:M2656)</f>
        <v>108</v>
      </c>
      <c r="O2656" s="71">
        <f>C2656-N2656</f>
        <v>284</v>
      </c>
      <c r="P2656" s="40">
        <f>O2656/C2656</f>
        <v>0.72448979591836737</v>
      </c>
    </row>
    <row r="2657" spans="1:16" ht="9.75" customHeight="1">
      <c r="A2657" s="66" t="s">
        <v>367</v>
      </c>
      <c r="B2657" s="66" t="s">
        <v>23</v>
      </c>
      <c r="C2657" s="18"/>
      <c r="D2657" s="26"/>
      <c r="E2657" s="2"/>
      <c r="F2657" s="2"/>
      <c r="G2657" s="2"/>
      <c r="H2657" s="2"/>
      <c r="I2657" s="2"/>
      <c r="J2657" s="2"/>
      <c r="K2657" s="2"/>
      <c r="L2657" s="2"/>
      <c r="M2657" s="27"/>
      <c r="N2657" s="26"/>
      <c r="O2657" s="2"/>
      <c r="P2657" s="24"/>
    </row>
    <row r="2658" spans="1:16" ht="9.75" customHeight="1">
      <c r="A2658" s="57"/>
      <c r="B2658" s="18" t="s">
        <v>25</v>
      </c>
      <c r="C2658" s="18">
        <f>131+61</f>
        <v>192</v>
      </c>
      <c r="D2658" s="26">
        <f>61-4+55</f>
        <v>112</v>
      </c>
      <c r="E2658" s="2">
        <f>61-24+9</f>
        <v>46</v>
      </c>
      <c r="F2658" s="2">
        <f>61-27+9</f>
        <v>43</v>
      </c>
      <c r="G2658" s="2">
        <f>61-32+7</f>
        <v>36</v>
      </c>
      <c r="H2658" s="2">
        <f>61-33+7</f>
        <v>35</v>
      </c>
      <c r="I2658" s="2">
        <f>61-37+8</f>
        <v>32</v>
      </c>
      <c r="J2658" s="2">
        <f>61-38+8</f>
        <v>31</v>
      </c>
      <c r="K2658" s="2">
        <f>61-38+12</f>
        <v>35</v>
      </c>
      <c r="L2658" s="2">
        <f>61-35+40</f>
        <v>66</v>
      </c>
      <c r="M2658" s="27">
        <f>C2658-25-58</f>
        <v>109</v>
      </c>
      <c r="N2658" s="26">
        <f>MIN(D2658:M2658)</f>
        <v>31</v>
      </c>
      <c r="O2658" s="2">
        <f>C2658-N2658</f>
        <v>161</v>
      </c>
      <c r="P2658" s="24">
        <f>O2658/C2658</f>
        <v>0.83854166666666663</v>
      </c>
    </row>
    <row r="2659" spans="1:16" ht="9.75" customHeight="1">
      <c r="A2659" s="57"/>
      <c r="B2659" s="18" t="s">
        <v>27</v>
      </c>
      <c r="C2659" s="18"/>
      <c r="D2659" s="26"/>
      <c r="E2659" s="2"/>
      <c r="F2659" s="2"/>
      <c r="G2659" s="2"/>
      <c r="H2659" s="2"/>
      <c r="I2659" s="2"/>
      <c r="J2659" s="2"/>
      <c r="K2659" s="2"/>
      <c r="L2659" s="2"/>
      <c r="M2659" s="27"/>
      <c r="N2659" s="26"/>
      <c r="O2659" s="2"/>
      <c r="P2659" s="24"/>
    </row>
    <row r="2660" spans="1:16" ht="9.75" customHeight="1">
      <c r="A2660" s="57"/>
      <c r="B2660" s="18" t="s">
        <v>222</v>
      </c>
      <c r="C2660" s="18"/>
      <c r="D2660" s="26"/>
      <c r="E2660" s="2"/>
      <c r="F2660" s="2"/>
      <c r="G2660" s="2"/>
      <c r="H2660" s="2"/>
      <c r="I2660" s="2"/>
      <c r="J2660" s="2"/>
      <c r="K2660" s="2"/>
      <c r="L2660" s="2"/>
      <c r="M2660" s="27"/>
      <c r="N2660" s="26"/>
      <c r="O2660" s="2"/>
      <c r="P2660" s="24"/>
    </row>
    <row r="2661" spans="1:16" ht="9.75" customHeight="1">
      <c r="A2661" s="18"/>
      <c r="B2661" s="18" t="s">
        <v>99</v>
      </c>
      <c r="C2661" s="18"/>
      <c r="D2661" s="26"/>
      <c r="E2661" s="2"/>
      <c r="F2661" s="2"/>
      <c r="G2661" s="2"/>
      <c r="H2661" s="2"/>
      <c r="I2661" s="2"/>
      <c r="J2661" s="2"/>
      <c r="K2661" s="2"/>
      <c r="L2661" s="2"/>
      <c r="M2661" s="27"/>
      <c r="N2661" s="26"/>
      <c r="O2661" s="2"/>
      <c r="P2661" s="24"/>
    </row>
    <row r="2662" spans="1:16" ht="9.75" customHeight="1">
      <c r="A2662" s="18"/>
      <c r="B2662" s="18" t="s">
        <v>32</v>
      </c>
      <c r="C2662" s="18"/>
      <c r="D2662" s="26"/>
      <c r="E2662" s="2"/>
      <c r="F2662" s="2"/>
      <c r="G2662" s="2"/>
      <c r="H2662" s="2"/>
      <c r="I2662" s="2"/>
      <c r="J2662" s="2"/>
      <c r="K2662" s="2"/>
      <c r="L2662" s="2"/>
      <c r="M2662" s="27"/>
      <c r="N2662" s="26"/>
      <c r="O2662" s="2"/>
      <c r="P2662" s="24"/>
    </row>
    <row r="2663" spans="1:16" ht="9.75" customHeight="1">
      <c r="A2663" s="18"/>
      <c r="B2663" s="18" t="s">
        <v>216</v>
      </c>
      <c r="C2663" s="18">
        <v>6</v>
      </c>
      <c r="D2663" s="26">
        <v>6</v>
      </c>
      <c r="E2663" s="2">
        <v>6</v>
      </c>
      <c r="F2663" s="2">
        <v>6</v>
      </c>
      <c r="G2663" s="2">
        <v>6</v>
      </c>
      <c r="H2663" s="2">
        <v>6</v>
      </c>
      <c r="I2663" s="137">
        <v>6</v>
      </c>
      <c r="J2663" s="137">
        <v>5</v>
      </c>
      <c r="K2663" s="137">
        <v>6</v>
      </c>
      <c r="L2663" s="137">
        <v>6</v>
      </c>
      <c r="M2663" s="137">
        <v>6</v>
      </c>
      <c r="N2663" s="26">
        <f t="shared" ref="N2663:N2665" si="506">MIN(D2663:M2663)</f>
        <v>5</v>
      </c>
      <c r="O2663" s="2">
        <f t="shared" ref="O2663:O2665" si="507">C2663-N2663</f>
        <v>1</v>
      </c>
      <c r="P2663" s="24">
        <f t="shared" ref="P2663:P2665" si="508">O2663/C2663</f>
        <v>0.16666666666666666</v>
      </c>
    </row>
    <row r="2664" spans="1:16" ht="9.75" customHeight="1">
      <c r="A2664" s="18"/>
      <c r="B2664" s="18" t="s">
        <v>368</v>
      </c>
      <c r="C2664" s="18">
        <v>21</v>
      </c>
      <c r="D2664" s="26">
        <v>21</v>
      </c>
      <c r="E2664" s="2">
        <v>21</v>
      </c>
      <c r="F2664" s="2">
        <v>21</v>
      </c>
      <c r="G2664" s="2">
        <v>21</v>
      </c>
      <c r="H2664" s="2">
        <v>21</v>
      </c>
      <c r="I2664" s="2">
        <f>21-7</f>
        <v>14</v>
      </c>
      <c r="J2664" s="116">
        <v>14</v>
      </c>
      <c r="K2664" s="116">
        <v>13</v>
      </c>
      <c r="L2664" s="116">
        <v>13</v>
      </c>
      <c r="M2664" s="147">
        <v>14</v>
      </c>
      <c r="N2664" s="26">
        <f t="shared" si="506"/>
        <v>13</v>
      </c>
      <c r="O2664" s="2">
        <f t="shared" si="507"/>
        <v>8</v>
      </c>
      <c r="P2664" s="24">
        <f t="shared" si="508"/>
        <v>0.38095238095238093</v>
      </c>
    </row>
    <row r="2665" spans="1:16" ht="9.75" customHeight="1">
      <c r="A2665" s="18"/>
      <c r="B2665" s="18" t="s">
        <v>102</v>
      </c>
      <c r="C2665" s="18">
        <v>6</v>
      </c>
      <c r="D2665" s="115">
        <v>3</v>
      </c>
      <c r="E2665" s="116">
        <v>4</v>
      </c>
      <c r="F2665" s="116">
        <v>4</v>
      </c>
      <c r="G2665" s="116">
        <v>4</v>
      </c>
      <c r="H2665" s="116">
        <v>4</v>
      </c>
      <c r="I2665" s="116">
        <v>5</v>
      </c>
      <c r="J2665" s="116">
        <v>5</v>
      </c>
      <c r="K2665" s="116">
        <v>5</v>
      </c>
      <c r="L2665" s="116">
        <v>5</v>
      </c>
      <c r="M2665" s="147">
        <v>5</v>
      </c>
      <c r="N2665" s="26">
        <f t="shared" si="506"/>
        <v>3</v>
      </c>
      <c r="O2665" s="2">
        <f t="shared" si="507"/>
        <v>3</v>
      </c>
      <c r="P2665" s="24">
        <f t="shared" si="508"/>
        <v>0.5</v>
      </c>
    </row>
    <row r="2666" spans="1:16" ht="9.75" customHeight="1">
      <c r="A2666" s="18"/>
      <c r="B2666" s="18" t="s">
        <v>104</v>
      </c>
      <c r="C2666" s="18"/>
      <c r="D2666" s="26"/>
      <c r="E2666" s="2"/>
      <c r="F2666" s="2"/>
      <c r="G2666" s="2"/>
      <c r="H2666" s="2"/>
      <c r="I2666" s="2"/>
      <c r="J2666" s="2"/>
      <c r="K2666" s="2"/>
      <c r="L2666" s="2"/>
      <c r="M2666" s="27"/>
      <c r="N2666" s="26"/>
      <c r="O2666" s="2"/>
      <c r="P2666" s="24"/>
    </row>
    <row r="2667" spans="1:16" ht="9.75" customHeight="1">
      <c r="A2667" s="18"/>
      <c r="B2667" s="18" t="s">
        <v>104</v>
      </c>
      <c r="C2667" s="18"/>
      <c r="D2667" s="26"/>
      <c r="E2667" s="2"/>
      <c r="F2667" s="2"/>
      <c r="G2667" s="2"/>
      <c r="H2667" s="2"/>
      <c r="I2667" s="2"/>
      <c r="J2667" s="2"/>
      <c r="K2667" s="2"/>
      <c r="L2667" s="2"/>
      <c r="M2667" s="27"/>
      <c r="N2667" s="26"/>
      <c r="O2667" s="2"/>
      <c r="P2667" s="24"/>
    </row>
    <row r="2668" spans="1:16" ht="9.75" customHeight="1">
      <c r="A2668" s="18"/>
      <c r="B2668" s="18" t="s">
        <v>104</v>
      </c>
      <c r="C2668" s="18"/>
      <c r="D2668" s="26"/>
      <c r="E2668" s="2"/>
      <c r="F2668" s="2"/>
      <c r="G2668" s="2"/>
      <c r="H2668" s="2"/>
      <c r="I2668" s="2"/>
      <c r="J2668" s="2"/>
      <c r="K2668" s="2"/>
      <c r="L2668" s="2"/>
      <c r="M2668" s="27"/>
      <c r="N2668" s="26"/>
      <c r="O2668" s="2"/>
      <c r="P2668" s="24"/>
    </row>
    <row r="2669" spans="1:16" ht="9.75" customHeight="1">
      <c r="A2669" s="18"/>
      <c r="B2669" s="18" t="s">
        <v>34</v>
      </c>
      <c r="C2669" s="18">
        <v>8</v>
      </c>
      <c r="D2669" s="26">
        <v>8</v>
      </c>
      <c r="E2669" s="116">
        <v>7</v>
      </c>
      <c r="F2669" s="116">
        <v>7</v>
      </c>
      <c r="G2669" s="116">
        <v>7</v>
      </c>
      <c r="H2669" s="116">
        <v>7</v>
      </c>
      <c r="I2669" s="116">
        <v>6</v>
      </c>
      <c r="J2669" s="116">
        <v>7</v>
      </c>
      <c r="K2669" s="116">
        <v>7</v>
      </c>
      <c r="L2669" s="116">
        <v>7</v>
      </c>
      <c r="M2669" s="147">
        <v>7</v>
      </c>
      <c r="N2669" s="26">
        <f>MIN(D2669:M2669)</f>
        <v>6</v>
      </c>
      <c r="O2669" s="2">
        <f>C2669-N2669</f>
        <v>2</v>
      </c>
      <c r="P2669" s="24">
        <f>O2669/C2669</f>
        <v>0.25</v>
      </c>
    </row>
    <row r="2670" spans="1:16" ht="9.75" customHeight="1">
      <c r="A2670" s="18"/>
      <c r="B2670" s="18" t="s">
        <v>35</v>
      </c>
      <c r="C2670" s="18"/>
      <c r="D2670" s="26"/>
      <c r="E2670" s="2"/>
      <c r="F2670" s="2"/>
      <c r="G2670" s="2"/>
      <c r="H2670" s="2"/>
      <c r="I2670" s="2"/>
      <c r="J2670" s="2"/>
      <c r="K2670" s="2"/>
      <c r="L2670" s="2"/>
      <c r="M2670" s="27"/>
      <c r="N2670" s="26"/>
      <c r="O2670" s="2"/>
      <c r="P2670" s="24"/>
    </row>
    <row r="2671" spans="1:16" ht="9.75" customHeight="1">
      <c r="A2671" s="18"/>
      <c r="B2671" s="18" t="s">
        <v>36</v>
      </c>
      <c r="C2671" s="18"/>
      <c r="D2671" s="26"/>
      <c r="E2671" s="2"/>
      <c r="F2671" s="2"/>
      <c r="G2671" s="2"/>
      <c r="H2671" s="2"/>
      <c r="I2671" s="2"/>
      <c r="J2671" s="2"/>
      <c r="K2671" s="2"/>
      <c r="L2671" s="2"/>
      <c r="M2671" s="27"/>
      <c r="N2671" s="26"/>
      <c r="O2671" s="2"/>
      <c r="P2671" s="24"/>
    </row>
    <row r="2672" spans="1:16" ht="9.75" customHeight="1">
      <c r="A2672" s="18"/>
      <c r="B2672" s="18" t="s">
        <v>37</v>
      </c>
      <c r="C2672" s="18"/>
      <c r="D2672" s="26"/>
      <c r="E2672" s="2"/>
      <c r="F2672" s="2"/>
      <c r="G2672" s="2"/>
      <c r="H2672" s="2"/>
      <c r="I2672" s="2"/>
      <c r="J2672" s="2"/>
      <c r="K2672" s="2"/>
      <c r="L2672" s="2"/>
      <c r="M2672" s="27"/>
      <c r="N2672" s="26"/>
      <c r="O2672" s="2"/>
      <c r="P2672" s="24"/>
    </row>
    <row r="2673" spans="1:16" ht="9.75" customHeight="1">
      <c r="A2673" s="32"/>
      <c r="B2673" s="70" t="s">
        <v>38</v>
      </c>
      <c r="C2673" s="70">
        <f t="shared" ref="C2673:M2673" si="509">SUM(C2657:C2672)</f>
        <v>233</v>
      </c>
      <c r="D2673" s="70">
        <f t="shared" si="509"/>
        <v>150</v>
      </c>
      <c r="E2673" s="71">
        <f t="shared" si="509"/>
        <v>84</v>
      </c>
      <c r="F2673" s="71">
        <f t="shared" si="509"/>
        <v>81</v>
      </c>
      <c r="G2673" s="71">
        <f t="shared" si="509"/>
        <v>74</v>
      </c>
      <c r="H2673" s="71">
        <f t="shared" si="509"/>
        <v>73</v>
      </c>
      <c r="I2673" s="71">
        <f t="shared" si="509"/>
        <v>63</v>
      </c>
      <c r="J2673" s="71">
        <f t="shared" si="509"/>
        <v>62</v>
      </c>
      <c r="K2673" s="71">
        <f t="shared" si="509"/>
        <v>66</v>
      </c>
      <c r="L2673" s="71">
        <f t="shared" si="509"/>
        <v>97</v>
      </c>
      <c r="M2673" s="93">
        <f t="shared" si="509"/>
        <v>141</v>
      </c>
      <c r="N2673" s="71">
        <f>MIN(D2673:M2673)</f>
        <v>62</v>
      </c>
      <c r="O2673" s="71">
        <f>C2673-N2673</f>
        <v>171</v>
      </c>
      <c r="P2673" s="40">
        <f>O2673/C2673</f>
        <v>0.73390557939914158</v>
      </c>
    </row>
    <row r="2674" spans="1:16" ht="9.75" customHeight="1">
      <c r="A2674" s="66" t="s">
        <v>369</v>
      </c>
      <c r="B2674" s="66" t="s">
        <v>23</v>
      </c>
      <c r="C2674" s="18"/>
      <c r="D2674" s="26"/>
      <c r="E2674" s="2"/>
      <c r="F2674" s="2"/>
      <c r="G2674" s="2"/>
      <c r="H2674" s="2"/>
      <c r="I2674" s="2"/>
      <c r="J2674" s="2"/>
      <c r="K2674" s="2"/>
      <c r="L2674" s="2"/>
      <c r="M2674" s="27"/>
      <c r="N2674" s="26"/>
      <c r="O2674" s="2"/>
      <c r="P2674" s="24"/>
    </row>
    <row r="2675" spans="1:16" ht="9.75" customHeight="1">
      <c r="A2675" s="57"/>
      <c r="B2675" s="18" t="s">
        <v>25</v>
      </c>
      <c r="C2675" s="18">
        <f>137+61</f>
        <v>198</v>
      </c>
      <c r="D2675" s="26">
        <f>137-24+51</f>
        <v>164</v>
      </c>
      <c r="E2675" s="2">
        <f>137-53+61-18</f>
        <v>127</v>
      </c>
      <c r="F2675" s="2">
        <f>137-64+61-20</f>
        <v>114</v>
      </c>
      <c r="G2675" s="2">
        <f>60+61-22</f>
        <v>99</v>
      </c>
      <c r="H2675" s="2">
        <f>60+61-21</f>
        <v>100</v>
      </c>
      <c r="I2675" s="2">
        <f>61-21+45</f>
        <v>85</v>
      </c>
      <c r="J2675" s="2">
        <f>61-23+49</f>
        <v>87</v>
      </c>
      <c r="K2675" s="116">
        <f>61-22+51</f>
        <v>90</v>
      </c>
      <c r="L2675" s="2">
        <f>61-19+52</f>
        <v>94</v>
      </c>
      <c r="M2675" s="27">
        <f>61-17+137-60</f>
        <v>121</v>
      </c>
      <c r="N2675" s="26">
        <f>MIN(D2675:M2675)</f>
        <v>85</v>
      </c>
      <c r="O2675" s="2">
        <f>C2675-N2675</f>
        <v>113</v>
      </c>
      <c r="P2675" s="24">
        <f>O2675/C2675</f>
        <v>0.57070707070707072</v>
      </c>
    </row>
    <row r="2676" spans="1:16" ht="9.75" customHeight="1">
      <c r="A2676" s="57"/>
      <c r="B2676" s="18" t="s">
        <v>27</v>
      </c>
      <c r="C2676" s="18"/>
      <c r="D2676" s="26"/>
      <c r="E2676" s="2"/>
      <c r="F2676" s="2"/>
      <c r="G2676" s="2"/>
      <c r="H2676" s="2"/>
      <c r="I2676" s="2"/>
      <c r="J2676" s="2"/>
      <c r="K2676" s="2"/>
      <c r="L2676" s="2"/>
      <c r="M2676" s="27"/>
      <c r="N2676" s="26"/>
      <c r="O2676" s="2"/>
      <c r="P2676" s="24"/>
    </row>
    <row r="2677" spans="1:16" ht="9.75" customHeight="1">
      <c r="A2677" s="57"/>
      <c r="B2677" s="18" t="s">
        <v>222</v>
      </c>
      <c r="C2677" s="18"/>
      <c r="D2677" s="26"/>
      <c r="E2677" s="2"/>
      <c r="F2677" s="2"/>
      <c r="G2677" s="2"/>
      <c r="H2677" s="2"/>
      <c r="I2677" s="2"/>
      <c r="J2677" s="2"/>
      <c r="K2677" s="2"/>
      <c r="L2677" s="2"/>
      <c r="M2677" s="27"/>
      <c r="N2677" s="26"/>
      <c r="O2677" s="2"/>
      <c r="P2677" s="24"/>
    </row>
    <row r="2678" spans="1:16" ht="9.75" customHeight="1">
      <c r="A2678" s="18"/>
      <c r="B2678" s="18" t="s">
        <v>99</v>
      </c>
      <c r="C2678" s="18"/>
      <c r="D2678" s="26"/>
      <c r="E2678" s="2"/>
      <c r="F2678" s="2"/>
      <c r="G2678" s="2"/>
      <c r="H2678" s="2"/>
      <c r="I2678" s="2"/>
      <c r="J2678" s="2"/>
      <c r="K2678" s="2"/>
      <c r="L2678" s="2"/>
      <c r="M2678" s="27"/>
      <c r="N2678" s="26"/>
      <c r="O2678" s="2"/>
      <c r="P2678" s="24"/>
    </row>
    <row r="2679" spans="1:16" ht="9.75" customHeight="1">
      <c r="A2679" s="18"/>
      <c r="B2679" s="18" t="s">
        <v>32</v>
      </c>
      <c r="C2679" s="18"/>
      <c r="D2679" s="26"/>
      <c r="E2679" s="2"/>
      <c r="F2679" s="2"/>
      <c r="G2679" s="2"/>
      <c r="H2679" s="2"/>
      <c r="I2679" s="2"/>
      <c r="J2679" s="2"/>
      <c r="K2679" s="2"/>
      <c r="L2679" s="2"/>
      <c r="M2679" s="27"/>
      <c r="N2679" s="26"/>
      <c r="O2679" s="2"/>
      <c r="P2679" s="24"/>
    </row>
    <row r="2680" spans="1:16" ht="9.75" customHeight="1">
      <c r="A2680" s="18"/>
      <c r="B2680" s="18" t="s">
        <v>102</v>
      </c>
      <c r="C2680" s="18">
        <v>6</v>
      </c>
      <c r="D2680" s="26">
        <v>6</v>
      </c>
      <c r="E2680" s="2">
        <v>6</v>
      </c>
      <c r="F2680" s="2">
        <v>6</v>
      </c>
      <c r="G2680" s="2">
        <v>6</v>
      </c>
      <c r="H2680" s="2">
        <v>6</v>
      </c>
      <c r="I2680" s="116">
        <v>6</v>
      </c>
      <c r="J2680" s="116">
        <v>6</v>
      </c>
      <c r="K2680" s="116">
        <v>6</v>
      </c>
      <c r="L2680" s="116">
        <v>6</v>
      </c>
      <c r="M2680" s="147">
        <v>6</v>
      </c>
      <c r="N2680" s="26">
        <f>MIN(D2680:M2680)</f>
        <v>6</v>
      </c>
      <c r="O2680" s="2">
        <f>C2680-N2680</f>
        <v>0</v>
      </c>
      <c r="P2680" s="24">
        <f>O2680/C2680</f>
        <v>0</v>
      </c>
    </row>
    <row r="2681" spans="1:16" ht="9.75" customHeight="1">
      <c r="A2681" s="18"/>
      <c r="B2681" s="18" t="s">
        <v>174</v>
      </c>
      <c r="C2681" s="18"/>
      <c r="D2681" s="26"/>
      <c r="E2681" s="2"/>
      <c r="F2681" s="2"/>
      <c r="G2681" s="2"/>
      <c r="H2681" s="2"/>
      <c r="I2681" s="2"/>
      <c r="J2681" s="2"/>
      <c r="K2681" s="2"/>
      <c r="L2681" s="2"/>
      <c r="M2681" s="27"/>
      <c r="N2681" s="26"/>
      <c r="O2681" s="2"/>
      <c r="P2681" s="24"/>
    </row>
    <row r="2682" spans="1:16" ht="9.75" customHeight="1">
      <c r="A2682" s="18"/>
      <c r="B2682" s="18" t="s">
        <v>104</v>
      </c>
      <c r="C2682" s="18"/>
      <c r="D2682" s="26"/>
      <c r="E2682" s="2"/>
      <c r="F2682" s="2"/>
      <c r="G2682" s="2"/>
      <c r="H2682" s="2"/>
      <c r="I2682" s="2"/>
      <c r="J2682" s="2"/>
      <c r="K2682" s="2"/>
      <c r="L2682" s="2"/>
      <c r="M2682" s="27"/>
      <c r="N2682" s="26"/>
      <c r="O2682" s="2"/>
      <c r="P2682" s="24"/>
    </row>
    <row r="2683" spans="1:16" ht="9.75" customHeight="1">
      <c r="A2683" s="18"/>
      <c r="B2683" s="18" t="s">
        <v>104</v>
      </c>
      <c r="C2683" s="18"/>
      <c r="D2683" s="26"/>
      <c r="E2683" s="2"/>
      <c r="F2683" s="2"/>
      <c r="G2683" s="2"/>
      <c r="H2683" s="2"/>
      <c r="I2683" s="2"/>
      <c r="J2683" s="2"/>
      <c r="K2683" s="2"/>
      <c r="L2683" s="2"/>
      <c r="M2683" s="27"/>
      <c r="N2683" s="26"/>
      <c r="O2683" s="2"/>
      <c r="P2683" s="24"/>
    </row>
    <row r="2684" spans="1:16" ht="9.75" customHeight="1">
      <c r="A2684" s="18"/>
      <c r="B2684" s="18" t="s">
        <v>104</v>
      </c>
      <c r="C2684" s="18"/>
      <c r="D2684" s="26"/>
      <c r="E2684" s="2"/>
      <c r="F2684" s="2"/>
      <c r="G2684" s="2"/>
      <c r="H2684" s="2"/>
      <c r="I2684" s="2"/>
      <c r="J2684" s="2"/>
      <c r="K2684" s="2"/>
      <c r="L2684" s="2"/>
      <c r="M2684" s="27"/>
      <c r="N2684" s="26"/>
      <c r="O2684" s="2"/>
      <c r="P2684" s="24"/>
    </row>
    <row r="2685" spans="1:16" ht="9.75" customHeight="1">
      <c r="A2685" s="18"/>
      <c r="B2685" s="18" t="s">
        <v>104</v>
      </c>
      <c r="C2685" s="18"/>
      <c r="D2685" s="26"/>
      <c r="E2685" s="2"/>
      <c r="F2685" s="2"/>
      <c r="G2685" s="2"/>
      <c r="H2685" s="2"/>
      <c r="I2685" s="2"/>
      <c r="J2685" s="2"/>
      <c r="K2685" s="2"/>
      <c r="L2685" s="2"/>
      <c r="M2685" s="27"/>
      <c r="N2685" s="26"/>
      <c r="O2685" s="2"/>
      <c r="P2685" s="24"/>
    </row>
    <row r="2686" spans="1:16" ht="9.75" customHeight="1">
      <c r="A2686" s="18"/>
      <c r="B2686" s="18" t="s">
        <v>34</v>
      </c>
      <c r="C2686" s="18">
        <v>6</v>
      </c>
      <c r="D2686" s="26">
        <v>6</v>
      </c>
      <c r="E2686" s="2">
        <v>6</v>
      </c>
      <c r="F2686" s="2">
        <v>6</v>
      </c>
      <c r="G2686" s="2">
        <v>6</v>
      </c>
      <c r="H2686" s="2">
        <v>6</v>
      </c>
      <c r="I2686" s="116">
        <v>6</v>
      </c>
      <c r="J2686" s="116">
        <v>6</v>
      </c>
      <c r="K2686" s="116">
        <v>6</v>
      </c>
      <c r="L2686" s="116">
        <v>6</v>
      </c>
      <c r="M2686" s="147">
        <v>6</v>
      </c>
      <c r="N2686" s="26">
        <f>MIN(D2686:M2686)</f>
        <v>6</v>
      </c>
      <c r="O2686" s="2">
        <f>C2686-N2686</f>
        <v>0</v>
      </c>
      <c r="P2686" s="24">
        <f>O2686/C2686</f>
        <v>0</v>
      </c>
    </row>
    <row r="2687" spans="1:16" ht="9.75" customHeight="1">
      <c r="A2687" s="18"/>
      <c r="B2687" s="18" t="s">
        <v>35</v>
      </c>
      <c r="C2687" s="18"/>
      <c r="D2687" s="26"/>
      <c r="E2687" s="2"/>
      <c r="F2687" s="2"/>
      <c r="G2687" s="2"/>
      <c r="H2687" s="2"/>
      <c r="I2687" s="2"/>
      <c r="J2687" s="2"/>
      <c r="K2687" s="2"/>
      <c r="L2687" s="2"/>
      <c r="M2687" s="27"/>
      <c r="N2687" s="26"/>
      <c r="O2687" s="2"/>
      <c r="P2687" s="24"/>
    </row>
    <row r="2688" spans="1:16" ht="9.75" customHeight="1">
      <c r="A2688" s="18"/>
      <c r="B2688" s="18" t="s">
        <v>36</v>
      </c>
      <c r="C2688" s="18"/>
      <c r="D2688" s="26"/>
      <c r="E2688" s="2"/>
      <c r="F2688" s="2"/>
      <c r="G2688" s="2"/>
      <c r="H2688" s="2"/>
      <c r="I2688" s="2"/>
      <c r="J2688" s="2"/>
      <c r="K2688" s="2"/>
      <c r="L2688" s="2"/>
      <c r="M2688" s="27"/>
      <c r="N2688" s="26"/>
      <c r="O2688" s="2"/>
      <c r="P2688" s="24"/>
    </row>
    <row r="2689" spans="1:16" ht="9.75" customHeight="1">
      <c r="A2689" s="18"/>
      <c r="B2689" s="18" t="s">
        <v>37</v>
      </c>
      <c r="C2689" s="18"/>
      <c r="D2689" s="26"/>
      <c r="E2689" s="2"/>
      <c r="F2689" s="2"/>
      <c r="G2689" s="2"/>
      <c r="H2689" s="2"/>
      <c r="I2689" s="2"/>
      <c r="J2689" s="2"/>
      <c r="K2689" s="2"/>
      <c r="L2689" s="2"/>
      <c r="M2689" s="27"/>
      <c r="N2689" s="26"/>
      <c r="O2689" s="2"/>
      <c r="P2689" s="24"/>
    </row>
    <row r="2690" spans="1:16" ht="9.75" customHeight="1">
      <c r="A2690" s="32"/>
      <c r="B2690" s="70" t="s">
        <v>38</v>
      </c>
      <c r="C2690" s="70">
        <f t="shared" ref="C2690:M2690" si="510">SUM(C2674:C2689)</f>
        <v>210</v>
      </c>
      <c r="D2690" s="70">
        <f t="shared" si="510"/>
        <v>176</v>
      </c>
      <c r="E2690" s="71">
        <f t="shared" si="510"/>
        <v>139</v>
      </c>
      <c r="F2690" s="71">
        <f t="shared" si="510"/>
        <v>126</v>
      </c>
      <c r="G2690" s="71">
        <f t="shared" si="510"/>
        <v>111</v>
      </c>
      <c r="H2690" s="71">
        <f t="shared" si="510"/>
        <v>112</v>
      </c>
      <c r="I2690" s="71">
        <f t="shared" si="510"/>
        <v>97</v>
      </c>
      <c r="J2690" s="71">
        <f t="shared" si="510"/>
        <v>99</v>
      </c>
      <c r="K2690" s="71">
        <f t="shared" si="510"/>
        <v>102</v>
      </c>
      <c r="L2690" s="71">
        <f t="shared" si="510"/>
        <v>106</v>
      </c>
      <c r="M2690" s="93">
        <f t="shared" si="510"/>
        <v>133</v>
      </c>
      <c r="N2690" s="71">
        <f>MIN(D2690:M2690)</f>
        <v>97</v>
      </c>
      <c r="O2690" s="71">
        <f>C2690-N2690</f>
        <v>113</v>
      </c>
      <c r="P2690" s="40">
        <f>O2690/C2690</f>
        <v>0.53809523809523807</v>
      </c>
    </row>
    <row r="2691" spans="1:16" ht="9.75" customHeight="1">
      <c r="A2691" s="66" t="s">
        <v>370</v>
      </c>
      <c r="B2691" s="66" t="s">
        <v>23</v>
      </c>
      <c r="C2691" s="18"/>
      <c r="D2691" s="26"/>
      <c r="E2691" s="2"/>
      <c r="F2691" s="2"/>
      <c r="G2691" s="2"/>
      <c r="H2691" s="2"/>
      <c r="I2691" s="2"/>
      <c r="J2691" s="2"/>
      <c r="K2691" s="2"/>
      <c r="L2691" s="2"/>
      <c r="M2691" s="27"/>
      <c r="N2691" s="26"/>
      <c r="O2691" s="2"/>
      <c r="P2691" s="24"/>
    </row>
    <row r="2692" spans="1:16" ht="9.75" customHeight="1">
      <c r="A2692" s="57"/>
      <c r="B2692" s="18" t="s">
        <v>25</v>
      </c>
      <c r="C2692" s="18">
        <v>68</v>
      </c>
      <c r="D2692" s="115">
        <v>20</v>
      </c>
      <c r="E2692" s="116">
        <v>22</v>
      </c>
      <c r="F2692" s="116">
        <v>21</v>
      </c>
      <c r="G2692" s="116">
        <v>23</v>
      </c>
      <c r="H2692" s="116">
        <v>28</v>
      </c>
      <c r="I2692" s="116">
        <v>24</v>
      </c>
      <c r="J2692" s="116">
        <v>22</v>
      </c>
      <c r="K2692" s="116">
        <v>24</v>
      </c>
      <c r="L2692" s="116">
        <v>25</v>
      </c>
      <c r="M2692" s="27">
        <f>68-37</f>
        <v>31</v>
      </c>
      <c r="N2692" s="26">
        <f>MIN(D2692:M2692)</f>
        <v>20</v>
      </c>
      <c r="O2692" s="2">
        <f>C2692-N2692</f>
        <v>48</v>
      </c>
      <c r="P2692" s="24">
        <f>O2692/C2692</f>
        <v>0.70588235294117652</v>
      </c>
    </row>
    <row r="2693" spans="1:16" ht="9.75" customHeight="1">
      <c r="A2693" s="57"/>
      <c r="B2693" s="18" t="s">
        <v>27</v>
      </c>
      <c r="C2693" s="18"/>
      <c r="D2693" s="26"/>
      <c r="E2693" s="2"/>
      <c r="F2693" s="2"/>
      <c r="G2693" s="2"/>
      <c r="H2693" s="2"/>
      <c r="I2693" s="2"/>
      <c r="J2693" s="2"/>
      <c r="K2693" s="2"/>
      <c r="L2693" s="2"/>
      <c r="M2693" s="27"/>
      <c r="N2693" s="26"/>
      <c r="O2693" s="2"/>
      <c r="P2693" s="24"/>
    </row>
    <row r="2694" spans="1:16" ht="9.75" customHeight="1">
      <c r="A2694" s="57"/>
      <c r="B2694" s="18" t="s">
        <v>222</v>
      </c>
      <c r="C2694" s="18"/>
      <c r="D2694" s="26"/>
      <c r="E2694" s="2"/>
      <c r="F2694" s="2"/>
      <c r="G2694" s="2"/>
      <c r="H2694" s="2"/>
      <c r="I2694" s="2"/>
      <c r="J2694" s="2"/>
      <c r="K2694" s="2"/>
      <c r="L2694" s="2"/>
      <c r="M2694" s="27"/>
      <c r="N2694" s="26"/>
      <c r="O2694" s="2"/>
      <c r="P2694" s="24"/>
    </row>
    <row r="2695" spans="1:16" ht="9.75" customHeight="1">
      <c r="A2695" s="18"/>
      <c r="B2695" s="18" t="s">
        <v>99</v>
      </c>
      <c r="C2695" s="18"/>
      <c r="D2695" s="26"/>
      <c r="E2695" s="2"/>
      <c r="F2695" s="2"/>
      <c r="G2695" s="2"/>
      <c r="H2695" s="2"/>
      <c r="I2695" s="2"/>
      <c r="J2695" s="2"/>
      <c r="K2695" s="2"/>
      <c r="L2695" s="2"/>
      <c r="M2695" s="27"/>
      <c r="N2695" s="26"/>
      <c r="O2695" s="2"/>
      <c r="P2695" s="24"/>
    </row>
    <row r="2696" spans="1:16" ht="9.75" customHeight="1">
      <c r="A2696" s="18"/>
      <c r="B2696" s="18" t="s">
        <v>32</v>
      </c>
      <c r="C2696" s="18"/>
      <c r="D2696" s="26"/>
      <c r="E2696" s="2"/>
      <c r="F2696" s="2"/>
      <c r="G2696" s="2"/>
      <c r="H2696" s="2"/>
      <c r="I2696" s="2"/>
      <c r="J2696" s="2"/>
      <c r="K2696" s="2"/>
      <c r="L2696" s="2"/>
      <c r="M2696" s="27"/>
      <c r="N2696" s="26"/>
      <c r="O2696" s="2"/>
      <c r="P2696" s="24"/>
    </row>
    <row r="2697" spans="1:16" ht="9.75" customHeight="1">
      <c r="A2697" s="18"/>
      <c r="B2697" s="18" t="s">
        <v>102</v>
      </c>
      <c r="C2697" s="18">
        <v>10</v>
      </c>
      <c r="D2697" s="115">
        <v>6</v>
      </c>
      <c r="E2697" s="116">
        <v>7</v>
      </c>
      <c r="F2697" s="116">
        <v>7</v>
      </c>
      <c r="G2697" s="116">
        <v>7</v>
      </c>
      <c r="H2697" s="116">
        <v>7</v>
      </c>
      <c r="I2697" s="116">
        <v>7</v>
      </c>
      <c r="J2697" s="116">
        <v>6</v>
      </c>
      <c r="K2697" s="116">
        <v>9</v>
      </c>
      <c r="L2697" s="116">
        <v>10</v>
      </c>
      <c r="M2697" s="147">
        <v>10</v>
      </c>
      <c r="N2697" s="26">
        <f>MIN(D2697:M2697)</f>
        <v>6</v>
      </c>
      <c r="O2697" s="2">
        <f>C2697-N2697</f>
        <v>4</v>
      </c>
      <c r="P2697" s="24">
        <f>O2697/C2697</f>
        <v>0.4</v>
      </c>
    </row>
    <row r="2698" spans="1:16" ht="9.75" customHeight="1">
      <c r="A2698" s="18"/>
      <c r="B2698" s="18" t="s">
        <v>104</v>
      </c>
      <c r="C2698" s="18"/>
      <c r="D2698" s="26"/>
      <c r="E2698" s="2"/>
      <c r="F2698" s="2"/>
      <c r="G2698" s="2"/>
      <c r="H2698" s="2"/>
      <c r="I2698" s="2"/>
      <c r="J2698" s="2"/>
      <c r="K2698" s="2"/>
      <c r="L2698" s="2"/>
      <c r="M2698" s="27"/>
      <c r="N2698" s="26"/>
      <c r="O2698" s="2"/>
      <c r="P2698" s="24"/>
    </row>
    <row r="2699" spans="1:16" ht="9.75" customHeight="1">
      <c r="A2699" s="18"/>
      <c r="B2699" s="18" t="s">
        <v>104</v>
      </c>
      <c r="C2699" s="18"/>
      <c r="D2699" s="26"/>
      <c r="E2699" s="2"/>
      <c r="F2699" s="2"/>
      <c r="G2699" s="2"/>
      <c r="H2699" s="2"/>
      <c r="I2699" s="2"/>
      <c r="J2699" s="2"/>
      <c r="K2699" s="2"/>
      <c r="L2699" s="2"/>
      <c r="M2699" s="27"/>
      <c r="N2699" s="26"/>
      <c r="O2699" s="2"/>
      <c r="P2699" s="24"/>
    </row>
    <row r="2700" spans="1:16" ht="9.75" customHeight="1">
      <c r="A2700" s="18"/>
      <c r="B2700" s="18" t="s">
        <v>104</v>
      </c>
      <c r="C2700" s="18"/>
      <c r="D2700" s="26"/>
      <c r="E2700" s="2"/>
      <c r="F2700" s="2"/>
      <c r="G2700" s="2"/>
      <c r="H2700" s="2"/>
      <c r="I2700" s="2"/>
      <c r="J2700" s="2"/>
      <c r="K2700" s="2"/>
      <c r="L2700" s="2"/>
      <c r="M2700" s="27"/>
      <c r="N2700" s="26"/>
      <c r="O2700" s="2"/>
      <c r="P2700" s="24"/>
    </row>
    <row r="2701" spans="1:16" ht="9.75" customHeight="1">
      <c r="A2701" s="18"/>
      <c r="B2701" s="18" t="s">
        <v>104</v>
      </c>
      <c r="C2701" s="18"/>
      <c r="D2701" s="26"/>
      <c r="E2701" s="2"/>
      <c r="F2701" s="2"/>
      <c r="G2701" s="2"/>
      <c r="H2701" s="2"/>
      <c r="I2701" s="2"/>
      <c r="J2701" s="2"/>
      <c r="K2701" s="2"/>
      <c r="L2701" s="2"/>
      <c r="M2701" s="27"/>
      <c r="N2701" s="26"/>
      <c r="O2701" s="2"/>
      <c r="P2701" s="24"/>
    </row>
    <row r="2702" spans="1:16" ht="9.75" customHeight="1">
      <c r="A2702" s="18"/>
      <c r="B2702" s="18" t="s">
        <v>104</v>
      </c>
      <c r="C2702" s="18"/>
      <c r="D2702" s="26"/>
      <c r="E2702" s="2"/>
      <c r="F2702" s="2"/>
      <c r="G2702" s="2"/>
      <c r="H2702" s="2"/>
      <c r="I2702" s="2"/>
      <c r="J2702" s="2"/>
      <c r="K2702" s="2"/>
      <c r="L2702" s="2"/>
      <c r="M2702" s="27"/>
      <c r="N2702" s="26"/>
      <c r="O2702" s="2"/>
      <c r="P2702" s="24"/>
    </row>
    <row r="2703" spans="1:16" ht="9.75" customHeight="1">
      <c r="A2703" s="18"/>
      <c r="B2703" s="18" t="s">
        <v>34</v>
      </c>
      <c r="C2703" s="18">
        <v>5</v>
      </c>
      <c r="D2703" s="115">
        <v>4</v>
      </c>
      <c r="E2703" s="116">
        <v>4</v>
      </c>
      <c r="F2703" s="116">
        <v>4</v>
      </c>
      <c r="G2703" s="116">
        <v>4</v>
      </c>
      <c r="H2703" s="116">
        <v>4</v>
      </c>
      <c r="I2703" s="116">
        <v>5</v>
      </c>
      <c r="J2703" s="116">
        <v>5</v>
      </c>
      <c r="K2703" s="116">
        <v>5</v>
      </c>
      <c r="L2703" s="116">
        <v>5</v>
      </c>
      <c r="M2703" s="147">
        <v>5</v>
      </c>
      <c r="N2703" s="26">
        <f>MIN(D2703:M2703)</f>
        <v>4</v>
      </c>
      <c r="O2703" s="2">
        <f>C2703-N2703</f>
        <v>1</v>
      </c>
      <c r="P2703" s="24">
        <f>O2703/C2703</f>
        <v>0.2</v>
      </c>
    </row>
    <row r="2704" spans="1:16" ht="9.75" customHeight="1">
      <c r="A2704" s="18"/>
      <c r="B2704" s="18" t="s">
        <v>35</v>
      </c>
      <c r="C2704" s="18"/>
      <c r="D2704" s="26"/>
      <c r="E2704" s="2"/>
      <c r="F2704" s="2"/>
      <c r="G2704" s="2"/>
      <c r="H2704" s="2"/>
      <c r="I2704" s="2"/>
      <c r="J2704" s="2"/>
      <c r="K2704" s="2"/>
      <c r="L2704" s="2"/>
      <c r="M2704" s="27"/>
      <c r="N2704" s="26"/>
      <c r="O2704" s="2"/>
      <c r="P2704" s="24"/>
    </row>
    <row r="2705" spans="1:16" ht="9.75" customHeight="1">
      <c r="A2705" s="18"/>
      <c r="B2705" s="18" t="s">
        <v>36</v>
      </c>
      <c r="C2705" s="18"/>
      <c r="D2705" s="26"/>
      <c r="E2705" s="2"/>
      <c r="F2705" s="2"/>
      <c r="G2705" s="2"/>
      <c r="H2705" s="2"/>
      <c r="I2705" s="2"/>
      <c r="J2705" s="2"/>
      <c r="K2705" s="2"/>
      <c r="L2705" s="2"/>
      <c r="M2705" s="27"/>
      <c r="N2705" s="26"/>
      <c r="O2705" s="2"/>
      <c r="P2705" s="24"/>
    </row>
    <row r="2706" spans="1:16" ht="9.75" customHeight="1">
      <c r="A2706" s="18"/>
      <c r="B2706" s="18" t="s">
        <v>37</v>
      </c>
      <c r="C2706" s="18"/>
      <c r="D2706" s="26"/>
      <c r="E2706" s="2"/>
      <c r="F2706" s="2"/>
      <c r="G2706" s="2"/>
      <c r="H2706" s="2"/>
      <c r="I2706" s="2"/>
      <c r="J2706" s="2"/>
      <c r="K2706" s="2"/>
      <c r="L2706" s="2"/>
      <c r="M2706" s="27"/>
      <c r="N2706" s="26"/>
      <c r="O2706" s="2"/>
      <c r="P2706" s="24"/>
    </row>
    <row r="2707" spans="1:16" ht="9.75" customHeight="1">
      <c r="A2707" s="32"/>
      <c r="B2707" s="70" t="s">
        <v>38</v>
      </c>
      <c r="C2707" s="70">
        <f t="shared" ref="C2707:M2707" si="511">SUM(C2691:C2706)</f>
        <v>83</v>
      </c>
      <c r="D2707" s="70">
        <f t="shared" si="511"/>
        <v>30</v>
      </c>
      <c r="E2707" s="71">
        <f t="shared" si="511"/>
        <v>33</v>
      </c>
      <c r="F2707" s="71">
        <f t="shared" si="511"/>
        <v>32</v>
      </c>
      <c r="G2707" s="71">
        <f t="shared" si="511"/>
        <v>34</v>
      </c>
      <c r="H2707" s="71">
        <f t="shared" si="511"/>
        <v>39</v>
      </c>
      <c r="I2707" s="71">
        <f t="shared" si="511"/>
        <v>36</v>
      </c>
      <c r="J2707" s="71">
        <f t="shared" si="511"/>
        <v>33</v>
      </c>
      <c r="K2707" s="71">
        <f t="shared" si="511"/>
        <v>38</v>
      </c>
      <c r="L2707" s="71">
        <f t="shared" si="511"/>
        <v>40</v>
      </c>
      <c r="M2707" s="93">
        <f t="shared" si="511"/>
        <v>46</v>
      </c>
      <c r="N2707" s="71">
        <f>MIN(D2707:M2707)</f>
        <v>30</v>
      </c>
      <c r="O2707" s="71">
        <f>C2707-N2707</f>
        <v>53</v>
      </c>
      <c r="P2707" s="40">
        <f>O2707/C2707</f>
        <v>0.63855421686746983</v>
      </c>
    </row>
    <row r="2708" spans="1:16" ht="9.75" customHeight="1">
      <c r="A2708" s="85" t="s">
        <v>371</v>
      </c>
      <c r="B2708" s="22" t="s">
        <v>23</v>
      </c>
      <c r="C2708" s="22"/>
      <c r="D2708" s="21"/>
      <c r="E2708" s="21"/>
      <c r="F2708" s="21"/>
      <c r="G2708" s="21"/>
      <c r="H2708" s="21"/>
      <c r="I2708" s="21"/>
      <c r="J2708" s="21"/>
      <c r="K2708" s="21"/>
      <c r="L2708" s="21"/>
      <c r="M2708" s="22"/>
      <c r="N2708" s="21"/>
      <c r="O2708" s="21"/>
      <c r="P2708" s="99"/>
    </row>
    <row r="2709" spans="1:16" ht="9.75" customHeight="1">
      <c r="A2709" s="57"/>
      <c r="B2709" s="25" t="s">
        <v>25</v>
      </c>
      <c r="C2709" s="25"/>
      <c r="D2709" s="23"/>
      <c r="E2709" s="23"/>
      <c r="F2709" s="23"/>
      <c r="G2709" s="23"/>
      <c r="H2709" s="23"/>
      <c r="I2709" s="23"/>
      <c r="J2709" s="23"/>
      <c r="K2709" s="23"/>
      <c r="L2709" s="23"/>
      <c r="M2709" s="25"/>
      <c r="N2709" s="23"/>
      <c r="O2709" s="23"/>
      <c r="P2709" s="24"/>
    </row>
    <row r="2710" spans="1:16" ht="9.75" customHeight="1">
      <c r="A2710" s="57"/>
      <c r="B2710" s="25" t="s">
        <v>27</v>
      </c>
      <c r="C2710" s="25"/>
      <c r="D2710" s="23"/>
      <c r="E2710" s="23"/>
      <c r="F2710" s="23"/>
      <c r="G2710" s="23"/>
      <c r="H2710" s="23"/>
      <c r="I2710" s="23"/>
      <c r="J2710" s="23"/>
      <c r="K2710" s="23"/>
      <c r="L2710" s="23"/>
      <c r="M2710" s="25"/>
      <c r="N2710" s="23"/>
      <c r="O2710" s="23"/>
      <c r="P2710" s="24"/>
    </row>
    <row r="2711" spans="1:16" ht="9.75" customHeight="1">
      <c r="A2711" s="57"/>
      <c r="B2711" s="25" t="s">
        <v>227</v>
      </c>
      <c r="C2711" s="87">
        <v>41</v>
      </c>
      <c r="D2711" s="52">
        <v>41</v>
      </c>
      <c r="E2711" s="52">
        <v>41</v>
      </c>
      <c r="F2711" s="52">
        <v>41</v>
      </c>
      <c r="G2711" s="52">
        <v>41</v>
      </c>
      <c r="H2711" s="52">
        <v>41</v>
      </c>
      <c r="I2711" s="137">
        <v>41</v>
      </c>
      <c r="J2711" s="137">
        <v>41</v>
      </c>
      <c r="K2711" s="137">
        <v>41</v>
      </c>
      <c r="L2711" s="137">
        <v>41</v>
      </c>
      <c r="M2711" s="138">
        <v>41</v>
      </c>
      <c r="N2711" s="52">
        <f>MIN(D2711:M2711)</f>
        <v>41</v>
      </c>
      <c r="O2711" s="52">
        <f>C2711-N2711</f>
        <v>0</v>
      </c>
      <c r="P2711" s="54">
        <f>O2711/C2711</f>
        <v>0</v>
      </c>
    </row>
    <row r="2712" spans="1:16" ht="9.75" customHeight="1">
      <c r="A2712" s="28"/>
      <c r="B2712" s="25" t="s">
        <v>99</v>
      </c>
      <c r="C2712" s="25"/>
      <c r="D2712" s="23"/>
      <c r="E2712" s="23"/>
      <c r="F2712" s="23"/>
      <c r="G2712" s="23"/>
      <c r="H2712" s="23"/>
      <c r="I2712" s="23"/>
      <c r="J2712" s="23"/>
      <c r="K2712" s="23"/>
      <c r="L2712" s="23"/>
      <c r="M2712" s="25"/>
      <c r="N2712" s="23"/>
      <c r="O2712" s="23"/>
      <c r="P2712" s="24"/>
    </row>
    <row r="2713" spans="1:16" ht="9.75" customHeight="1">
      <c r="A2713" s="28"/>
      <c r="B2713" s="25" t="s">
        <v>32</v>
      </c>
      <c r="C2713" s="25"/>
      <c r="D2713" s="23"/>
      <c r="E2713" s="23"/>
      <c r="F2713" s="23"/>
      <c r="G2713" s="23"/>
      <c r="H2713" s="23"/>
      <c r="I2713" s="23"/>
      <c r="J2713" s="23"/>
      <c r="K2713" s="23"/>
      <c r="L2713" s="23"/>
      <c r="M2713" s="25"/>
      <c r="N2713" s="23"/>
      <c r="O2713" s="23"/>
      <c r="P2713" s="24"/>
    </row>
    <row r="2714" spans="1:16" ht="9.75" customHeight="1">
      <c r="A2714" s="28"/>
      <c r="B2714" s="25" t="s">
        <v>104</v>
      </c>
      <c r="C2714" s="25"/>
      <c r="D2714" s="23"/>
      <c r="E2714" s="23"/>
      <c r="F2714" s="23"/>
      <c r="G2714" s="23"/>
      <c r="H2714" s="23"/>
      <c r="I2714" s="23"/>
      <c r="J2714" s="23"/>
      <c r="K2714" s="23"/>
      <c r="L2714" s="23"/>
      <c r="M2714" s="25"/>
      <c r="N2714" s="23"/>
      <c r="O2714" s="23"/>
      <c r="P2714" s="24"/>
    </row>
    <row r="2715" spans="1:16" ht="9.75" customHeight="1">
      <c r="A2715" s="28"/>
      <c r="B2715" s="25" t="s">
        <v>104</v>
      </c>
      <c r="C2715" s="25"/>
      <c r="D2715" s="23"/>
      <c r="E2715" s="23"/>
      <c r="F2715" s="23"/>
      <c r="G2715" s="23"/>
      <c r="H2715" s="23"/>
      <c r="I2715" s="23"/>
      <c r="J2715" s="23"/>
      <c r="K2715" s="23"/>
      <c r="L2715" s="23"/>
      <c r="M2715" s="25"/>
      <c r="N2715" s="23"/>
      <c r="O2715" s="23"/>
      <c r="P2715" s="24"/>
    </row>
    <row r="2716" spans="1:16" ht="9.75" customHeight="1">
      <c r="A2716" s="28"/>
      <c r="B2716" s="25" t="s">
        <v>104</v>
      </c>
      <c r="C2716" s="25"/>
      <c r="D2716" s="23"/>
      <c r="E2716" s="23"/>
      <c r="F2716" s="23"/>
      <c r="G2716" s="23"/>
      <c r="H2716" s="23"/>
      <c r="I2716" s="23"/>
      <c r="J2716" s="23"/>
      <c r="K2716" s="23"/>
      <c r="L2716" s="23"/>
      <c r="M2716" s="25"/>
      <c r="N2716" s="23"/>
      <c r="O2716" s="23"/>
      <c r="P2716" s="24"/>
    </row>
    <row r="2717" spans="1:16" ht="9.75" customHeight="1">
      <c r="A2717" s="28"/>
      <c r="B2717" s="25" t="s">
        <v>104</v>
      </c>
      <c r="C2717" s="25"/>
      <c r="D2717" s="23"/>
      <c r="E2717" s="23"/>
      <c r="F2717" s="23"/>
      <c r="G2717" s="23"/>
      <c r="H2717" s="23"/>
      <c r="I2717" s="23"/>
      <c r="J2717" s="23"/>
      <c r="K2717" s="23"/>
      <c r="L2717" s="23"/>
      <c r="M2717" s="25"/>
      <c r="N2717" s="23"/>
      <c r="O2717" s="23"/>
      <c r="P2717" s="24"/>
    </row>
    <row r="2718" spans="1:16" ht="9.75" customHeight="1">
      <c r="A2718" s="28"/>
      <c r="B2718" s="25" t="s">
        <v>104</v>
      </c>
      <c r="C2718" s="25"/>
      <c r="D2718" s="23"/>
      <c r="E2718" s="23"/>
      <c r="F2718" s="23"/>
      <c r="G2718" s="23"/>
      <c r="H2718" s="23"/>
      <c r="I2718" s="23"/>
      <c r="J2718" s="23"/>
      <c r="K2718" s="23"/>
      <c r="L2718" s="23"/>
      <c r="M2718" s="25"/>
      <c r="N2718" s="23"/>
      <c r="O2718" s="23"/>
      <c r="P2718" s="24"/>
    </row>
    <row r="2719" spans="1:16" ht="9.75" customHeight="1">
      <c r="A2719" s="28"/>
      <c r="B2719" s="25" t="s">
        <v>104</v>
      </c>
      <c r="C2719" s="25"/>
      <c r="D2719" s="23"/>
      <c r="E2719" s="23"/>
      <c r="F2719" s="23"/>
      <c r="G2719" s="23"/>
      <c r="H2719" s="23"/>
      <c r="I2719" s="23"/>
      <c r="J2719" s="23"/>
      <c r="K2719" s="23"/>
      <c r="L2719" s="23"/>
      <c r="M2719" s="25"/>
      <c r="N2719" s="23"/>
      <c r="O2719" s="23"/>
      <c r="P2719" s="24"/>
    </row>
    <row r="2720" spans="1:16" ht="9.75" customHeight="1">
      <c r="A2720" s="28"/>
      <c r="B2720" s="25" t="s">
        <v>34</v>
      </c>
      <c r="C2720" s="25"/>
      <c r="D2720" s="23"/>
      <c r="E2720" s="23"/>
      <c r="F2720" s="23"/>
      <c r="G2720" s="23"/>
      <c r="H2720" s="23"/>
      <c r="I2720" s="23"/>
      <c r="J2720" s="23"/>
      <c r="K2720" s="23"/>
      <c r="L2720" s="23"/>
      <c r="M2720" s="25"/>
      <c r="N2720" s="23"/>
      <c r="O2720" s="23"/>
      <c r="P2720" s="24"/>
    </row>
    <row r="2721" spans="1:16" ht="9.75" customHeight="1">
      <c r="A2721" s="28"/>
      <c r="B2721" s="25" t="s">
        <v>35</v>
      </c>
      <c r="C2721" s="25"/>
      <c r="D2721" s="23"/>
      <c r="E2721" s="23"/>
      <c r="F2721" s="23"/>
      <c r="G2721" s="23"/>
      <c r="H2721" s="23"/>
      <c r="I2721" s="23"/>
      <c r="J2721" s="23"/>
      <c r="K2721" s="23"/>
      <c r="L2721" s="23"/>
      <c r="M2721" s="25"/>
      <c r="N2721" s="23"/>
      <c r="O2721" s="23"/>
      <c r="P2721" s="24"/>
    </row>
    <row r="2722" spans="1:16" ht="9.75" customHeight="1">
      <c r="A2722" s="28"/>
      <c r="B2722" s="25" t="s">
        <v>36</v>
      </c>
      <c r="C2722" s="25"/>
      <c r="D2722" s="23"/>
      <c r="E2722" s="23"/>
      <c r="F2722" s="23"/>
      <c r="G2722" s="23"/>
      <c r="H2722" s="23"/>
      <c r="I2722" s="23"/>
      <c r="J2722" s="23"/>
      <c r="K2722" s="23"/>
      <c r="L2722" s="23"/>
      <c r="M2722" s="25"/>
      <c r="N2722" s="23"/>
      <c r="O2722" s="23"/>
      <c r="P2722" s="24"/>
    </row>
    <row r="2723" spans="1:16" ht="9.75" customHeight="1">
      <c r="A2723" s="28"/>
      <c r="B2723" s="31" t="s">
        <v>37</v>
      </c>
      <c r="C2723" s="31"/>
      <c r="D2723" s="30"/>
      <c r="E2723" s="30"/>
      <c r="F2723" s="30"/>
      <c r="G2723" s="30"/>
      <c r="H2723" s="30"/>
      <c r="I2723" s="30"/>
      <c r="J2723" s="30"/>
      <c r="K2723" s="30"/>
      <c r="L2723" s="30"/>
      <c r="M2723" s="31"/>
      <c r="N2723" s="30"/>
      <c r="O2723" s="30"/>
      <c r="P2723" s="198"/>
    </row>
    <row r="2724" spans="1:16" ht="9.75" customHeight="1">
      <c r="A2724" s="89"/>
      <c r="B2724" s="46" t="s">
        <v>38</v>
      </c>
      <c r="C2724" s="199">
        <f t="shared" ref="C2724:M2724" si="512">SUM(C2708:C2723)</f>
        <v>41</v>
      </c>
      <c r="D2724" s="200">
        <f t="shared" si="512"/>
        <v>41</v>
      </c>
      <c r="E2724" s="200">
        <f t="shared" si="512"/>
        <v>41</v>
      </c>
      <c r="F2724" s="200">
        <f t="shared" si="512"/>
        <v>41</v>
      </c>
      <c r="G2724" s="200">
        <f t="shared" si="512"/>
        <v>41</v>
      </c>
      <c r="H2724" s="200">
        <f t="shared" si="512"/>
        <v>41</v>
      </c>
      <c r="I2724" s="200">
        <f t="shared" si="512"/>
        <v>41</v>
      </c>
      <c r="J2724" s="200">
        <f t="shared" si="512"/>
        <v>41</v>
      </c>
      <c r="K2724" s="200">
        <f t="shared" si="512"/>
        <v>41</v>
      </c>
      <c r="L2724" s="200">
        <f t="shared" si="512"/>
        <v>41</v>
      </c>
      <c r="M2724" s="199">
        <f t="shared" si="512"/>
        <v>41</v>
      </c>
      <c r="N2724" s="200">
        <f>MIN(D2724:M2724)</f>
        <v>41</v>
      </c>
      <c r="O2724" s="200">
        <f>C2724-N2724</f>
        <v>0</v>
      </c>
      <c r="P2724" s="201">
        <f>O2724/C2724</f>
        <v>0</v>
      </c>
    </row>
    <row r="2725" spans="1:16" ht="9.75" customHeight="1">
      <c r="A2725" s="28" t="s">
        <v>372</v>
      </c>
      <c r="B2725" s="25" t="s">
        <v>23</v>
      </c>
      <c r="C2725" s="25"/>
      <c r="D2725" s="23"/>
      <c r="E2725" s="23"/>
      <c r="F2725" s="23"/>
      <c r="G2725" s="23"/>
      <c r="H2725" s="23"/>
      <c r="I2725" s="23"/>
      <c r="J2725" s="23"/>
      <c r="K2725" s="23"/>
      <c r="L2725" s="23"/>
      <c r="M2725" s="25"/>
      <c r="N2725" s="23"/>
      <c r="O2725" s="23"/>
      <c r="P2725" s="24"/>
    </row>
    <row r="2726" spans="1:16" ht="9.75" customHeight="1">
      <c r="A2726" s="57"/>
      <c r="B2726" s="25" t="s">
        <v>25</v>
      </c>
      <c r="C2726" s="25"/>
      <c r="D2726" s="23"/>
      <c r="E2726" s="23"/>
      <c r="F2726" s="23"/>
      <c r="G2726" s="23"/>
      <c r="H2726" s="23"/>
      <c r="I2726" s="23"/>
      <c r="J2726" s="23"/>
      <c r="K2726" s="23"/>
      <c r="L2726" s="23"/>
      <c r="M2726" s="25"/>
      <c r="N2726" s="23"/>
      <c r="O2726" s="23"/>
      <c r="P2726" s="24"/>
    </row>
    <row r="2727" spans="1:16" ht="9.75" customHeight="1">
      <c r="A2727" s="57"/>
      <c r="B2727" s="25" t="s">
        <v>27</v>
      </c>
      <c r="C2727" s="25"/>
      <c r="D2727" s="23"/>
      <c r="E2727" s="23"/>
      <c r="F2727" s="23"/>
      <c r="G2727" s="23"/>
      <c r="H2727" s="23"/>
      <c r="I2727" s="23"/>
      <c r="J2727" s="23"/>
      <c r="K2727" s="23"/>
      <c r="L2727" s="23"/>
      <c r="M2727" s="25"/>
      <c r="N2727" s="23"/>
      <c r="O2727" s="23"/>
      <c r="P2727" s="24"/>
    </row>
    <row r="2728" spans="1:16" ht="9.75" customHeight="1">
      <c r="A2728" s="57"/>
      <c r="B2728" s="25" t="s">
        <v>227</v>
      </c>
      <c r="C2728" s="87">
        <v>41</v>
      </c>
      <c r="D2728" s="137">
        <v>40</v>
      </c>
      <c r="E2728" s="137">
        <v>40</v>
      </c>
      <c r="F2728" s="137">
        <v>40</v>
      </c>
      <c r="G2728" s="137">
        <v>40</v>
      </c>
      <c r="H2728" s="137">
        <v>40</v>
      </c>
      <c r="I2728" s="137">
        <v>40</v>
      </c>
      <c r="J2728" s="137">
        <v>40</v>
      </c>
      <c r="K2728" s="137">
        <v>41</v>
      </c>
      <c r="L2728" s="137">
        <v>41</v>
      </c>
      <c r="M2728" s="138">
        <v>41</v>
      </c>
      <c r="N2728" s="52">
        <f>MIN(D2728:M2728)</f>
        <v>40</v>
      </c>
      <c r="O2728" s="52">
        <f>C2728-N2728</f>
        <v>1</v>
      </c>
      <c r="P2728" s="54">
        <f>O2728/C2728</f>
        <v>2.4390243902439025E-2</v>
      </c>
    </row>
    <row r="2729" spans="1:16" ht="9.75" customHeight="1">
      <c r="A2729" s="28"/>
      <c r="B2729" s="25" t="s">
        <v>99</v>
      </c>
      <c r="C2729" s="25"/>
      <c r="D2729" s="23"/>
      <c r="E2729" s="23"/>
      <c r="F2729" s="23"/>
      <c r="G2729" s="23"/>
      <c r="H2729" s="23"/>
      <c r="I2729" s="23"/>
      <c r="J2729" s="23"/>
      <c r="K2729" s="23"/>
      <c r="L2729" s="23"/>
      <c r="M2729" s="25"/>
      <c r="N2729" s="23"/>
      <c r="O2729" s="23"/>
      <c r="P2729" s="24"/>
    </row>
    <row r="2730" spans="1:16" ht="9.75" customHeight="1">
      <c r="A2730" s="28"/>
      <c r="B2730" s="25" t="s">
        <v>32</v>
      </c>
      <c r="C2730" s="25"/>
      <c r="D2730" s="23"/>
      <c r="E2730" s="23"/>
      <c r="F2730" s="23"/>
      <c r="G2730" s="23"/>
      <c r="H2730" s="23"/>
      <c r="I2730" s="23"/>
      <c r="J2730" s="23"/>
      <c r="K2730" s="23"/>
      <c r="L2730" s="23"/>
      <c r="M2730" s="25"/>
      <c r="N2730" s="23"/>
      <c r="O2730" s="23"/>
      <c r="P2730" s="24"/>
    </row>
    <row r="2731" spans="1:16" ht="9.75" customHeight="1">
      <c r="A2731" s="28"/>
      <c r="B2731" s="25" t="s">
        <v>104</v>
      </c>
      <c r="C2731" s="25"/>
      <c r="D2731" s="23"/>
      <c r="E2731" s="23"/>
      <c r="F2731" s="23"/>
      <c r="G2731" s="23"/>
      <c r="H2731" s="23"/>
      <c r="I2731" s="23"/>
      <c r="J2731" s="23"/>
      <c r="K2731" s="23"/>
      <c r="L2731" s="23"/>
      <c r="M2731" s="25"/>
      <c r="N2731" s="23"/>
      <c r="O2731" s="23"/>
      <c r="P2731" s="24"/>
    </row>
    <row r="2732" spans="1:16" ht="9.75" customHeight="1">
      <c r="A2732" s="28"/>
      <c r="B2732" s="25" t="s">
        <v>104</v>
      </c>
      <c r="C2732" s="25"/>
      <c r="D2732" s="23"/>
      <c r="E2732" s="23"/>
      <c r="F2732" s="23"/>
      <c r="G2732" s="23"/>
      <c r="H2732" s="23"/>
      <c r="I2732" s="23"/>
      <c r="J2732" s="23"/>
      <c r="K2732" s="23"/>
      <c r="L2732" s="23"/>
      <c r="M2732" s="25"/>
      <c r="N2732" s="23"/>
      <c r="O2732" s="23"/>
      <c r="P2732" s="24"/>
    </row>
    <row r="2733" spans="1:16" ht="9.75" customHeight="1">
      <c r="A2733" s="28"/>
      <c r="B2733" s="25" t="s">
        <v>104</v>
      </c>
      <c r="C2733" s="25"/>
      <c r="D2733" s="23"/>
      <c r="E2733" s="23"/>
      <c r="F2733" s="23"/>
      <c r="G2733" s="23"/>
      <c r="H2733" s="23"/>
      <c r="I2733" s="23"/>
      <c r="J2733" s="23"/>
      <c r="K2733" s="23"/>
      <c r="L2733" s="23"/>
      <c r="M2733" s="25"/>
      <c r="N2733" s="23"/>
      <c r="O2733" s="23"/>
      <c r="P2733" s="24"/>
    </row>
    <row r="2734" spans="1:16" ht="9.75" customHeight="1">
      <c r="A2734" s="28"/>
      <c r="B2734" s="25" t="s">
        <v>104</v>
      </c>
      <c r="C2734" s="25"/>
      <c r="D2734" s="23"/>
      <c r="E2734" s="23"/>
      <c r="F2734" s="23"/>
      <c r="G2734" s="23"/>
      <c r="H2734" s="23"/>
      <c r="I2734" s="23"/>
      <c r="J2734" s="23"/>
      <c r="K2734" s="23"/>
      <c r="L2734" s="23"/>
      <c r="M2734" s="25"/>
      <c r="N2734" s="23"/>
      <c r="O2734" s="23"/>
      <c r="P2734" s="24"/>
    </row>
    <row r="2735" spans="1:16" ht="9.75" customHeight="1">
      <c r="A2735" s="28"/>
      <c r="B2735" s="25" t="s">
        <v>104</v>
      </c>
      <c r="C2735" s="25"/>
      <c r="D2735" s="23"/>
      <c r="E2735" s="23"/>
      <c r="F2735" s="23"/>
      <c r="G2735" s="23"/>
      <c r="H2735" s="23"/>
      <c r="I2735" s="23"/>
      <c r="J2735" s="23"/>
      <c r="K2735" s="23"/>
      <c r="L2735" s="23"/>
      <c r="M2735" s="25"/>
      <c r="N2735" s="23"/>
      <c r="O2735" s="23"/>
      <c r="P2735" s="24"/>
    </row>
    <row r="2736" spans="1:16" ht="9.75" customHeight="1">
      <c r="A2736" s="28"/>
      <c r="B2736" s="25" t="s">
        <v>104</v>
      </c>
      <c r="C2736" s="25"/>
      <c r="D2736" s="23"/>
      <c r="E2736" s="23"/>
      <c r="F2736" s="23"/>
      <c r="G2736" s="23"/>
      <c r="H2736" s="23"/>
      <c r="I2736" s="23"/>
      <c r="J2736" s="23"/>
      <c r="K2736" s="23"/>
      <c r="L2736" s="23"/>
      <c r="M2736" s="25"/>
      <c r="N2736" s="23"/>
      <c r="O2736" s="23"/>
      <c r="P2736" s="24"/>
    </row>
    <row r="2737" spans="1:16" ht="9.75" customHeight="1">
      <c r="A2737" s="28"/>
      <c r="B2737" s="25" t="s">
        <v>34</v>
      </c>
      <c r="C2737" s="25"/>
      <c r="D2737" s="23"/>
      <c r="E2737" s="23"/>
      <c r="F2737" s="23"/>
      <c r="G2737" s="23"/>
      <c r="H2737" s="23"/>
      <c r="I2737" s="23"/>
      <c r="J2737" s="23"/>
      <c r="K2737" s="23"/>
      <c r="L2737" s="23"/>
      <c r="M2737" s="25"/>
      <c r="N2737" s="23"/>
      <c r="O2737" s="23"/>
      <c r="P2737" s="24"/>
    </row>
    <row r="2738" spans="1:16" ht="9.75" customHeight="1">
      <c r="A2738" s="28"/>
      <c r="B2738" s="25" t="s">
        <v>35</v>
      </c>
      <c r="C2738" s="25"/>
      <c r="D2738" s="23"/>
      <c r="E2738" s="23"/>
      <c r="F2738" s="23"/>
      <c r="G2738" s="23"/>
      <c r="H2738" s="23"/>
      <c r="I2738" s="23"/>
      <c r="J2738" s="23"/>
      <c r="K2738" s="23"/>
      <c r="L2738" s="23"/>
      <c r="M2738" s="25"/>
      <c r="N2738" s="23"/>
      <c r="O2738" s="23"/>
      <c r="P2738" s="24"/>
    </row>
    <row r="2739" spans="1:16" ht="9.75" customHeight="1">
      <c r="A2739" s="28"/>
      <c r="B2739" s="25" t="s">
        <v>36</v>
      </c>
      <c r="C2739" s="25"/>
      <c r="D2739" s="23"/>
      <c r="E2739" s="23"/>
      <c r="F2739" s="23"/>
      <c r="G2739" s="23"/>
      <c r="H2739" s="23"/>
      <c r="I2739" s="23"/>
      <c r="J2739" s="23"/>
      <c r="K2739" s="23"/>
      <c r="L2739" s="23"/>
      <c r="M2739" s="25"/>
      <c r="N2739" s="23"/>
      <c r="O2739" s="23"/>
      <c r="P2739" s="24"/>
    </row>
    <row r="2740" spans="1:16" ht="9.75" customHeight="1">
      <c r="A2740" s="28"/>
      <c r="B2740" s="31" t="s">
        <v>37</v>
      </c>
      <c r="C2740" s="31"/>
      <c r="D2740" s="30"/>
      <c r="E2740" s="30"/>
      <c r="F2740" s="30"/>
      <c r="G2740" s="30"/>
      <c r="H2740" s="30"/>
      <c r="I2740" s="30"/>
      <c r="J2740" s="30"/>
      <c r="K2740" s="30"/>
      <c r="L2740" s="30"/>
      <c r="M2740" s="31"/>
      <c r="N2740" s="30"/>
      <c r="O2740" s="30"/>
      <c r="P2740" s="198"/>
    </row>
    <row r="2741" spans="1:16" ht="9.75" customHeight="1">
      <c r="A2741" s="89"/>
      <c r="B2741" s="46" t="s">
        <v>38</v>
      </c>
      <c r="C2741" s="199">
        <f t="shared" ref="C2741:M2741" si="513">SUM(C2725:C2740)</f>
        <v>41</v>
      </c>
      <c r="D2741" s="200">
        <f t="shared" si="513"/>
        <v>40</v>
      </c>
      <c r="E2741" s="200">
        <f t="shared" si="513"/>
        <v>40</v>
      </c>
      <c r="F2741" s="200">
        <f t="shared" si="513"/>
        <v>40</v>
      </c>
      <c r="G2741" s="200">
        <f t="shared" si="513"/>
        <v>40</v>
      </c>
      <c r="H2741" s="200">
        <f t="shared" si="513"/>
        <v>40</v>
      </c>
      <c r="I2741" s="200">
        <f t="shared" si="513"/>
        <v>40</v>
      </c>
      <c r="J2741" s="200">
        <f t="shared" si="513"/>
        <v>40</v>
      </c>
      <c r="K2741" s="200">
        <f t="shared" si="513"/>
        <v>41</v>
      </c>
      <c r="L2741" s="200">
        <f t="shared" si="513"/>
        <v>41</v>
      </c>
      <c r="M2741" s="199">
        <f t="shared" si="513"/>
        <v>41</v>
      </c>
      <c r="N2741" s="200">
        <f>MIN(D2741:M2741)</f>
        <v>40</v>
      </c>
      <c r="O2741" s="200">
        <f>C2741-N2741</f>
        <v>1</v>
      </c>
      <c r="P2741" s="201">
        <f>O2741/C2741</f>
        <v>2.4390243902439025E-2</v>
      </c>
    </row>
    <row r="2742" spans="1:16" ht="9.75" customHeight="1">
      <c r="A2742" s="28" t="s">
        <v>373</v>
      </c>
      <c r="B2742" s="25" t="s">
        <v>23</v>
      </c>
      <c r="C2742" s="25"/>
      <c r="D2742" s="23"/>
      <c r="E2742" s="23"/>
      <c r="F2742" s="23"/>
      <c r="G2742" s="23"/>
      <c r="H2742" s="23"/>
      <c r="I2742" s="23"/>
      <c r="J2742" s="23"/>
      <c r="K2742" s="23"/>
      <c r="L2742" s="23"/>
      <c r="M2742" s="25"/>
      <c r="N2742" s="23"/>
      <c r="O2742" s="23"/>
      <c r="P2742" s="24"/>
    </row>
    <row r="2743" spans="1:16" ht="9.75" customHeight="1">
      <c r="A2743" s="57"/>
      <c r="B2743" s="25" t="s">
        <v>25</v>
      </c>
      <c r="C2743" s="25"/>
      <c r="D2743" s="23"/>
      <c r="E2743" s="23"/>
      <c r="F2743" s="23"/>
      <c r="G2743" s="23"/>
      <c r="H2743" s="23"/>
      <c r="I2743" s="23"/>
      <c r="J2743" s="23"/>
      <c r="K2743" s="23"/>
      <c r="L2743" s="23"/>
      <c r="M2743" s="25"/>
      <c r="N2743" s="23"/>
      <c r="O2743" s="23"/>
      <c r="P2743" s="24"/>
    </row>
    <row r="2744" spans="1:16" ht="9.75" customHeight="1">
      <c r="A2744" s="57"/>
      <c r="B2744" s="25" t="s">
        <v>27</v>
      </c>
      <c r="C2744" s="25"/>
      <c r="D2744" s="23"/>
      <c r="E2744" s="23"/>
      <c r="F2744" s="23"/>
      <c r="G2744" s="23"/>
      <c r="H2744" s="23"/>
      <c r="I2744" s="23"/>
      <c r="J2744" s="23"/>
      <c r="K2744" s="23"/>
      <c r="L2744" s="23"/>
      <c r="M2744" s="25"/>
      <c r="N2744" s="23"/>
      <c r="O2744" s="23"/>
      <c r="P2744" s="24"/>
    </row>
    <row r="2745" spans="1:16" ht="9.75" customHeight="1">
      <c r="A2745" s="57"/>
      <c r="B2745" s="25" t="s">
        <v>227</v>
      </c>
      <c r="C2745" s="87">
        <v>39</v>
      </c>
      <c r="D2745" s="52">
        <v>39</v>
      </c>
      <c r="E2745" s="52">
        <v>39</v>
      </c>
      <c r="F2745" s="52">
        <v>39</v>
      </c>
      <c r="G2745" s="52">
        <v>39</v>
      </c>
      <c r="H2745" s="52">
        <v>39</v>
      </c>
      <c r="I2745" s="137">
        <v>39</v>
      </c>
      <c r="J2745" s="137">
        <v>39</v>
      </c>
      <c r="K2745" s="137">
        <v>39</v>
      </c>
      <c r="L2745" s="137">
        <v>39</v>
      </c>
      <c r="M2745" s="138">
        <v>39</v>
      </c>
      <c r="N2745" s="52">
        <f>MIN(D2745:M2745)</f>
        <v>39</v>
      </c>
      <c r="O2745" s="52">
        <f>C2745-N2745</f>
        <v>0</v>
      </c>
      <c r="P2745" s="54">
        <f>O2745/C2745</f>
        <v>0</v>
      </c>
    </row>
    <row r="2746" spans="1:16" ht="9.75" customHeight="1">
      <c r="A2746" s="28"/>
      <c r="B2746" s="25" t="s">
        <v>99</v>
      </c>
      <c r="C2746" s="25"/>
      <c r="D2746" s="23"/>
      <c r="E2746" s="23"/>
      <c r="F2746" s="23"/>
      <c r="G2746" s="23"/>
      <c r="H2746" s="23"/>
      <c r="I2746" s="23"/>
      <c r="J2746" s="23"/>
      <c r="K2746" s="23"/>
      <c r="L2746" s="23"/>
      <c r="M2746" s="25"/>
      <c r="N2746" s="23"/>
      <c r="O2746" s="23"/>
      <c r="P2746" s="24"/>
    </row>
    <row r="2747" spans="1:16" ht="9.75" customHeight="1">
      <c r="A2747" s="28"/>
      <c r="B2747" s="25" t="s">
        <v>32</v>
      </c>
      <c r="C2747" s="25"/>
      <c r="D2747" s="23"/>
      <c r="E2747" s="23"/>
      <c r="F2747" s="23"/>
      <c r="G2747" s="23"/>
      <c r="H2747" s="23"/>
      <c r="I2747" s="23"/>
      <c r="J2747" s="23"/>
      <c r="K2747" s="23"/>
      <c r="L2747" s="23"/>
      <c r="M2747" s="25"/>
      <c r="N2747" s="23"/>
      <c r="O2747" s="23"/>
      <c r="P2747" s="24"/>
    </row>
    <row r="2748" spans="1:16" ht="9.75" customHeight="1">
      <c r="A2748" s="28"/>
      <c r="B2748" s="25" t="s">
        <v>104</v>
      </c>
      <c r="C2748" s="25"/>
      <c r="D2748" s="23"/>
      <c r="E2748" s="23"/>
      <c r="F2748" s="23"/>
      <c r="G2748" s="23"/>
      <c r="H2748" s="23"/>
      <c r="I2748" s="23"/>
      <c r="J2748" s="23"/>
      <c r="K2748" s="23"/>
      <c r="L2748" s="23"/>
      <c r="M2748" s="25"/>
      <c r="N2748" s="23"/>
      <c r="O2748" s="23"/>
      <c r="P2748" s="24"/>
    </row>
    <row r="2749" spans="1:16" ht="9.75" customHeight="1">
      <c r="A2749" s="28"/>
      <c r="B2749" s="25" t="s">
        <v>104</v>
      </c>
      <c r="C2749" s="25"/>
      <c r="D2749" s="23"/>
      <c r="E2749" s="23"/>
      <c r="F2749" s="23"/>
      <c r="G2749" s="23"/>
      <c r="H2749" s="23"/>
      <c r="I2749" s="23"/>
      <c r="J2749" s="23"/>
      <c r="K2749" s="23"/>
      <c r="L2749" s="23"/>
      <c r="M2749" s="25"/>
      <c r="N2749" s="23"/>
      <c r="O2749" s="23"/>
      <c r="P2749" s="24"/>
    </row>
    <row r="2750" spans="1:16" ht="9.75" customHeight="1">
      <c r="A2750" s="28"/>
      <c r="B2750" s="25" t="s">
        <v>104</v>
      </c>
      <c r="C2750" s="25"/>
      <c r="D2750" s="23"/>
      <c r="E2750" s="23"/>
      <c r="F2750" s="23"/>
      <c r="G2750" s="23"/>
      <c r="H2750" s="23"/>
      <c r="I2750" s="23"/>
      <c r="J2750" s="23"/>
      <c r="K2750" s="23"/>
      <c r="L2750" s="23"/>
      <c r="M2750" s="25"/>
      <c r="N2750" s="23"/>
      <c r="O2750" s="23"/>
      <c r="P2750" s="24"/>
    </row>
    <row r="2751" spans="1:16" ht="9.75" customHeight="1">
      <c r="A2751" s="28"/>
      <c r="B2751" s="25" t="s">
        <v>104</v>
      </c>
      <c r="C2751" s="25"/>
      <c r="D2751" s="23"/>
      <c r="E2751" s="23"/>
      <c r="F2751" s="23"/>
      <c r="G2751" s="23"/>
      <c r="H2751" s="23"/>
      <c r="I2751" s="23"/>
      <c r="J2751" s="23"/>
      <c r="K2751" s="23"/>
      <c r="L2751" s="23"/>
      <c r="M2751" s="25"/>
      <c r="N2751" s="23"/>
      <c r="O2751" s="23"/>
      <c r="P2751" s="24"/>
    </row>
    <row r="2752" spans="1:16" ht="9.75" customHeight="1">
      <c r="A2752" s="28"/>
      <c r="B2752" s="25" t="s">
        <v>104</v>
      </c>
      <c r="C2752" s="25"/>
      <c r="D2752" s="23"/>
      <c r="E2752" s="23"/>
      <c r="F2752" s="23"/>
      <c r="G2752" s="23"/>
      <c r="H2752" s="23"/>
      <c r="I2752" s="23"/>
      <c r="J2752" s="23"/>
      <c r="K2752" s="23"/>
      <c r="L2752" s="23"/>
      <c r="M2752" s="25"/>
      <c r="N2752" s="23"/>
      <c r="O2752" s="23"/>
      <c r="P2752" s="24"/>
    </row>
    <row r="2753" spans="1:16" ht="9.75" customHeight="1">
      <c r="A2753" s="28"/>
      <c r="B2753" s="25" t="s">
        <v>104</v>
      </c>
      <c r="C2753" s="25"/>
      <c r="D2753" s="23"/>
      <c r="E2753" s="23"/>
      <c r="F2753" s="23"/>
      <c r="G2753" s="23"/>
      <c r="H2753" s="23"/>
      <c r="I2753" s="23"/>
      <c r="J2753" s="23"/>
      <c r="K2753" s="23"/>
      <c r="L2753" s="23"/>
      <c r="M2753" s="25"/>
      <c r="N2753" s="23"/>
      <c r="O2753" s="23"/>
      <c r="P2753" s="24"/>
    </row>
    <row r="2754" spans="1:16" ht="9.75" customHeight="1">
      <c r="A2754" s="28"/>
      <c r="B2754" s="25" t="s">
        <v>34</v>
      </c>
      <c r="C2754" s="25"/>
      <c r="D2754" s="23"/>
      <c r="E2754" s="23"/>
      <c r="F2754" s="23"/>
      <c r="G2754" s="23"/>
      <c r="H2754" s="23"/>
      <c r="I2754" s="23"/>
      <c r="J2754" s="23"/>
      <c r="K2754" s="23"/>
      <c r="L2754" s="23"/>
      <c r="M2754" s="25"/>
      <c r="N2754" s="23"/>
      <c r="O2754" s="23"/>
      <c r="P2754" s="24"/>
    </row>
    <row r="2755" spans="1:16" ht="9.75" customHeight="1">
      <c r="A2755" s="28"/>
      <c r="B2755" s="25" t="s">
        <v>35</v>
      </c>
      <c r="C2755" s="25"/>
      <c r="D2755" s="23"/>
      <c r="E2755" s="23"/>
      <c r="F2755" s="23"/>
      <c r="G2755" s="23"/>
      <c r="H2755" s="23"/>
      <c r="I2755" s="23"/>
      <c r="J2755" s="23"/>
      <c r="K2755" s="23"/>
      <c r="L2755" s="23"/>
      <c r="M2755" s="25"/>
      <c r="N2755" s="23"/>
      <c r="O2755" s="23"/>
      <c r="P2755" s="24"/>
    </row>
    <row r="2756" spans="1:16" ht="9.75" customHeight="1">
      <c r="A2756" s="28"/>
      <c r="B2756" s="25" t="s">
        <v>36</v>
      </c>
      <c r="C2756" s="25"/>
      <c r="D2756" s="23"/>
      <c r="E2756" s="23"/>
      <c r="F2756" s="23"/>
      <c r="G2756" s="23"/>
      <c r="H2756" s="23"/>
      <c r="I2756" s="23"/>
      <c r="J2756" s="23"/>
      <c r="K2756" s="23"/>
      <c r="L2756" s="23"/>
      <c r="M2756" s="25"/>
      <c r="N2756" s="23"/>
      <c r="O2756" s="23"/>
      <c r="P2756" s="24"/>
    </row>
    <row r="2757" spans="1:16" ht="9.75" customHeight="1">
      <c r="A2757" s="28"/>
      <c r="B2757" s="31" t="s">
        <v>37</v>
      </c>
      <c r="C2757" s="31"/>
      <c r="D2757" s="30"/>
      <c r="E2757" s="30"/>
      <c r="F2757" s="30"/>
      <c r="G2757" s="30"/>
      <c r="H2757" s="30"/>
      <c r="I2757" s="30"/>
      <c r="J2757" s="30"/>
      <c r="K2757" s="30"/>
      <c r="L2757" s="30"/>
      <c r="M2757" s="31"/>
      <c r="N2757" s="30"/>
      <c r="O2757" s="30"/>
      <c r="P2757" s="198"/>
    </row>
    <row r="2758" spans="1:16" ht="9.75" customHeight="1">
      <c r="A2758" s="89"/>
      <c r="B2758" s="46" t="s">
        <v>38</v>
      </c>
      <c r="C2758" s="199">
        <f t="shared" ref="C2758:M2758" si="514">SUM(C2742:C2757)</f>
        <v>39</v>
      </c>
      <c r="D2758" s="200">
        <f t="shared" si="514"/>
        <v>39</v>
      </c>
      <c r="E2758" s="200">
        <f t="shared" si="514"/>
        <v>39</v>
      </c>
      <c r="F2758" s="200">
        <f t="shared" si="514"/>
        <v>39</v>
      </c>
      <c r="G2758" s="200">
        <f t="shared" si="514"/>
        <v>39</v>
      </c>
      <c r="H2758" s="200">
        <f t="shared" si="514"/>
        <v>39</v>
      </c>
      <c r="I2758" s="200">
        <f t="shared" si="514"/>
        <v>39</v>
      </c>
      <c r="J2758" s="200">
        <f t="shared" si="514"/>
        <v>39</v>
      </c>
      <c r="K2758" s="200">
        <f t="shared" si="514"/>
        <v>39</v>
      </c>
      <c r="L2758" s="200">
        <f t="shared" si="514"/>
        <v>39</v>
      </c>
      <c r="M2758" s="199">
        <f t="shared" si="514"/>
        <v>39</v>
      </c>
      <c r="N2758" s="200">
        <f>MIN(D2758:M2758)</f>
        <v>39</v>
      </c>
      <c r="O2758" s="200">
        <f>C2758-N2758</f>
        <v>0</v>
      </c>
      <c r="P2758" s="201">
        <f>O2758/C2758</f>
        <v>0</v>
      </c>
    </row>
    <row r="2759" spans="1:16" ht="9.75" customHeight="1">
      <c r="A2759" s="28" t="s">
        <v>374</v>
      </c>
      <c r="B2759" s="25" t="s">
        <v>23</v>
      </c>
      <c r="C2759" s="25"/>
      <c r="D2759" s="23"/>
      <c r="E2759" s="23"/>
      <c r="F2759" s="23"/>
      <c r="G2759" s="23"/>
      <c r="H2759" s="23"/>
      <c r="I2759" s="23"/>
      <c r="J2759" s="23"/>
      <c r="K2759" s="23"/>
      <c r="L2759" s="23"/>
      <c r="M2759" s="25"/>
      <c r="N2759" s="23"/>
      <c r="O2759" s="23"/>
      <c r="P2759" s="24"/>
    </row>
    <row r="2760" spans="1:16" ht="9.75" customHeight="1">
      <c r="A2760" s="57"/>
      <c r="B2760" s="25" t="s">
        <v>25</v>
      </c>
      <c r="C2760" s="25"/>
      <c r="D2760" s="23"/>
      <c r="E2760" s="23"/>
      <c r="F2760" s="23"/>
      <c r="G2760" s="23"/>
      <c r="H2760" s="23"/>
      <c r="I2760" s="23"/>
      <c r="J2760" s="23"/>
      <c r="K2760" s="23"/>
      <c r="L2760" s="23"/>
      <c r="M2760" s="25"/>
      <c r="N2760" s="23"/>
      <c r="O2760" s="23"/>
      <c r="P2760" s="24"/>
    </row>
    <row r="2761" spans="1:16" ht="9.75" customHeight="1">
      <c r="A2761" s="57"/>
      <c r="B2761" s="25" t="s">
        <v>27</v>
      </c>
      <c r="C2761" s="25"/>
      <c r="D2761" s="23"/>
      <c r="E2761" s="23"/>
      <c r="F2761" s="23"/>
      <c r="G2761" s="23"/>
      <c r="H2761" s="23"/>
      <c r="I2761" s="23"/>
      <c r="J2761" s="23"/>
      <c r="K2761" s="23"/>
      <c r="L2761" s="23"/>
      <c r="M2761" s="25"/>
      <c r="N2761" s="23"/>
      <c r="O2761" s="23"/>
      <c r="P2761" s="24"/>
    </row>
    <row r="2762" spans="1:16" ht="9.75" customHeight="1">
      <c r="A2762" s="57"/>
      <c r="B2762" s="25" t="s">
        <v>227</v>
      </c>
      <c r="C2762" s="87">
        <v>39</v>
      </c>
      <c r="D2762" s="52">
        <v>39</v>
      </c>
      <c r="E2762" s="137">
        <v>38</v>
      </c>
      <c r="F2762" s="137">
        <v>37</v>
      </c>
      <c r="G2762" s="137">
        <v>33</v>
      </c>
      <c r="H2762" s="137">
        <v>32</v>
      </c>
      <c r="I2762" s="52">
        <f>C2762-6</f>
        <v>33</v>
      </c>
      <c r="J2762" s="52">
        <f>C2762-7</f>
        <v>32</v>
      </c>
      <c r="K2762" s="137">
        <v>33</v>
      </c>
      <c r="L2762" s="137">
        <v>36</v>
      </c>
      <c r="M2762" s="138">
        <v>36</v>
      </c>
      <c r="N2762" s="52">
        <f>MIN(D2762:M2762)</f>
        <v>32</v>
      </c>
      <c r="O2762" s="52">
        <f>C2762-N2762</f>
        <v>7</v>
      </c>
      <c r="P2762" s="54">
        <f>O2762/C2762</f>
        <v>0.17948717948717949</v>
      </c>
    </row>
    <row r="2763" spans="1:16" ht="9.75" customHeight="1">
      <c r="A2763" s="28"/>
      <c r="B2763" s="25" t="s">
        <v>99</v>
      </c>
      <c r="C2763" s="25"/>
      <c r="D2763" s="23"/>
      <c r="E2763" s="23"/>
      <c r="F2763" s="23"/>
      <c r="G2763" s="23"/>
      <c r="H2763" s="23"/>
      <c r="I2763" s="23"/>
      <c r="J2763" s="23"/>
      <c r="K2763" s="23"/>
      <c r="L2763" s="23"/>
      <c r="M2763" s="25"/>
      <c r="N2763" s="23"/>
      <c r="O2763" s="23"/>
      <c r="P2763" s="24"/>
    </row>
    <row r="2764" spans="1:16" ht="9.75" customHeight="1">
      <c r="A2764" s="28"/>
      <c r="B2764" s="25" t="s">
        <v>32</v>
      </c>
      <c r="C2764" s="25"/>
      <c r="D2764" s="23"/>
      <c r="E2764" s="23"/>
      <c r="F2764" s="23"/>
      <c r="G2764" s="23"/>
      <c r="H2764" s="23"/>
      <c r="I2764" s="23"/>
      <c r="J2764" s="23"/>
      <c r="K2764" s="23"/>
      <c r="L2764" s="23"/>
      <c r="M2764" s="25"/>
      <c r="N2764" s="23"/>
      <c r="O2764" s="23"/>
      <c r="P2764" s="24"/>
    </row>
    <row r="2765" spans="1:16" ht="9.75" customHeight="1">
      <c r="A2765" s="28"/>
      <c r="B2765" s="25" t="s">
        <v>104</v>
      </c>
      <c r="C2765" s="25"/>
      <c r="D2765" s="23"/>
      <c r="E2765" s="23"/>
      <c r="F2765" s="23"/>
      <c r="G2765" s="23"/>
      <c r="H2765" s="23"/>
      <c r="I2765" s="23"/>
      <c r="J2765" s="23"/>
      <c r="K2765" s="23"/>
      <c r="L2765" s="23"/>
      <c r="M2765" s="25"/>
      <c r="N2765" s="23"/>
      <c r="O2765" s="23"/>
      <c r="P2765" s="24"/>
    </row>
    <row r="2766" spans="1:16" ht="9.75" customHeight="1">
      <c r="A2766" s="28"/>
      <c r="B2766" s="25" t="s">
        <v>104</v>
      </c>
      <c r="C2766" s="25"/>
      <c r="D2766" s="23"/>
      <c r="E2766" s="23"/>
      <c r="F2766" s="23"/>
      <c r="G2766" s="23"/>
      <c r="H2766" s="23"/>
      <c r="I2766" s="23"/>
      <c r="J2766" s="23"/>
      <c r="K2766" s="23"/>
      <c r="L2766" s="23"/>
      <c r="M2766" s="25"/>
      <c r="N2766" s="23"/>
      <c r="O2766" s="23"/>
      <c r="P2766" s="24"/>
    </row>
    <row r="2767" spans="1:16" ht="9.75" customHeight="1">
      <c r="A2767" s="28"/>
      <c r="B2767" s="25" t="s">
        <v>104</v>
      </c>
      <c r="C2767" s="25"/>
      <c r="D2767" s="23"/>
      <c r="E2767" s="23"/>
      <c r="F2767" s="23"/>
      <c r="G2767" s="23"/>
      <c r="H2767" s="23"/>
      <c r="I2767" s="23"/>
      <c r="J2767" s="23"/>
      <c r="K2767" s="23"/>
      <c r="L2767" s="23"/>
      <c r="M2767" s="25"/>
      <c r="N2767" s="23"/>
      <c r="O2767" s="23"/>
      <c r="P2767" s="24"/>
    </row>
    <row r="2768" spans="1:16" ht="9.75" customHeight="1">
      <c r="A2768" s="28"/>
      <c r="B2768" s="25" t="s">
        <v>104</v>
      </c>
      <c r="C2768" s="25"/>
      <c r="D2768" s="23"/>
      <c r="E2768" s="23"/>
      <c r="F2768" s="23"/>
      <c r="G2768" s="23"/>
      <c r="H2768" s="23"/>
      <c r="I2768" s="23"/>
      <c r="J2768" s="23"/>
      <c r="K2768" s="23"/>
      <c r="L2768" s="23"/>
      <c r="M2768" s="25"/>
      <c r="N2768" s="23"/>
      <c r="O2768" s="23"/>
      <c r="P2768" s="24"/>
    </row>
    <row r="2769" spans="1:16" ht="9.75" customHeight="1">
      <c r="A2769" s="28"/>
      <c r="B2769" s="25" t="s">
        <v>104</v>
      </c>
      <c r="C2769" s="25"/>
      <c r="D2769" s="23"/>
      <c r="E2769" s="23"/>
      <c r="F2769" s="23"/>
      <c r="G2769" s="23"/>
      <c r="H2769" s="23"/>
      <c r="I2769" s="23"/>
      <c r="J2769" s="23"/>
      <c r="K2769" s="23"/>
      <c r="L2769" s="23"/>
      <c r="M2769" s="25"/>
      <c r="N2769" s="23"/>
      <c r="O2769" s="23"/>
      <c r="P2769" s="24"/>
    </row>
    <row r="2770" spans="1:16" ht="9.75" customHeight="1">
      <c r="A2770" s="28"/>
      <c r="B2770" s="25" t="s">
        <v>104</v>
      </c>
      <c r="C2770" s="25"/>
      <c r="D2770" s="23"/>
      <c r="E2770" s="23"/>
      <c r="F2770" s="23"/>
      <c r="G2770" s="23"/>
      <c r="H2770" s="23"/>
      <c r="I2770" s="23"/>
      <c r="J2770" s="23"/>
      <c r="K2770" s="23"/>
      <c r="L2770" s="23"/>
      <c r="M2770" s="25"/>
      <c r="N2770" s="23"/>
      <c r="O2770" s="23"/>
      <c r="P2770" s="24"/>
    </row>
    <row r="2771" spans="1:16" ht="9.75" customHeight="1">
      <c r="A2771" s="28"/>
      <c r="B2771" s="25" t="s">
        <v>34</v>
      </c>
      <c r="C2771" s="25"/>
      <c r="D2771" s="23"/>
      <c r="E2771" s="23"/>
      <c r="F2771" s="23"/>
      <c r="G2771" s="23"/>
      <c r="H2771" s="23"/>
      <c r="I2771" s="23"/>
      <c r="J2771" s="23"/>
      <c r="K2771" s="23"/>
      <c r="L2771" s="23"/>
      <c r="M2771" s="25"/>
      <c r="N2771" s="23"/>
      <c r="O2771" s="23"/>
      <c r="P2771" s="24"/>
    </row>
    <row r="2772" spans="1:16" ht="9.75" customHeight="1">
      <c r="A2772" s="28"/>
      <c r="B2772" s="25" t="s">
        <v>35</v>
      </c>
      <c r="C2772" s="25"/>
      <c r="D2772" s="23"/>
      <c r="E2772" s="23"/>
      <c r="F2772" s="23"/>
      <c r="G2772" s="23"/>
      <c r="H2772" s="23"/>
      <c r="I2772" s="23"/>
      <c r="J2772" s="23"/>
      <c r="K2772" s="23"/>
      <c r="L2772" s="23"/>
      <c r="M2772" s="25"/>
      <c r="N2772" s="23"/>
      <c r="O2772" s="23"/>
      <c r="P2772" s="24"/>
    </row>
    <row r="2773" spans="1:16" ht="9.75" customHeight="1">
      <c r="A2773" s="28"/>
      <c r="B2773" s="25" t="s">
        <v>36</v>
      </c>
      <c r="C2773" s="25"/>
      <c r="D2773" s="23"/>
      <c r="E2773" s="23"/>
      <c r="F2773" s="23"/>
      <c r="G2773" s="23"/>
      <c r="H2773" s="23"/>
      <c r="I2773" s="23"/>
      <c r="J2773" s="23"/>
      <c r="K2773" s="23"/>
      <c r="L2773" s="23"/>
      <c r="M2773" s="25"/>
      <c r="N2773" s="23"/>
      <c r="O2773" s="23"/>
      <c r="P2773" s="24"/>
    </row>
    <row r="2774" spans="1:16" ht="9.75" customHeight="1">
      <c r="A2774" s="28"/>
      <c r="B2774" s="31" t="s">
        <v>37</v>
      </c>
      <c r="C2774" s="31"/>
      <c r="D2774" s="30"/>
      <c r="E2774" s="30"/>
      <c r="F2774" s="30"/>
      <c r="G2774" s="30"/>
      <c r="H2774" s="30"/>
      <c r="I2774" s="30"/>
      <c r="J2774" s="30"/>
      <c r="K2774" s="30"/>
      <c r="L2774" s="30"/>
      <c r="M2774" s="31"/>
      <c r="N2774" s="30"/>
      <c r="O2774" s="30"/>
      <c r="P2774" s="198"/>
    </row>
    <row r="2775" spans="1:16" ht="9.75" customHeight="1">
      <c r="A2775" s="89"/>
      <c r="B2775" s="46" t="s">
        <v>38</v>
      </c>
      <c r="C2775" s="199">
        <f t="shared" ref="C2775:M2775" si="515">SUM(C2759:C2774)</f>
        <v>39</v>
      </c>
      <c r="D2775" s="200">
        <f t="shared" si="515"/>
        <v>39</v>
      </c>
      <c r="E2775" s="200">
        <f t="shared" si="515"/>
        <v>38</v>
      </c>
      <c r="F2775" s="200">
        <f t="shared" si="515"/>
        <v>37</v>
      </c>
      <c r="G2775" s="200">
        <f t="shared" si="515"/>
        <v>33</v>
      </c>
      <c r="H2775" s="200">
        <f t="shared" si="515"/>
        <v>32</v>
      </c>
      <c r="I2775" s="200">
        <f t="shared" si="515"/>
        <v>33</v>
      </c>
      <c r="J2775" s="200">
        <f t="shared" si="515"/>
        <v>32</v>
      </c>
      <c r="K2775" s="200">
        <f t="shared" si="515"/>
        <v>33</v>
      </c>
      <c r="L2775" s="200">
        <f t="shared" si="515"/>
        <v>36</v>
      </c>
      <c r="M2775" s="199">
        <f t="shared" si="515"/>
        <v>36</v>
      </c>
      <c r="N2775" s="200">
        <f>MIN(D2775:M2775)</f>
        <v>32</v>
      </c>
      <c r="O2775" s="200">
        <f>C2775-N2775</f>
        <v>7</v>
      </c>
      <c r="P2775" s="201">
        <f>O2775/C2775</f>
        <v>0.17948717948717949</v>
      </c>
    </row>
    <row r="2776" spans="1:16" ht="9.75" customHeight="1">
      <c r="A2776" s="28" t="s">
        <v>375</v>
      </c>
      <c r="B2776" s="25" t="s">
        <v>23</v>
      </c>
      <c r="C2776" s="25"/>
      <c r="D2776" s="23"/>
      <c r="E2776" s="23"/>
      <c r="F2776" s="23"/>
      <c r="G2776" s="23"/>
      <c r="H2776" s="23"/>
      <c r="I2776" s="23"/>
      <c r="J2776" s="23"/>
      <c r="K2776" s="23"/>
      <c r="L2776" s="23"/>
      <c r="M2776" s="25"/>
      <c r="N2776" s="23"/>
      <c r="O2776" s="23"/>
      <c r="P2776" s="24"/>
    </row>
    <row r="2777" spans="1:16" ht="9.75" customHeight="1">
      <c r="A2777" s="57"/>
      <c r="B2777" s="25" t="s">
        <v>25</v>
      </c>
      <c r="C2777" s="25"/>
      <c r="D2777" s="23"/>
      <c r="E2777" s="23"/>
      <c r="F2777" s="23"/>
      <c r="G2777" s="23"/>
      <c r="H2777" s="23"/>
      <c r="I2777" s="23"/>
      <c r="J2777" s="23"/>
      <c r="K2777" s="23"/>
      <c r="L2777" s="23"/>
      <c r="M2777" s="25"/>
      <c r="N2777" s="23"/>
      <c r="O2777" s="23"/>
      <c r="P2777" s="24"/>
    </row>
    <row r="2778" spans="1:16" ht="9.75" customHeight="1">
      <c r="A2778" s="57"/>
      <c r="B2778" s="25" t="s">
        <v>27</v>
      </c>
      <c r="C2778" s="25"/>
      <c r="D2778" s="23"/>
      <c r="E2778" s="23"/>
      <c r="F2778" s="23"/>
      <c r="G2778" s="23"/>
      <c r="H2778" s="23"/>
      <c r="I2778" s="23"/>
      <c r="J2778" s="23"/>
      <c r="K2778" s="23"/>
      <c r="L2778" s="23"/>
      <c r="M2778" s="25"/>
      <c r="N2778" s="23"/>
      <c r="O2778" s="23"/>
      <c r="P2778" s="24"/>
    </row>
    <row r="2779" spans="1:16" ht="9.75" customHeight="1">
      <c r="A2779" s="57"/>
      <c r="B2779" s="25" t="s">
        <v>227</v>
      </c>
      <c r="C2779" s="87">
        <v>39</v>
      </c>
      <c r="D2779" s="137">
        <v>35</v>
      </c>
      <c r="E2779" s="137">
        <v>15</v>
      </c>
      <c r="F2779" s="137">
        <v>6</v>
      </c>
      <c r="G2779" s="137">
        <v>6</v>
      </c>
      <c r="H2779" s="137">
        <v>9</v>
      </c>
      <c r="I2779" s="52">
        <f>C2779-23</f>
        <v>16</v>
      </c>
      <c r="J2779" s="137">
        <v>15</v>
      </c>
      <c r="K2779" s="137">
        <v>18</v>
      </c>
      <c r="L2779" s="52">
        <f>C2779-17</f>
        <v>22</v>
      </c>
      <c r="M2779" s="138">
        <v>22</v>
      </c>
      <c r="N2779" s="52">
        <f>MIN(D2779:M2779)</f>
        <v>6</v>
      </c>
      <c r="O2779" s="52">
        <f>C2779-N2779</f>
        <v>33</v>
      </c>
      <c r="P2779" s="54">
        <f>O2779/C2779</f>
        <v>0.84615384615384615</v>
      </c>
    </row>
    <row r="2780" spans="1:16" ht="9.75" customHeight="1">
      <c r="A2780" s="28"/>
      <c r="B2780" s="25" t="s">
        <v>99</v>
      </c>
      <c r="C2780" s="25"/>
      <c r="D2780" s="23"/>
      <c r="E2780" s="23"/>
      <c r="F2780" s="23"/>
      <c r="G2780" s="23"/>
      <c r="H2780" s="23"/>
      <c r="I2780" s="23"/>
      <c r="J2780" s="23"/>
      <c r="K2780" s="23"/>
      <c r="L2780" s="23"/>
      <c r="M2780" s="25"/>
      <c r="N2780" s="23"/>
      <c r="O2780" s="23"/>
      <c r="P2780" s="24"/>
    </row>
    <row r="2781" spans="1:16" ht="9.75" customHeight="1">
      <c r="A2781" s="28"/>
      <c r="B2781" s="25" t="s">
        <v>32</v>
      </c>
      <c r="C2781" s="25"/>
      <c r="D2781" s="23"/>
      <c r="E2781" s="23"/>
      <c r="F2781" s="23"/>
      <c r="G2781" s="23"/>
      <c r="H2781" s="23"/>
      <c r="I2781" s="23"/>
      <c r="J2781" s="23"/>
      <c r="K2781" s="23"/>
      <c r="L2781" s="23"/>
      <c r="M2781" s="25"/>
      <c r="N2781" s="23"/>
      <c r="O2781" s="23"/>
      <c r="P2781" s="24"/>
    </row>
    <row r="2782" spans="1:16" ht="9.75" customHeight="1">
      <c r="A2782" s="28"/>
      <c r="B2782" s="25" t="s">
        <v>104</v>
      </c>
      <c r="C2782" s="25"/>
      <c r="D2782" s="23"/>
      <c r="E2782" s="23"/>
      <c r="F2782" s="23"/>
      <c r="G2782" s="23"/>
      <c r="H2782" s="23"/>
      <c r="I2782" s="23"/>
      <c r="J2782" s="23"/>
      <c r="K2782" s="23"/>
      <c r="L2782" s="23"/>
      <c r="M2782" s="25"/>
      <c r="N2782" s="23"/>
      <c r="O2782" s="23"/>
      <c r="P2782" s="24"/>
    </row>
    <row r="2783" spans="1:16" ht="9.75" customHeight="1">
      <c r="A2783" s="28"/>
      <c r="B2783" s="25" t="s">
        <v>104</v>
      </c>
      <c r="C2783" s="25"/>
      <c r="D2783" s="23"/>
      <c r="E2783" s="23"/>
      <c r="F2783" s="23"/>
      <c r="G2783" s="23"/>
      <c r="H2783" s="23"/>
      <c r="I2783" s="23"/>
      <c r="J2783" s="23"/>
      <c r="K2783" s="23"/>
      <c r="L2783" s="23"/>
      <c r="M2783" s="25"/>
      <c r="N2783" s="23"/>
      <c r="O2783" s="23"/>
      <c r="P2783" s="24"/>
    </row>
    <row r="2784" spans="1:16" ht="9.75" customHeight="1">
      <c r="A2784" s="28"/>
      <c r="B2784" s="25" t="s">
        <v>104</v>
      </c>
      <c r="C2784" s="25"/>
      <c r="D2784" s="23"/>
      <c r="E2784" s="23"/>
      <c r="F2784" s="23"/>
      <c r="G2784" s="23"/>
      <c r="H2784" s="23"/>
      <c r="I2784" s="23"/>
      <c r="J2784" s="23"/>
      <c r="K2784" s="23"/>
      <c r="L2784" s="23"/>
      <c r="M2784" s="25"/>
      <c r="N2784" s="23"/>
      <c r="O2784" s="23"/>
      <c r="P2784" s="24"/>
    </row>
    <row r="2785" spans="1:16" ht="9.75" customHeight="1">
      <c r="A2785" s="28"/>
      <c r="B2785" s="25" t="s">
        <v>104</v>
      </c>
      <c r="C2785" s="25"/>
      <c r="D2785" s="23"/>
      <c r="E2785" s="23"/>
      <c r="F2785" s="23"/>
      <c r="G2785" s="23"/>
      <c r="H2785" s="23"/>
      <c r="I2785" s="23"/>
      <c r="J2785" s="23"/>
      <c r="K2785" s="23"/>
      <c r="L2785" s="23"/>
      <c r="M2785" s="25"/>
      <c r="N2785" s="23"/>
      <c r="O2785" s="23"/>
      <c r="P2785" s="24"/>
    </row>
    <row r="2786" spans="1:16" ht="9.75" customHeight="1">
      <c r="A2786" s="28"/>
      <c r="B2786" s="25" t="s">
        <v>104</v>
      </c>
      <c r="C2786" s="25"/>
      <c r="D2786" s="23"/>
      <c r="E2786" s="23"/>
      <c r="F2786" s="23"/>
      <c r="G2786" s="23"/>
      <c r="H2786" s="23"/>
      <c r="I2786" s="23"/>
      <c r="J2786" s="23"/>
      <c r="K2786" s="23"/>
      <c r="L2786" s="23"/>
      <c r="M2786" s="25"/>
      <c r="N2786" s="23"/>
      <c r="O2786" s="23"/>
      <c r="P2786" s="24"/>
    </row>
    <row r="2787" spans="1:16" ht="9.75" customHeight="1">
      <c r="A2787" s="28"/>
      <c r="B2787" s="25" t="s">
        <v>104</v>
      </c>
      <c r="C2787" s="25"/>
      <c r="D2787" s="23"/>
      <c r="E2787" s="23"/>
      <c r="F2787" s="23"/>
      <c r="G2787" s="23"/>
      <c r="H2787" s="23"/>
      <c r="I2787" s="23"/>
      <c r="J2787" s="23"/>
      <c r="K2787" s="23"/>
      <c r="L2787" s="23"/>
      <c r="M2787" s="25"/>
      <c r="N2787" s="23"/>
      <c r="O2787" s="23"/>
      <c r="P2787" s="24"/>
    </row>
    <row r="2788" spans="1:16" ht="9.75" customHeight="1">
      <c r="A2788" s="28"/>
      <c r="B2788" s="25" t="s">
        <v>34</v>
      </c>
      <c r="C2788" s="25"/>
      <c r="D2788" s="23"/>
      <c r="E2788" s="23"/>
      <c r="F2788" s="23"/>
      <c r="G2788" s="23"/>
      <c r="H2788" s="23"/>
      <c r="I2788" s="23"/>
      <c r="J2788" s="23"/>
      <c r="K2788" s="23"/>
      <c r="L2788" s="23"/>
      <c r="M2788" s="25"/>
      <c r="N2788" s="23"/>
      <c r="O2788" s="23"/>
      <c r="P2788" s="24"/>
    </row>
    <row r="2789" spans="1:16" ht="9.75" customHeight="1">
      <c r="A2789" s="28"/>
      <c r="B2789" s="25" t="s">
        <v>35</v>
      </c>
      <c r="C2789" s="25"/>
      <c r="D2789" s="23"/>
      <c r="E2789" s="23"/>
      <c r="F2789" s="23"/>
      <c r="G2789" s="23"/>
      <c r="H2789" s="23"/>
      <c r="I2789" s="23"/>
      <c r="J2789" s="23"/>
      <c r="K2789" s="23"/>
      <c r="L2789" s="23"/>
      <c r="M2789" s="25"/>
      <c r="N2789" s="23"/>
      <c r="O2789" s="23"/>
      <c r="P2789" s="24"/>
    </row>
    <row r="2790" spans="1:16" ht="9.75" customHeight="1">
      <c r="A2790" s="28"/>
      <c r="B2790" s="25" t="s">
        <v>36</v>
      </c>
      <c r="C2790" s="25"/>
      <c r="D2790" s="23"/>
      <c r="E2790" s="23"/>
      <c r="F2790" s="23"/>
      <c r="G2790" s="23"/>
      <c r="H2790" s="23"/>
      <c r="I2790" s="23"/>
      <c r="J2790" s="23"/>
      <c r="K2790" s="23"/>
      <c r="L2790" s="23"/>
      <c r="M2790" s="25"/>
      <c r="N2790" s="23"/>
      <c r="O2790" s="23"/>
      <c r="P2790" s="24"/>
    </row>
    <row r="2791" spans="1:16" ht="9.75" customHeight="1">
      <c r="A2791" s="28"/>
      <c r="B2791" s="31" t="s">
        <v>37</v>
      </c>
      <c r="C2791" s="31"/>
      <c r="D2791" s="30"/>
      <c r="E2791" s="30"/>
      <c r="F2791" s="30"/>
      <c r="G2791" s="30"/>
      <c r="H2791" s="30"/>
      <c r="I2791" s="30"/>
      <c r="J2791" s="30"/>
      <c r="K2791" s="30"/>
      <c r="L2791" s="30"/>
      <c r="M2791" s="31"/>
      <c r="N2791" s="30"/>
      <c r="O2791" s="30"/>
      <c r="P2791" s="198"/>
    </row>
    <row r="2792" spans="1:16" ht="9.75" customHeight="1">
      <c r="A2792" s="89"/>
      <c r="B2792" s="46" t="s">
        <v>38</v>
      </c>
      <c r="C2792" s="199">
        <f t="shared" ref="C2792:M2792" si="516">SUM(C2776:C2791)</f>
        <v>39</v>
      </c>
      <c r="D2792" s="200">
        <f t="shared" si="516"/>
        <v>35</v>
      </c>
      <c r="E2792" s="200">
        <f t="shared" si="516"/>
        <v>15</v>
      </c>
      <c r="F2792" s="200">
        <f t="shared" si="516"/>
        <v>6</v>
      </c>
      <c r="G2792" s="200">
        <f t="shared" si="516"/>
        <v>6</v>
      </c>
      <c r="H2792" s="200">
        <f t="shared" si="516"/>
        <v>9</v>
      </c>
      <c r="I2792" s="200">
        <f t="shared" si="516"/>
        <v>16</v>
      </c>
      <c r="J2792" s="200">
        <f t="shared" si="516"/>
        <v>15</v>
      </c>
      <c r="K2792" s="200">
        <f t="shared" si="516"/>
        <v>18</v>
      </c>
      <c r="L2792" s="200">
        <f t="shared" si="516"/>
        <v>22</v>
      </c>
      <c r="M2792" s="199">
        <f t="shared" si="516"/>
        <v>22</v>
      </c>
      <c r="N2792" s="200">
        <f>MIN(D2792:M2792)</f>
        <v>6</v>
      </c>
      <c r="O2792" s="200">
        <f>C2792-N2792</f>
        <v>33</v>
      </c>
      <c r="P2792" s="201">
        <f>O2792/C2792</f>
        <v>0.84615384615384615</v>
      </c>
    </row>
    <row r="2793" spans="1:16" ht="9.75" customHeight="1">
      <c r="A2793" s="28" t="s">
        <v>376</v>
      </c>
      <c r="B2793" s="25" t="s">
        <v>23</v>
      </c>
      <c r="C2793" s="25"/>
      <c r="D2793" s="23"/>
      <c r="E2793" s="23"/>
      <c r="F2793" s="23"/>
      <c r="G2793" s="23"/>
      <c r="H2793" s="23"/>
      <c r="I2793" s="23"/>
      <c r="J2793" s="23"/>
      <c r="K2793" s="23"/>
      <c r="L2793" s="23"/>
      <c r="M2793" s="25"/>
      <c r="N2793" s="23"/>
      <c r="O2793" s="23"/>
      <c r="P2793" s="24"/>
    </row>
    <row r="2794" spans="1:16" ht="9.75" customHeight="1">
      <c r="A2794" s="57"/>
      <c r="B2794" s="25" t="s">
        <v>25</v>
      </c>
      <c r="C2794" s="25"/>
      <c r="D2794" s="23"/>
      <c r="E2794" s="23"/>
      <c r="F2794" s="23"/>
      <c r="G2794" s="23"/>
      <c r="H2794" s="23"/>
      <c r="I2794" s="23"/>
      <c r="J2794" s="23"/>
      <c r="K2794" s="23"/>
      <c r="L2794" s="23"/>
      <c r="M2794" s="25"/>
      <c r="N2794" s="23"/>
      <c r="O2794" s="23"/>
      <c r="P2794" s="24"/>
    </row>
    <row r="2795" spans="1:16" ht="9.75" customHeight="1">
      <c r="A2795" s="57"/>
      <c r="B2795" s="25" t="s">
        <v>27</v>
      </c>
      <c r="C2795" s="25"/>
      <c r="D2795" s="23"/>
      <c r="E2795" s="23"/>
      <c r="F2795" s="23"/>
      <c r="G2795" s="23"/>
      <c r="H2795" s="23"/>
      <c r="I2795" s="23"/>
      <c r="J2795" s="23"/>
      <c r="K2795" s="23"/>
      <c r="L2795" s="23"/>
      <c r="M2795" s="25"/>
      <c r="N2795" s="23"/>
      <c r="O2795" s="23"/>
      <c r="P2795" s="24"/>
    </row>
    <row r="2796" spans="1:16" ht="9.75" customHeight="1">
      <c r="A2796" s="57"/>
      <c r="B2796" s="25" t="s">
        <v>227</v>
      </c>
      <c r="C2796" s="87">
        <v>39</v>
      </c>
      <c r="D2796" s="137">
        <v>12</v>
      </c>
      <c r="E2796" s="137">
        <v>1</v>
      </c>
      <c r="F2796" s="137">
        <v>1</v>
      </c>
      <c r="G2796" s="137">
        <v>0</v>
      </c>
      <c r="H2796" s="137">
        <v>1</v>
      </c>
      <c r="I2796" s="137">
        <v>1</v>
      </c>
      <c r="J2796" s="137">
        <v>4</v>
      </c>
      <c r="K2796" s="137">
        <v>7</v>
      </c>
      <c r="L2796" s="137">
        <v>9</v>
      </c>
      <c r="M2796" s="87">
        <f>C2796-21</f>
        <v>18</v>
      </c>
      <c r="N2796" s="52">
        <f>MIN(D2796:M2796)</f>
        <v>0</v>
      </c>
      <c r="O2796" s="52">
        <f>C2796-N2796</f>
        <v>39</v>
      </c>
      <c r="P2796" s="54">
        <f>O2796/C2796</f>
        <v>1</v>
      </c>
    </row>
    <row r="2797" spans="1:16" ht="9.75" customHeight="1">
      <c r="A2797" s="28"/>
      <c r="B2797" s="25" t="s">
        <v>99</v>
      </c>
      <c r="C2797" s="25"/>
      <c r="D2797" s="23"/>
      <c r="E2797" s="23"/>
      <c r="F2797" s="23"/>
      <c r="G2797" s="23"/>
      <c r="H2797" s="23"/>
      <c r="I2797" s="23"/>
      <c r="J2797" s="23"/>
      <c r="K2797" s="23"/>
      <c r="L2797" s="23"/>
      <c r="M2797" s="25"/>
      <c r="N2797" s="23"/>
      <c r="O2797" s="23"/>
      <c r="P2797" s="24"/>
    </row>
    <row r="2798" spans="1:16" ht="9.75" customHeight="1">
      <c r="A2798" s="28"/>
      <c r="B2798" s="25" t="s">
        <v>32</v>
      </c>
      <c r="C2798" s="25"/>
      <c r="D2798" s="23"/>
      <c r="E2798" s="23"/>
      <c r="F2798" s="23"/>
      <c r="G2798" s="23"/>
      <c r="H2798" s="23"/>
      <c r="I2798" s="23"/>
      <c r="J2798" s="23"/>
      <c r="K2798" s="23"/>
      <c r="L2798" s="23"/>
      <c r="M2798" s="25"/>
      <c r="N2798" s="23"/>
      <c r="O2798" s="23"/>
      <c r="P2798" s="24"/>
    </row>
    <row r="2799" spans="1:16" ht="9.75" customHeight="1">
      <c r="A2799" s="28"/>
      <c r="B2799" s="25" t="s">
        <v>104</v>
      </c>
      <c r="C2799" s="25"/>
      <c r="D2799" s="23"/>
      <c r="E2799" s="23"/>
      <c r="F2799" s="23"/>
      <c r="G2799" s="23"/>
      <c r="H2799" s="23"/>
      <c r="I2799" s="23"/>
      <c r="J2799" s="23"/>
      <c r="K2799" s="23"/>
      <c r="L2799" s="23"/>
      <c r="M2799" s="25"/>
      <c r="N2799" s="23"/>
      <c r="O2799" s="23"/>
      <c r="P2799" s="24"/>
    </row>
    <row r="2800" spans="1:16" ht="9.75" customHeight="1">
      <c r="A2800" s="28"/>
      <c r="B2800" s="25" t="s">
        <v>104</v>
      </c>
      <c r="C2800" s="25"/>
      <c r="D2800" s="23"/>
      <c r="E2800" s="23"/>
      <c r="F2800" s="23"/>
      <c r="G2800" s="23"/>
      <c r="H2800" s="23"/>
      <c r="I2800" s="23"/>
      <c r="J2800" s="23"/>
      <c r="K2800" s="23"/>
      <c r="L2800" s="23"/>
      <c r="M2800" s="25"/>
      <c r="N2800" s="23"/>
      <c r="O2800" s="23"/>
      <c r="P2800" s="24"/>
    </row>
    <row r="2801" spans="1:16" ht="9.75" customHeight="1">
      <c r="A2801" s="28"/>
      <c r="B2801" s="25" t="s">
        <v>104</v>
      </c>
      <c r="C2801" s="25"/>
      <c r="D2801" s="23"/>
      <c r="E2801" s="23"/>
      <c r="F2801" s="23"/>
      <c r="G2801" s="23"/>
      <c r="H2801" s="23"/>
      <c r="I2801" s="23"/>
      <c r="J2801" s="23"/>
      <c r="K2801" s="23"/>
      <c r="L2801" s="23"/>
      <c r="M2801" s="25"/>
      <c r="N2801" s="23"/>
      <c r="O2801" s="23"/>
      <c r="P2801" s="24"/>
    </row>
    <row r="2802" spans="1:16" ht="9.75" customHeight="1">
      <c r="A2802" s="28"/>
      <c r="B2802" s="25" t="s">
        <v>104</v>
      </c>
      <c r="C2802" s="25"/>
      <c r="D2802" s="23"/>
      <c r="E2802" s="23"/>
      <c r="F2802" s="23"/>
      <c r="G2802" s="23"/>
      <c r="H2802" s="23"/>
      <c r="I2802" s="23"/>
      <c r="J2802" s="23"/>
      <c r="K2802" s="23"/>
      <c r="L2802" s="23"/>
      <c r="M2802" s="25"/>
      <c r="N2802" s="23"/>
      <c r="O2802" s="23"/>
      <c r="P2802" s="24"/>
    </row>
    <row r="2803" spans="1:16" ht="9.75" customHeight="1">
      <c r="A2803" s="28"/>
      <c r="B2803" s="25" t="s">
        <v>104</v>
      </c>
      <c r="C2803" s="25"/>
      <c r="D2803" s="23"/>
      <c r="E2803" s="23"/>
      <c r="F2803" s="23"/>
      <c r="G2803" s="23"/>
      <c r="H2803" s="23"/>
      <c r="I2803" s="23"/>
      <c r="J2803" s="23"/>
      <c r="K2803" s="23"/>
      <c r="L2803" s="23"/>
      <c r="M2803" s="25"/>
      <c r="N2803" s="23"/>
      <c r="O2803" s="23"/>
      <c r="P2803" s="24"/>
    </row>
    <row r="2804" spans="1:16" ht="9.75" customHeight="1">
      <c r="A2804" s="28"/>
      <c r="B2804" s="25" t="s">
        <v>104</v>
      </c>
      <c r="C2804" s="25"/>
      <c r="D2804" s="23"/>
      <c r="E2804" s="23"/>
      <c r="F2804" s="23"/>
      <c r="G2804" s="23"/>
      <c r="H2804" s="23"/>
      <c r="I2804" s="23"/>
      <c r="J2804" s="23"/>
      <c r="K2804" s="23"/>
      <c r="L2804" s="23"/>
      <c r="M2804" s="25"/>
      <c r="N2804" s="23"/>
      <c r="O2804" s="23"/>
      <c r="P2804" s="24"/>
    </row>
    <row r="2805" spans="1:16" ht="9.75" customHeight="1">
      <c r="A2805" s="28"/>
      <c r="B2805" s="25" t="s">
        <v>34</v>
      </c>
      <c r="C2805" s="25"/>
      <c r="D2805" s="23"/>
      <c r="E2805" s="23"/>
      <c r="F2805" s="23"/>
      <c r="G2805" s="23"/>
      <c r="H2805" s="23"/>
      <c r="I2805" s="23"/>
      <c r="J2805" s="23"/>
      <c r="K2805" s="23"/>
      <c r="L2805" s="23"/>
      <c r="M2805" s="25"/>
      <c r="N2805" s="23"/>
      <c r="O2805" s="23"/>
      <c r="P2805" s="24"/>
    </row>
    <row r="2806" spans="1:16" ht="9.75" customHeight="1">
      <c r="A2806" s="28"/>
      <c r="B2806" s="25" t="s">
        <v>35</v>
      </c>
      <c r="C2806" s="25"/>
      <c r="D2806" s="23"/>
      <c r="E2806" s="23"/>
      <c r="F2806" s="23"/>
      <c r="G2806" s="23"/>
      <c r="H2806" s="23"/>
      <c r="I2806" s="23"/>
      <c r="J2806" s="23"/>
      <c r="K2806" s="23"/>
      <c r="L2806" s="23"/>
      <c r="M2806" s="25"/>
      <c r="N2806" s="23"/>
      <c r="O2806" s="23"/>
      <c r="P2806" s="24"/>
    </row>
    <row r="2807" spans="1:16" ht="9.75" customHeight="1">
      <c r="A2807" s="28"/>
      <c r="B2807" s="25" t="s">
        <v>36</v>
      </c>
      <c r="C2807" s="25"/>
      <c r="D2807" s="23"/>
      <c r="E2807" s="23"/>
      <c r="F2807" s="23"/>
      <c r="G2807" s="23"/>
      <c r="H2807" s="23"/>
      <c r="I2807" s="23"/>
      <c r="J2807" s="23"/>
      <c r="K2807" s="23"/>
      <c r="L2807" s="23"/>
      <c r="M2807" s="25"/>
      <c r="N2807" s="23"/>
      <c r="O2807" s="23"/>
      <c r="P2807" s="24"/>
    </row>
    <row r="2808" spans="1:16" ht="9.75" customHeight="1">
      <c r="A2808" s="28"/>
      <c r="B2808" s="31" t="s">
        <v>37</v>
      </c>
      <c r="C2808" s="31"/>
      <c r="D2808" s="30"/>
      <c r="E2808" s="30"/>
      <c r="F2808" s="30"/>
      <c r="G2808" s="30"/>
      <c r="H2808" s="30"/>
      <c r="I2808" s="30"/>
      <c r="J2808" s="30"/>
      <c r="K2808" s="30"/>
      <c r="L2808" s="30"/>
      <c r="M2808" s="31"/>
      <c r="N2808" s="30"/>
      <c r="O2808" s="30"/>
      <c r="P2808" s="198"/>
    </row>
    <row r="2809" spans="1:16" ht="9.75" customHeight="1">
      <c r="A2809" s="89"/>
      <c r="B2809" s="46" t="s">
        <v>38</v>
      </c>
      <c r="C2809" s="199">
        <f t="shared" ref="C2809:M2809" si="517">SUM(C2793:C2808)</f>
        <v>39</v>
      </c>
      <c r="D2809" s="200">
        <f t="shared" si="517"/>
        <v>12</v>
      </c>
      <c r="E2809" s="200">
        <f t="shared" si="517"/>
        <v>1</v>
      </c>
      <c r="F2809" s="200">
        <f t="shared" si="517"/>
        <v>1</v>
      </c>
      <c r="G2809" s="200">
        <f t="shared" si="517"/>
        <v>0</v>
      </c>
      <c r="H2809" s="200">
        <f t="shared" si="517"/>
        <v>1</v>
      </c>
      <c r="I2809" s="200">
        <f t="shared" si="517"/>
        <v>1</v>
      </c>
      <c r="J2809" s="200">
        <f t="shared" si="517"/>
        <v>4</v>
      </c>
      <c r="K2809" s="200">
        <f t="shared" si="517"/>
        <v>7</v>
      </c>
      <c r="L2809" s="200">
        <f t="shared" si="517"/>
        <v>9</v>
      </c>
      <c r="M2809" s="199">
        <f t="shared" si="517"/>
        <v>18</v>
      </c>
      <c r="N2809" s="200">
        <f>MIN(D2809:M2809)</f>
        <v>0</v>
      </c>
      <c r="O2809" s="200">
        <f>C2809-N2809</f>
        <v>39</v>
      </c>
      <c r="P2809" s="201">
        <f>O2809/C2809</f>
        <v>1</v>
      </c>
    </row>
    <row r="2810" spans="1:16" ht="9.75" customHeight="1">
      <c r="A2810" s="28" t="s">
        <v>377</v>
      </c>
      <c r="B2810" s="25" t="s">
        <v>23</v>
      </c>
      <c r="C2810" s="25"/>
      <c r="D2810" s="23"/>
      <c r="E2810" s="23"/>
      <c r="F2810" s="23"/>
      <c r="G2810" s="23"/>
      <c r="H2810" s="23"/>
      <c r="I2810" s="23"/>
      <c r="J2810" s="23"/>
      <c r="K2810" s="23"/>
      <c r="L2810" s="23"/>
      <c r="M2810" s="25"/>
      <c r="N2810" s="23"/>
      <c r="O2810" s="23"/>
      <c r="P2810" s="24"/>
    </row>
    <row r="2811" spans="1:16" ht="9.75" customHeight="1">
      <c r="A2811" s="57"/>
      <c r="B2811" s="25" t="s">
        <v>25</v>
      </c>
      <c r="C2811" s="25"/>
      <c r="D2811" s="23"/>
      <c r="E2811" s="23"/>
      <c r="F2811" s="23"/>
      <c r="G2811" s="23"/>
      <c r="H2811" s="23"/>
      <c r="I2811" s="23"/>
      <c r="J2811" s="23"/>
      <c r="K2811" s="23"/>
      <c r="L2811" s="23"/>
      <c r="M2811" s="25"/>
      <c r="N2811" s="23"/>
      <c r="O2811" s="23"/>
      <c r="P2811" s="24"/>
    </row>
    <row r="2812" spans="1:16" ht="9.75" customHeight="1">
      <c r="A2812" s="57"/>
      <c r="B2812" s="25" t="s">
        <v>27</v>
      </c>
      <c r="C2812" s="25"/>
      <c r="D2812" s="23"/>
      <c r="E2812" s="23"/>
      <c r="F2812" s="23"/>
      <c r="G2812" s="23"/>
      <c r="H2812" s="23"/>
      <c r="I2812" s="23"/>
      <c r="J2812" s="23"/>
      <c r="K2812" s="23"/>
      <c r="L2812" s="23"/>
      <c r="M2812" s="25"/>
      <c r="N2812" s="23"/>
      <c r="O2812" s="23"/>
      <c r="P2812" s="24"/>
    </row>
    <row r="2813" spans="1:16" ht="9.75" customHeight="1">
      <c r="A2813" s="57"/>
      <c r="B2813" s="25" t="s">
        <v>227</v>
      </c>
      <c r="C2813" s="87">
        <v>35</v>
      </c>
      <c r="D2813" s="137">
        <v>0</v>
      </c>
      <c r="E2813" s="137">
        <v>0</v>
      </c>
      <c r="F2813" s="137">
        <v>0</v>
      </c>
      <c r="G2813" s="137">
        <v>0</v>
      </c>
      <c r="H2813" s="137">
        <v>1</v>
      </c>
      <c r="I2813" s="137">
        <v>0</v>
      </c>
      <c r="J2813" s="137">
        <v>2</v>
      </c>
      <c r="K2813" s="137">
        <v>1</v>
      </c>
      <c r="L2813" s="137">
        <v>7</v>
      </c>
      <c r="M2813" s="138">
        <v>8</v>
      </c>
      <c r="N2813" s="52">
        <f>MIN(D2813:M2813)</f>
        <v>0</v>
      </c>
      <c r="O2813" s="52">
        <f>C2813-N2813</f>
        <v>35</v>
      </c>
      <c r="P2813" s="54">
        <f>O2813/C2813</f>
        <v>1</v>
      </c>
    </row>
    <row r="2814" spans="1:16" ht="9.75" customHeight="1">
      <c r="A2814" s="28"/>
      <c r="B2814" s="25" t="s">
        <v>99</v>
      </c>
      <c r="C2814" s="25"/>
      <c r="D2814" s="23"/>
      <c r="E2814" s="23"/>
      <c r="F2814" s="23"/>
      <c r="G2814" s="23"/>
      <c r="H2814" s="23"/>
      <c r="I2814" s="23"/>
      <c r="J2814" s="23"/>
      <c r="K2814" s="23"/>
      <c r="L2814" s="23"/>
      <c r="M2814" s="25"/>
      <c r="N2814" s="23"/>
      <c r="O2814" s="23"/>
      <c r="P2814" s="24"/>
    </row>
    <row r="2815" spans="1:16" ht="9.75" customHeight="1">
      <c r="A2815" s="28"/>
      <c r="B2815" s="25" t="s">
        <v>32</v>
      </c>
      <c r="C2815" s="25"/>
      <c r="D2815" s="23"/>
      <c r="E2815" s="23"/>
      <c r="F2815" s="23"/>
      <c r="G2815" s="23"/>
      <c r="H2815" s="23"/>
      <c r="I2815" s="23"/>
      <c r="J2815" s="23"/>
      <c r="K2815" s="23"/>
      <c r="L2815" s="23"/>
      <c r="M2815" s="25"/>
      <c r="N2815" s="23"/>
      <c r="O2815" s="23"/>
      <c r="P2815" s="24"/>
    </row>
    <row r="2816" spans="1:16" ht="9.75" customHeight="1">
      <c r="A2816" s="28"/>
      <c r="B2816" s="25" t="s">
        <v>378</v>
      </c>
      <c r="C2816" s="87">
        <v>4</v>
      </c>
      <c r="D2816" s="137">
        <v>4</v>
      </c>
      <c r="E2816" s="137">
        <v>0</v>
      </c>
      <c r="F2816" s="137">
        <v>3</v>
      </c>
      <c r="G2816" s="137">
        <v>1</v>
      </c>
      <c r="H2816" s="137">
        <v>3</v>
      </c>
      <c r="I2816" s="137">
        <v>1</v>
      </c>
      <c r="J2816" s="137">
        <v>3</v>
      </c>
      <c r="K2816" s="137">
        <v>3</v>
      </c>
      <c r="L2816" s="137">
        <v>4</v>
      </c>
      <c r="M2816" s="138">
        <v>3</v>
      </c>
      <c r="N2816" s="52">
        <f>MIN(D2816:M2816)</f>
        <v>0</v>
      </c>
      <c r="O2816" s="52">
        <f>C2816-N2816</f>
        <v>4</v>
      </c>
      <c r="P2816" s="54">
        <f>O2816/C2816</f>
        <v>1</v>
      </c>
    </row>
    <row r="2817" spans="1:16" ht="9.75" customHeight="1">
      <c r="A2817" s="28"/>
      <c r="B2817" s="25" t="s">
        <v>104</v>
      </c>
      <c r="C2817" s="25"/>
      <c r="D2817" s="23"/>
      <c r="E2817" s="23"/>
      <c r="F2817" s="23"/>
      <c r="G2817" s="23"/>
      <c r="H2817" s="23"/>
      <c r="I2817" s="23"/>
      <c r="J2817" s="23"/>
      <c r="K2817" s="23"/>
      <c r="L2817" s="23"/>
      <c r="M2817" s="25"/>
      <c r="N2817" s="23"/>
      <c r="O2817" s="23"/>
      <c r="P2817" s="24"/>
    </row>
    <row r="2818" spans="1:16" ht="9.75" customHeight="1">
      <c r="A2818" s="28"/>
      <c r="B2818" s="25" t="s">
        <v>104</v>
      </c>
      <c r="C2818" s="25"/>
      <c r="D2818" s="23"/>
      <c r="E2818" s="23"/>
      <c r="F2818" s="23"/>
      <c r="G2818" s="23"/>
      <c r="H2818" s="23"/>
      <c r="I2818" s="23"/>
      <c r="J2818" s="23"/>
      <c r="K2818" s="23"/>
      <c r="L2818" s="23"/>
      <c r="M2818" s="25"/>
      <c r="N2818" s="23"/>
      <c r="O2818" s="23"/>
      <c r="P2818" s="24"/>
    </row>
    <row r="2819" spans="1:16" ht="9.75" customHeight="1">
      <c r="A2819" s="28"/>
      <c r="B2819" s="25" t="s">
        <v>104</v>
      </c>
      <c r="C2819" s="25"/>
      <c r="D2819" s="23"/>
      <c r="E2819" s="23"/>
      <c r="F2819" s="23"/>
      <c r="G2819" s="23"/>
      <c r="H2819" s="23"/>
      <c r="I2819" s="23"/>
      <c r="J2819" s="23"/>
      <c r="K2819" s="23"/>
      <c r="L2819" s="23"/>
      <c r="M2819" s="25"/>
      <c r="N2819" s="23"/>
      <c r="O2819" s="23"/>
      <c r="P2819" s="24"/>
    </row>
    <row r="2820" spans="1:16" ht="9.75" customHeight="1">
      <c r="A2820" s="28"/>
      <c r="B2820" s="25" t="s">
        <v>104</v>
      </c>
      <c r="C2820" s="25"/>
      <c r="D2820" s="23"/>
      <c r="E2820" s="23"/>
      <c r="F2820" s="23"/>
      <c r="G2820" s="23"/>
      <c r="H2820" s="23"/>
      <c r="I2820" s="23"/>
      <c r="J2820" s="23"/>
      <c r="K2820" s="23"/>
      <c r="L2820" s="23"/>
      <c r="M2820" s="25"/>
      <c r="N2820" s="23"/>
      <c r="O2820" s="23"/>
      <c r="P2820" s="24"/>
    </row>
    <row r="2821" spans="1:16" ht="9.75" customHeight="1">
      <c r="A2821" s="28"/>
      <c r="B2821" s="25" t="s">
        <v>104</v>
      </c>
      <c r="C2821" s="25"/>
      <c r="D2821" s="23"/>
      <c r="E2821" s="23"/>
      <c r="F2821" s="23"/>
      <c r="G2821" s="23"/>
      <c r="H2821" s="23"/>
      <c r="I2821" s="23"/>
      <c r="J2821" s="23"/>
      <c r="K2821" s="23"/>
      <c r="L2821" s="23"/>
      <c r="M2821" s="25"/>
      <c r="N2821" s="23"/>
      <c r="O2821" s="23"/>
      <c r="P2821" s="24"/>
    </row>
    <row r="2822" spans="1:16" ht="9.75" customHeight="1">
      <c r="A2822" s="28"/>
      <c r="B2822" s="25" t="s">
        <v>34</v>
      </c>
      <c r="C2822" s="25"/>
      <c r="D2822" s="23"/>
      <c r="E2822" s="23"/>
      <c r="F2822" s="23"/>
      <c r="G2822" s="23"/>
      <c r="H2822" s="23"/>
      <c r="I2822" s="23"/>
      <c r="J2822" s="23"/>
      <c r="K2822" s="23"/>
      <c r="L2822" s="23"/>
      <c r="M2822" s="25"/>
      <c r="N2822" s="23"/>
      <c r="O2822" s="23"/>
      <c r="P2822" s="24"/>
    </row>
    <row r="2823" spans="1:16" ht="9.75" customHeight="1">
      <c r="A2823" s="28"/>
      <c r="B2823" s="25" t="s">
        <v>35</v>
      </c>
      <c r="C2823" s="25"/>
      <c r="D2823" s="23"/>
      <c r="E2823" s="23"/>
      <c r="F2823" s="23"/>
      <c r="G2823" s="23"/>
      <c r="H2823" s="23"/>
      <c r="I2823" s="23"/>
      <c r="J2823" s="23"/>
      <c r="K2823" s="23"/>
      <c r="L2823" s="23"/>
      <c r="M2823" s="25"/>
      <c r="N2823" s="23"/>
      <c r="O2823" s="23"/>
      <c r="P2823" s="24"/>
    </row>
    <row r="2824" spans="1:16" ht="9.75" customHeight="1">
      <c r="A2824" s="28"/>
      <c r="B2824" s="25" t="s">
        <v>36</v>
      </c>
      <c r="C2824" s="25"/>
      <c r="D2824" s="23"/>
      <c r="E2824" s="23"/>
      <c r="F2824" s="23"/>
      <c r="G2824" s="23"/>
      <c r="H2824" s="23"/>
      <c r="I2824" s="23"/>
      <c r="J2824" s="23"/>
      <c r="K2824" s="23"/>
      <c r="L2824" s="23"/>
      <c r="M2824" s="25"/>
      <c r="N2824" s="23"/>
      <c r="O2824" s="23"/>
      <c r="P2824" s="24"/>
    </row>
    <row r="2825" spans="1:16" ht="9.75" customHeight="1">
      <c r="A2825" s="28"/>
      <c r="B2825" s="31" t="s">
        <v>37</v>
      </c>
      <c r="C2825" s="31"/>
      <c r="D2825" s="30"/>
      <c r="E2825" s="30"/>
      <c r="F2825" s="30"/>
      <c r="G2825" s="30"/>
      <c r="H2825" s="30"/>
      <c r="I2825" s="30"/>
      <c r="J2825" s="30"/>
      <c r="K2825" s="30"/>
      <c r="L2825" s="30"/>
      <c r="M2825" s="31"/>
      <c r="N2825" s="30"/>
      <c r="O2825" s="30"/>
      <c r="P2825" s="198"/>
    </row>
    <row r="2826" spans="1:16" ht="9.75" customHeight="1">
      <c r="A2826" s="89"/>
      <c r="B2826" s="46" t="s">
        <v>38</v>
      </c>
      <c r="C2826" s="199">
        <f t="shared" ref="C2826:M2826" si="518">SUM(C2810:C2825)</f>
        <v>39</v>
      </c>
      <c r="D2826" s="200">
        <f t="shared" si="518"/>
        <v>4</v>
      </c>
      <c r="E2826" s="200">
        <f t="shared" si="518"/>
        <v>0</v>
      </c>
      <c r="F2826" s="200">
        <f t="shared" si="518"/>
        <v>3</v>
      </c>
      <c r="G2826" s="200">
        <f t="shared" si="518"/>
        <v>1</v>
      </c>
      <c r="H2826" s="200">
        <f t="shared" si="518"/>
        <v>4</v>
      </c>
      <c r="I2826" s="200">
        <f t="shared" si="518"/>
        <v>1</v>
      </c>
      <c r="J2826" s="200">
        <f t="shared" si="518"/>
        <v>5</v>
      </c>
      <c r="K2826" s="200">
        <f t="shared" si="518"/>
        <v>4</v>
      </c>
      <c r="L2826" s="200">
        <f t="shared" si="518"/>
        <v>11</v>
      </c>
      <c r="M2826" s="199">
        <f t="shared" si="518"/>
        <v>11</v>
      </c>
      <c r="N2826" s="200">
        <f>MIN(D2826:M2826)</f>
        <v>0</v>
      </c>
      <c r="O2826" s="200">
        <f>C2826-N2826</f>
        <v>39</v>
      </c>
      <c r="P2826" s="201">
        <f>O2826/C2826</f>
        <v>1</v>
      </c>
    </row>
    <row r="2827" spans="1:16" ht="9.75" customHeight="1">
      <c r="A2827" s="28" t="s">
        <v>379</v>
      </c>
      <c r="B2827" s="25" t="s">
        <v>23</v>
      </c>
      <c r="C2827" s="25"/>
      <c r="D2827" s="23"/>
      <c r="E2827" s="23"/>
      <c r="F2827" s="23"/>
      <c r="G2827" s="23"/>
      <c r="H2827" s="23"/>
      <c r="I2827" s="23"/>
      <c r="J2827" s="23"/>
      <c r="K2827" s="23"/>
      <c r="L2827" s="23"/>
      <c r="M2827" s="25"/>
      <c r="N2827" s="23"/>
      <c r="O2827" s="23"/>
      <c r="P2827" s="24"/>
    </row>
    <row r="2828" spans="1:16" ht="9.75" customHeight="1">
      <c r="A2828" s="57"/>
      <c r="B2828" s="25" t="s">
        <v>25</v>
      </c>
      <c r="C2828" s="25"/>
      <c r="D2828" s="23"/>
      <c r="E2828" s="23"/>
      <c r="F2828" s="23"/>
      <c r="G2828" s="23"/>
      <c r="H2828" s="23"/>
      <c r="I2828" s="23"/>
      <c r="J2828" s="23"/>
      <c r="K2828" s="23"/>
      <c r="L2828" s="23"/>
      <c r="M2828" s="25"/>
      <c r="N2828" s="23"/>
      <c r="O2828" s="23"/>
      <c r="P2828" s="24"/>
    </row>
    <row r="2829" spans="1:16" ht="9.75" customHeight="1">
      <c r="A2829" s="57"/>
      <c r="B2829" s="25" t="s">
        <v>27</v>
      </c>
      <c r="C2829" s="25"/>
      <c r="D2829" s="23"/>
      <c r="E2829" s="23"/>
      <c r="F2829" s="23"/>
      <c r="G2829" s="23"/>
      <c r="H2829" s="23"/>
      <c r="I2829" s="23"/>
      <c r="J2829" s="23"/>
      <c r="K2829" s="23"/>
      <c r="L2829" s="23"/>
      <c r="M2829" s="25"/>
      <c r="N2829" s="23"/>
      <c r="O2829" s="23"/>
      <c r="P2829" s="24"/>
    </row>
    <row r="2830" spans="1:16" ht="9.75" customHeight="1">
      <c r="A2830" s="57"/>
      <c r="B2830" s="25" t="s">
        <v>99</v>
      </c>
      <c r="C2830" s="25"/>
      <c r="D2830" s="23"/>
      <c r="E2830" s="23"/>
      <c r="F2830" s="23"/>
      <c r="G2830" s="23"/>
      <c r="H2830" s="23"/>
      <c r="I2830" s="23"/>
      <c r="J2830" s="23"/>
      <c r="K2830" s="23"/>
      <c r="L2830" s="23"/>
      <c r="M2830" s="25"/>
      <c r="N2830" s="23"/>
      <c r="O2830" s="23"/>
      <c r="P2830" s="24"/>
    </row>
    <row r="2831" spans="1:16" ht="9.75" customHeight="1">
      <c r="A2831" s="28"/>
      <c r="B2831" s="25" t="s">
        <v>99</v>
      </c>
      <c r="C2831" s="25"/>
      <c r="D2831" s="23"/>
      <c r="E2831" s="23"/>
      <c r="F2831" s="23"/>
      <c r="G2831" s="23"/>
      <c r="H2831" s="23"/>
      <c r="I2831" s="23"/>
      <c r="J2831" s="23"/>
      <c r="K2831" s="23"/>
      <c r="L2831" s="23"/>
      <c r="M2831" s="25"/>
      <c r="N2831" s="23"/>
      <c r="O2831" s="23"/>
      <c r="P2831" s="24"/>
    </row>
    <row r="2832" spans="1:16" ht="9.75" customHeight="1">
      <c r="A2832" s="28"/>
      <c r="B2832" s="25" t="s">
        <v>32</v>
      </c>
      <c r="C2832" s="25"/>
      <c r="D2832" s="23"/>
      <c r="E2832" s="23"/>
      <c r="F2832" s="23"/>
      <c r="G2832" s="23"/>
      <c r="H2832" s="23"/>
      <c r="I2832" s="23"/>
      <c r="J2832" s="23"/>
      <c r="K2832" s="23"/>
      <c r="L2832" s="23"/>
      <c r="M2832" s="25"/>
      <c r="N2832" s="23"/>
      <c r="O2832" s="23"/>
      <c r="P2832" s="24"/>
    </row>
    <row r="2833" spans="1:16" ht="9.75" customHeight="1">
      <c r="A2833" s="28"/>
      <c r="B2833" s="25" t="s">
        <v>188</v>
      </c>
      <c r="C2833" s="87">
        <v>2</v>
      </c>
      <c r="D2833" s="137">
        <v>1</v>
      </c>
      <c r="E2833" s="137">
        <v>2</v>
      </c>
      <c r="F2833" s="137">
        <v>2</v>
      </c>
      <c r="G2833" s="137">
        <v>2</v>
      </c>
      <c r="H2833" s="137">
        <v>2</v>
      </c>
      <c r="I2833" s="137">
        <v>1</v>
      </c>
      <c r="J2833" s="137">
        <v>1</v>
      </c>
      <c r="K2833" s="137">
        <v>2</v>
      </c>
      <c r="L2833" s="137">
        <v>2</v>
      </c>
      <c r="M2833" s="138">
        <v>2</v>
      </c>
      <c r="N2833" s="52">
        <f>MIN(D2833:M2833)</f>
        <v>1</v>
      </c>
      <c r="O2833" s="52">
        <f>C2833-N2833</f>
        <v>1</v>
      </c>
      <c r="P2833" s="54">
        <f>O2833/C2833</f>
        <v>0.5</v>
      </c>
    </row>
    <row r="2834" spans="1:16" ht="9.75" customHeight="1">
      <c r="A2834" s="28"/>
      <c r="B2834" s="25" t="s">
        <v>104</v>
      </c>
      <c r="C2834" s="25"/>
      <c r="D2834" s="23"/>
      <c r="E2834" s="23"/>
      <c r="F2834" s="23"/>
      <c r="G2834" s="23"/>
      <c r="H2834" s="23"/>
      <c r="I2834" s="23"/>
      <c r="J2834" s="23"/>
      <c r="K2834" s="23"/>
      <c r="L2834" s="23"/>
      <c r="M2834" s="25"/>
      <c r="N2834" s="23"/>
      <c r="O2834" s="23"/>
      <c r="P2834" s="24"/>
    </row>
    <row r="2835" spans="1:16" ht="9.75" customHeight="1">
      <c r="A2835" s="28"/>
      <c r="B2835" s="25" t="s">
        <v>104</v>
      </c>
      <c r="C2835" s="25"/>
      <c r="D2835" s="23"/>
      <c r="E2835" s="23"/>
      <c r="F2835" s="23"/>
      <c r="G2835" s="23"/>
      <c r="H2835" s="23"/>
      <c r="I2835" s="23"/>
      <c r="J2835" s="23"/>
      <c r="K2835" s="23"/>
      <c r="L2835" s="23"/>
      <c r="M2835" s="25"/>
      <c r="N2835" s="23"/>
      <c r="O2835" s="23"/>
      <c r="P2835" s="24"/>
    </row>
    <row r="2836" spans="1:16" ht="9.75" customHeight="1">
      <c r="A2836" s="28"/>
      <c r="B2836" s="25" t="s">
        <v>104</v>
      </c>
      <c r="C2836" s="25"/>
      <c r="D2836" s="23"/>
      <c r="E2836" s="23"/>
      <c r="F2836" s="23"/>
      <c r="G2836" s="23"/>
      <c r="H2836" s="23"/>
      <c r="I2836" s="23"/>
      <c r="J2836" s="23"/>
      <c r="K2836" s="23"/>
      <c r="L2836" s="23"/>
      <c r="M2836" s="25"/>
      <c r="N2836" s="23"/>
      <c r="O2836" s="23"/>
      <c r="P2836" s="24"/>
    </row>
    <row r="2837" spans="1:16" ht="9.75" customHeight="1">
      <c r="A2837" s="28"/>
      <c r="B2837" s="25" t="s">
        <v>104</v>
      </c>
      <c r="C2837" s="25"/>
      <c r="D2837" s="23"/>
      <c r="E2837" s="23"/>
      <c r="F2837" s="23"/>
      <c r="G2837" s="23"/>
      <c r="H2837" s="23"/>
      <c r="I2837" s="23"/>
      <c r="J2837" s="23"/>
      <c r="K2837" s="23"/>
      <c r="L2837" s="23"/>
      <c r="M2837" s="25"/>
      <c r="N2837" s="23"/>
      <c r="O2837" s="23"/>
      <c r="P2837" s="24"/>
    </row>
    <row r="2838" spans="1:16" ht="9.75" customHeight="1">
      <c r="A2838" s="28"/>
      <c r="B2838" s="25" t="s">
        <v>104</v>
      </c>
      <c r="C2838" s="25"/>
      <c r="D2838" s="23"/>
      <c r="E2838" s="23"/>
      <c r="F2838" s="23"/>
      <c r="G2838" s="23"/>
      <c r="H2838" s="23"/>
      <c r="I2838" s="23"/>
      <c r="J2838" s="23"/>
      <c r="K2838" s="23"/>
      <c r="L2838" s="23"/>
      <c r="M2838" s="25"/>
      <c r="N2838" s="23"/>
      <c r="O2838" s="23"/>
      <c r="P2838" s="24"/>
    </row>
    <row r="2839" spans="1:16" ht="9.75" customHeight="1">
      <c r="A2839" s="28"/>
      <c r="B2839" s="25" t="s">
        <v>34</v>
      </c>
      <c r="C2839" s="87">
        <v>10</v>
      </c>
      <c r="D2839" s="137">
        <v>0</v>
      </c>
      <c r="E2839" s="137">
        <v>0</v>
      </c>
      <c r="F2839" s="137">
        <v>0</v>
      </c>
      <c r="G2839" s="137">
        <v>0</v>
      </c>
      <c r="H2839" s="137">
        <v>1</v>
      </c>
      <c r="I2839" s="137">
        <v>0</v>
      </c>
      <c r="J2839" s="137">
        <v>1</v>
      </c>
      <c r="K2839" s="137">
        <v>0</v>
      </c>
      <c r="L2839" s="137">
        <v>6</v>
      </c>
      <c r="M2839" s="138">
        <v>8</v>
      </c>
      <c r="N2839" s="52">
        <f t="shared" ref="N2839:N2840" si="519">MIN(D2839:M2839)</f>
        <v>0</v>
      </c>
      <c r="O2839" s="52">
        <f t="shared" ref="O2839:O2840" si="520">C2839-N2839</f>
        <v>10</v>
      </c>
      <c r="P2839" s="54">
        <f t="shared" ref="P2839:P2840" si="521">O2839/C2839</f>
        <v>1</v>
      </c>
    </row>
    <row r="2840" spans="1:16" ht="9.75" customHeight="1">
      <c r="A2840" s="28"/>
      <c r="B2840" s="25" t="s">
        <v>35</v>
      </c>
      <c r="C2840" s="87">
        <v>2</v>
      </c>
      <c r="D2840" s="137">
        <v>1</v>
      </c>
      <c r="E2840" s="137">
        <v>1</v>
      </c>
      <c r="F2840" s="137">
        <v>1</v>
      </c>
      <c r="G2840" s="137">
        <v>1</v>
      </c>
      <c r="H2840" s="137">
        <v>1</v>
      </c>
      <c r="I2840" s="137">
        <v>1</v>
      </c>
      <c r="J2840" s="137">
        <v>2</v>
      </c>
      <c r="K2840" s="137">
        <v>2</v>
      </c>
      <c r="L2840" s="137">
        <v>2</v>
      </c>
      <c r="M2840" s="138">
        <v>2</v>
      </c>
      <c r="N2840" s="52">
        <f t="shared" si="519"/>
        <v>1</v>
      </c>
      <c r="O2840" s="52">
        <f t="shared" si="520"/>
        <v>1</v>
      </c>
      <c r="P2840" s="54">
        <f t="shared" si="521"/>
        <v>0.5</v>
      </c>
    </row>
    <row r="2841" spans="1:16" ht="9.75" customHeight="1">
      <c r="A2841" s="28"/>
      <c r="B2841" s="25" t="s">
        <v>36</v>
      </c>
      <c r="C2841" s="25"/>
      <c r="D2841" s="23"/>
      <c r="E2841" s="23"/>
      <c r="F2841" s="23"/>
      <c r="G2841" s="23"/>
      <c r="H2841" s="23"/>
      <c r="I2841" s="23"/>
      <c r="J2841" s="23"/>
      <c r="K2841" s="23"/>
      <c r="L2841" s="23"/>
      <c r="M2841" s="25"/>
      <c r="N2841" s="23"/>
      <c r="O2841" s="23"/>
      <c r="P2841" s="24"/>
    </row>
    <row r="2842" spans="1:16" ht="9.75" customHeight="1">
      <c r="A2842" s="28"/>
      <c r="B2842" s="31" t="s">
        <v>37</v>
      </c>
      <c r="C2842" s="31"/>
      <c r="D2842" s="30"/>
      <c r="E2842" s="30"/>
      <c r="F2842" s="30"/>
      <c r="G2842" s="30"/>
      <c r="H2842" s="30"/>
      <c r="I2842" s="30"/>
      <c r="J2842" s="30"/>
      <c r="K2842" s="30"/>
      <c r="L2842" s="30"/>
      <c r="M2842" s="31"/>
      <c r="N2842" s="30"/>
      <c r="O2842" s="30"/>
      <c r="P2842" s="198"/>
    </row>
    <row r="2843" spans="1:16" ht="9.75" customHeight="1">
      <c r="A2843" s="89"/>
      <c r="B2843" s="46" t="s">
        <v>38</v>
      </c>
      <c r="C2843" s="199">
        <f t="shared" ref="C2843:M2843" si="522">SUM(C2827:C2842)</f>
        <v>14</v>
      </c>
      <c r="D2843" s="200">
        <f t="shared" si="522"/>
        <v>2</v>
      </c>
      <c r="E2843" s="200">
        <f t="shared" si="522"/>
        <v>3</v>
      </c>
      <c r="F2843" s="200">
        <f t="shared" si="522"/>
        <v>3</v>
      </c>
      <c r="G2843" s="200">
        <f t="shared" si="522"/>
        <v>3</v>
      </c>
      <c r="H2843" s="200">
        <f t="shared" si="522"/>
        <v>4</v>
      </c>
      <c r="I2843" s="200">
        <f t="shared" si="522"/>
        <v>2</v>
      </c>
      <c r="J2843" s="200">
        <f t="shared" si="522"/>
        <v>4</v>
      </c>
      <c r="K2843" s="200">
        <f t="shared" si="522"/>
        <v>4</v>
      </c>
      <c r="L2843" s="200">
        <f t="shared" si="522"/>
        <v>10</v>
      </c>
      <c r="M2843" s="199">
        <f t="shared" si="522"/>
        <v>12</v>
      </c>
      <c r="N2843" s="200">
        <f>MIN(D2843:M2843)</f>
        <v>2</v>
      </c>
      <c r="O2843" s="200">
        <f>C2843-N2843</f>
        <v>12</v>
      </c>
      <c r="P2843" s="201">
        <f>O2843/C2843</f>
        <v>0.8571428571428571</v>
      </c>
    </row>
    <row r="2844" spans="1:16" ht="9.75" customHeight="1">
      <c r="A2844" s="28" t="s">
        <v>380</v>
      </c>
      <c r="B2844" s="25" t="s">
        <v>23</v>
      </c>
      <c r="C2844" s="25"/>
      <c r="D2844" s="23"/>
      <c r="E2844" s="23"/>
      <c r="F2844" s="23"/>
      <c r="G2844" s="23"/>
      <c r="H2844" s="23"/>
      <c r="I2844" s="23"/>
      <c r="J2844" s="23"/>
      <c r="K2844" s="23"/>
      <c r="L2844" s="23"/>
      <c r="M2844" s="25"/>
      <c r="N2844" s="23"/>
      <c r="O2844" s="23"/>
      <c r="P2844" s="24"/>
    </row>
    <row r="2845" spans="1:16" ht="9.75" customHeight="1">
      <c r="A2845" s="57"/>
      <c r="B2845" s="25" t="s">
        <v>25</v>
      </c>
      <c r="C2845" s="25"/>
      <c r="D2845" s="23"/>
      <c r="E2845" s="23"/>
      <c r="F2845" s="23"/>
      <c r="G2845" s="23"/>
      <c r="H2845" s="23"/>
      <c r="I2845" s="23"/>
      <c r="J2845" s="23"/>
      <c r="K2845" s="23"/>
      <c r="L2845" s="23"/>
      <c r="M2845" s="25"/>
      <c r="N2845" s="23"/>
      <c r="O2845" s="23"/>
      <c r="P2845" s="24"/>
    </row>
    <row r="2846" spans="1:16" ht="9.75" customHeight="1">
      <c r="A2846" s="57"/>
      <c r="B2846" s="25" t="s">
        <v>27</v>
      </c>
      <c r="C2846" s="25"/>
      <c r="D2846" s="23"/>
      <c r="E2846" s="23"/>
      <c r="F2846" s="23"/>
      <c r="G2846" s="23"/>
      <c r="H2846" s="23"/>
      <c r="I2846" s="23"/>
      <c r="J2846" s="23"/>
      <c r="K2846" s="23"/>
      <c r="L2846" s="23"/>
      <c r="M2846" s="25"/>
      <c r="N2846" s="23"/>
      <c r="O2846" s="23"/>
      <c r="P2846" s="24"/>
    </row>
    <row r="2847" spans="1:16" ht="9.75" customHeight="1">
      <c r="A2847" s="57"/>
      <c r="B2847" s="25" t="s">
        <v>99</v>
      </c>
      <c r="C2847" s="25"/>
      <c r="D2847" s="23"/>
      <c r="E2847" s="23"/>
      <c r="F2847" s="23"/>
      <c r="G2847" s="23"/>
      <c r="H2847" s="23"/>
      <c r="I2847" s="23"/>
      <c r="J2847" s="23"/>
      <c r="K2847" s="23"/>
      <c r="L2847" s="23"/>
      <c r="M2847" s="25"/>
      <c r="N2847" s="23"/>
      <c r="O2847" s="23"/>
      <c r="P2847" s="24"/>
    </row>
    <row r="2848" spans="1:16" ht="9.75" customHeight="1">
      <c r="A2848" s="28"/>
      <c r="B2848" s="25" t="s">
        <v>99</v>
      </c>
      <c r="C2848" s="25"/>
      <c r="D2848" s="191"/>
      <c r="E2848" s="23"/>
      <c r="F2848" s="23"/>
      <c r="G2848" s="23"/>
      <c r="H2848" s="23"/>
      <c r="I2848" s="23"/>
      <c r="J2848" s="23"/>
      <c r="K2848" s="23"/>
      <c r="L2848" s="23"/>
      <c r="M2848" s="25"/>
      <c r="N2848" s="23"/>
      <c r="O2848" s="23"/>
      <c r="P2848" s="24"/>
    </row>
    <row r="2849" spans="1:16" ht="9.75" customHeight="1">
      <c r="A2849" s="28"/>
      <c r="B2849" s="25" t="s">
        <v>32</v>
      </c>
      <c r="C2849" s="87">
        <v>18</v>
      </c>
      <c r="D2849" s="137">
        <v>16</v>
      </c>
      <c r="E2849" s="137">
        <v>15</v>
      </c>
      <c r="F2849" s="137">
        <v>15</v>
      </c>
      <c r="G2849" s="137">
        <v>15</v>
      </c>
      <c r="H2849" s="137">
        <v>15</v>
      </c>
      <c r="I2849" s="137">
        <v>15</v>
      </c>
      <c r="J2849" s="137">
        <v>15</v>
      </c>
      <c r="K2849" s="137">
        <v>15</v>
      </c>
      <c r="L2849" s="137">
        <v>14</v>
      </c>
      <c r="M2849" s="138">
        <v>14</v>
      </c>
      <c r="N2849" s="52">
        <f t="shared" ref="N2849:N2850" si="523">MIN(D2849:M2849)</f>
        <v>14</v>
      </c>
      <c r="O2849" s="52">
        <f t="shared" ref="O2849:O2850" si="524">C2849-N2849</f>
        <v>4</v>
      </c>
      <c r="P2849" s="54">
        <f t="shared" ref="P2849:P2850" si="525">O2849/C2849</f>
        <v>0.22222222222222221</v>
      </c>
    </row>
    <row r="2850" spans="1:16" ht="9.75" customHeight="1">
      <c r="A2850" s="28"/>
      <c r="B2850" s="25" t="s">
        <v>102</v>
      </c>
      <c r="C2850" s="87">
        <v>12</v>
      </c>
      <c r="D2850" s="137">
        <v>11</v>
      </c>
      <c r="E2850" s="137">
        <v>10</v>
      </c>
      <c r="F2850" s="137">
        <v>7</v>
      </c>
      <c r="G2850" s="137">
        <v>7</v>
      </c>
      <c r="H2850" s="137">
        <v>7</v>
      </c>
      <c r="I2850" s="137">
        <v>9</v>
      </c>
      <c r="J2850" s="137">
        <v>9</v>
      </c>
      <c r="K2850" s="137">
        <v>10</v>
      </c>
      <c r="L2850" s="137">
        <v>10</v>
      </c>
      <c r="M2850" s="138">
        <v>10</v>
      </c>
      <c r="N2850" s="52">
        <f t="shared" si="523"/>
        <v>7</v>
      </c>
      <c r="O2850" s="52">
        <f t="shared" si="524"/>
        <v>5</v>
      </c>
      <c r="P2850" s="54">
        <f t="shared" si="525"/>
        <v>0.41666666666666669</v>
      </c>
    </row>
    <row r="2851" spans="1:16" ht="9.75" customHeight="1">
      <c r="A2851" s="28"/>
      <c r="B2851" s="25" t="s">
        <v>104</v>
      </c>
      <c r="C2851" s="25"/>
      <c r="D2851" s="23"/>
      <c r="E2851" s="23"/>
      <c r="F2851" s="23"/>
      <c r="G2851" s="23"/>
      <c r="H2851" s="23"/>
      <c r="I2851" s="23"/>
      <c r="J2851" s="23"/>
      <c r="K2851" s="23"/>
      <c r="L2851" s="23"/>
      <c r="M2851" s="25"/>
      <c r="N2851" s="23"/>
      <c r="O2851" s="23"/>
      <c r="P2851" s="24"/>
    </row>
    <row r="2852" spans="1:16" ht="9.75" customHeight="1">
      <c r="A2852" s="28"/>
      <c r="B2852" s="25" t="s">
        <v>104</v>
      </c>
      <c r="C2852" s="25"/>
      <c r="D2852" s="23"/>
      <c r="E2852" s="23"/>
      <c r="F2852" s="23"/>
      <c r="G2852" s="23"/>
      <c r="H2852" s="23"/>
      <c r="I2852" s="23"/>
      <c r="J2852" s="23"/>
      <c r="K2852" s="23"/>
      <c r="L2852" s="23"/>
      <c r="M2852" s="25"/>
      <c r="N2852" s="23"/>
      <c r="O2852" s="23"/>
      <c r="P2852" s="24"/>
    </row>
    <row r="2853" spans="1:16" ht="9.75" customHeight="1">
      <c r="A2853" s="28"/>
      <c r="B2853" s="25" t="s">
        <v>104</v>
      </c>
      <c r="C2853" s="25"/>
      <c r="D2853" s="23"/>
      <c r="E2853" s="23"/>
      <c r="F2853" s="23"/>
      <c r="G2853" s="23"/>
      <c r="H2853" s="23"/>
      <c r="I2853" s="23"/>
      <c r="J2853" s="23"/>
      <c r="K2853" s="23"/>
      <c r="L2853" s="23"/>
      <c r="M2853" s="25"/>
      <c r="N2853" s="23"/>
      <c r="O2853" s="23"/>
      <c r="P2853" s="24"/>
    </row>
    <row r="2854" spans="1:16" ht="9.75" customHeight="1">
      <c r="A2854" s="28"/>
      <c r="B2854" s="25" t="s">
        <v>104</v>
      </c>
      <c r="C2854" s="25"/>
      <c r="D2854" s="23"/>
      <c r="E2854" s="23"/>
      <c r="F2854" s="23"/>
      <c r="G2854" s="23"/>
      <c r="H2854" s="23"/>
      <c r="I2854" s="23"/>
      <c r="J2854" s="23"/>
      <c r="K2854" s="23"/>
      <c r="L2854" s="23"/>
      <c r="M2854" s="25"/>
      <c r="N2854" s="23"/>
      <c r="O2854" s="23"/>
      <c r="P2854" s="24"/>
    </row>
    <row r="2855" spans="1:16" ht="9.75" customHeight="1">
      <c r="A2855" s="28"/>
      <c r="B2855" s="25" t="s">
        <v>104</v>
      </c>
      <c r="C2855" s="25"/>
      <c r="D2855" s="23"/>
      <c r="E2855" s="23"/>
      <c r="F2855" s="23"/>
      <c r="G2855" s="23"/>
      <c r="H2855" s="23"/>
      <c r="I2855" s="23"/>
      <c r="J2855" s="23"/>
      <c r="K2855" s="23"/>
      <c r="L2855" s="23"/>
      <c r="M2855" s="25"/>
      <c r="N2855" s="23"/>
      <c r="O2855" s="23"/>
      <c r="P2855" s="24"/>
    </row>
    <row r="2856" spans="1:16" ht="9.75" customHeight="1">
      <c r="A2856" s="28"/>
      <c r="B2856" s="25" t="s">
        <v>34</v>
      </c>
      <c r="C2856" s="25"/>
      <c r="D2856" s="23"/>
      <c r="E2856" s="23"/>
      <c r="F2856" s="23"/>
      <c r="G2856" s="23"/>
      <c r="H2856" s="23"/>
      <c r="I2856" s="23"/>
      <c r="J2856" s="23"/>
      <c r="K2856" s="23"/>
      <c r="L2856" s="23"/>
      <c r="M2856" s="25"/>
      <c r="N2856" s="23"/>
      <c r="O2856" s="23"/>
      <c r="P2856" s="24"/>
    </row>
    <row r="2857" spans="1:16" ht="9.75" customHeight="1">
      <c r="A2857" s="28"/>
      <c r="B2857" s="25" t="s">
        <v>35</v>
      </c>
      <c r="C2857" s="25"/>
      <c r="D2857" s="23"/>
      <c r="E2857" s="23"/>
      <c r="F2857" s="23"/>
      <c r="G2857" s="23"/>
      <c r="H2857" s="23"/>
      <c r="I2857" s="23"/>
      <c r="J2857" s="23"/>
      <c r="K2857" s="23"/>
      <c r="L2857" s="23"/>
      <c r="M2857" s="25"/>
      <c r="N2857" s="23"/>
      <c r="O2857" s="23"/>
      <c r="P2857" s="24"/>
    </row>
    <row r="2858" spans="1:16" ht="9.75" customHeight="1">
      <c r="A2858" s="28"/>
      <c r="B2858" s="25" t="s">
        <v>36</v>
      </c>
      <c r="C2858" s="25"/>
      <c r="D2858" s="23"/>
      <c r="E2858" s="23"/>
      <c r="F2858" s="23"/>
      <c r="G2858" s="23"/>
      <c r="H2858" s="23"/>
      <c r="I2858" s="23"/>
      <c r="J2858" s="23"/>
      <c r="K2858" s="23"/>
      <c r="L2858" s="23"/>
      <c r="M2858" s="25"/>
      <c r="N2858" s="23"/>
      <c r="O2858" s="23"/>
      <c r="P2858" s="24"/>
    </row>
    <row r="2859" spans="1:16" ht="9.75" customHeight="1">
      <c r="A2859" s="28"/>
      <c r="B2859" s="31" t="s">
        <v>37</v>
      </c>
      <c r="C2859" s="31"/>
      <c r="D2859" s="30"/>
      <c r="E2859" s="30"/>
      <c r="F2859" s="30"/>
      <c r="G2859" s="30"/>
      <c r="H2859" s="30"/>
      <c r="I2859" s="30"/>
      <c r="J2859" s="30"/>
      <c r="K2859" s="30"/>
      <c r="L2859" s="30"/>
      <c r="M2859" s="31"/>
      <c r="N2859" s="30"/>
      <c r="O2859" s="30"/>
      <c r="P2859" s="198"/>
    </row>
    <row r="2860" spans="1:16" ht="9.75" customHeight="1">
      <c r="A2860" s="89"/>
      <c r="B2860" s="46" t="s">
        <v>38</v>
      </c>
      <c r="C2860" s="199">
        <f t="shared" ref="C2860:M2860" si="526">SUM(C2844:C2859)</f>
        <v>30</v>
      </c>
      <c r="D2860" s="200">
        <f t="shared" si="526"/>
        <v>27</v>
      </c>
      <c r="E2860" s="200">
        <f t="shared" si="526"/>
        <v>25</v>
      </c>
      <c r="F2860" s="200">
        <f t="shared" si="526"/>
        <v>22</v>
      </c>
      <c r="G2860" s="200">
        <f t="shared" si="526"/>
        <v>22</v>
      </c>
      <c r="H2860" s="200">
        <f t="shared" si="526"/>
        <v>22</v>
      </c>
      <c r="I2860" s="200">
        <f t="shared" si="526"/>
        <v>24</v>
      </c>
      <c r="J2860" s="200">
        <f t="shared" si="526"/>
        <v>24</v>
      </c>
      <c r="K2860" s="200">
        <f t="shared" si="526"/>
        <v>25</v>
      </c>
      <c r="L2860" s="200">
        <f t="shared" si="526"/>
        <v>24</v>
      </c>
      <c r="M2860" s="199">
        <f t="shared" si="526"/>
        <v>24</v>
      </c>
      <c r="N2860" s="200">
        <f t="shared" ref="N2860:N2861" si="527">MIN(D2860:M2860)</f>
        <v>22</v>
      </c>
      <c r="O2860" s="200">
        <f t="shared" ref="O2860:O2861" si="528">C2860-N2860</f>
        <v>8</v>
      </c>
      <c r="P2860" s="201">
        <f t="shared" ref="P2860:P2861" si="529">O2860/C2860</f>
        <v>0.26666666666666666</v>
      </c>
    </row>
    <row r="2861" spans="1:16" ht="9.75" customHeight="1">
      <c r="A2861" s="28" t="s">
        <v>381</v>
      </c>
      <c r="B2861" s="25" t="s">
        <v>23</v>
      </c>
      <c r="C2861" s="87">
        <v>44</v>
      </c>
      <c r="D2861" s="137">
        <v>3</v>
      </c>
      <c r="E2861" s="137">
        <v>0</v>
      </c>
      <c r="F2861" s="137">
        <v>0</v>
      </c>
      <c r="G2861" s="137">
        <v>0</v>
      </c>
      <c r="H2861" s="137">
        <v>0</v>
      </c>
      <c r="I2861" s="137">
        <v>1</v>
      </c>
      <c r="J2861" s="137">
        <v>6</v>
      </c>
      <c r="K2861" s="137">
        <v>1</v>
      </c>
      <c r="L2861" s="137">
        <v>2</v>
      </c>
      <c r="M2861" s="138">
        <v>9</v>
      </c>
      <c r="N2861" s="52">
        <f t="shared" si="527"/>
        <v>0</v>
      </c>
      <c r="O2861" s="52">
        <f t="shared" si="528"/>
        <v>44</v>
      </c>
      <c r="P2861" s="54">
        <f t="shared" si="529"/>
        <v>1</v>
      </c>
    </row>
    <row r="2862" spans="1:16" ht="9.75" customHeight="1">
      <c r="A2862" s="57"/>
      <c r="B2862" s="25" t="s">
        <v>25</v>
      </c>
      <c r="C2862" s="25"/>
      <c r="D2862" s="23"/>
      <c r="E2862" s="23"/>
      <c r="F2862" s="23"/>
      <c r="G2862" s="23"/>
      <c r="H2862" s="23"/>
      <c r="I2862" s="23"/>
      <c r="J2862" s="23"/>
      <c r="K2862" s="23"/>
      <c r="L2862" s="23"/>
      <c r="M2862" s="25"/>
      <c r="N2862" s="23"/>
      <c r="O2862" s="23"/>
      <c r="P2862" s="24"/>
    </row>
    <row r="2863" spans="1:16" ht="9.75" customHeight="1">
      <c r="A2863" s="57"/>
      <c r="B2863" s="25" t="s">
        <v>27</v>
      </c>
      <c r="C2863" s="25"/>
      <c r="D2863" s="23"/>
      <c r="E2863" s="23"/>
      <c r="F2863" s="23"/>
      <c r="G2863" s="23"/>
      <c r="H2863" s="23"/>
      <c r="I2863" s="23"/>
      <c r="J2863" s="23"/>
      <c r="K2863" s="23"/>
      <c r="L2863" s="23"/>
      <c r="M2863" s="25"/>
      <c r="N2863" s="23"/>
      <c r="O2863" s="23"/>
      <c r="P2863" s="24"/>
    </row>
    <row r="2864" spans="1:16" ht="9.75" customHeight="1">
      <c r="A2864" s="57"/>
      <c r="B2864" s="25" t="s">
        <v>99</v>
      </c>
      <c r="C2864" s="25"/>
      <c r="D2864" s="23"/>
      <c r="E2864" s="23"/>
      <c r="F2864" s="23"/>
      <c r="G2864" s="23"/>
      <c r="H2864" s="23"/>
      <c r="I2864" s="23"/>
      <c r="J2864" s="23"/>
      <c r="K2864" s="23"/>
      <c r="L2864" s="23"/>
      <c r="M2864" s="25"/>
      <c r="N2864" s="23"/>
      <c r="O2864" s="23"/>
      <c r="P2864" s="24"/>
    </row>
    <row r="2865" spans="1:16" ht="9.75" customHeight="1">
      <c r="A2865" s="28"/>
      <c r="B2865" s="25" t="s">
        <v>99</v>
      </c>
      <c r="C2865" s="25"/>
      <c r="D2865" s="23"/>
      <c r="E2865" s="23"/>
      <c r="F2865" s="23"/>
      <c r="G2865" s="23"/>
      <c r="H2865" s="23"/>
      <c r="I2865" s="23"/>
      <c r="J2865" s="23"/>
      <c r="K2865" s="23"/>
      <c r="L2865" s="23"/>
      <c r="M2865" s="25"/>
      <c r="N2865" s="23"/>
      <c r="O2865" s="23"/>
      <c r="P2865" s="24"/>
    </row>
    <row r="2866" spans="1:16" ht="9.75" customHeight="1">
      <c r="A2866" s="28"/>
      <c r="B2866" s="25" t="s">
        <v>32</v>
      </c>
      <c r="C2866" s="25"/>
      <c r="D2866" s="23"/>
      <c r="E2866" s="23"/>
      <c r="F2866" s="23"/>
      <c r="G2866" s="23"/>
      <c r="H2866" s="23"/>
      <c r="I2866" s="23"/>
      <c r="J2866" s="23"/>
      <c r="K2866" s="23"/>
      <c r="L2866" s="23"/>
      <c r="M2866" s="25"/>
      <c r="N2866" s="23"/>
      <c r="O2866" s="23"/>
      <c r="P2866" s="24"/>
    </row>
    <row r="2867" spans="1:16" ht="9.75" customHeight="1">
      <c r="A2867" s="28"/>
      <c r="B2867" s="25" t="s">
        <v>104</v>
      </c>
      <c r="C2867" s="25"/>
      <c r="D2867" s="23"/>
      <c r="E2867" s="23"/>
      <c r="F2867" s="23"/>
      <c r="G2867" s="23"/>
      <c r="H2867" s="23"/>
      <c r="I2867" s="23"/>
      <c r="J2867" s="23"/>
      <c r="K2867" s="23"/>
      <c r="L2867" s="23"/>
      <c r="M2867" s="25"/>
      <c r="N2867" s="23"/>
      <c r="O2867" s="23"/>
      <c r="P2867" s="24"/>
    </row>
    <row r="2868" spans="1:16" ht="9.75" customHeight="1">
      <c r="A2868" s="28"/>
      <c r="B2868" s="25" t="s">
        <v>104</v>
      </c>
      <c r="C2868" s="25"/>
      <c r="D2868" s="23"/>
      <c r="E2868" s="23"/>
      <c r="F2868" s="23"/>
      <c r="G2868" s="23"/>
      <c r="H2868" s="23"/>
      <c r="I2868" s="23"/>
      <c r="J2868" s="23"/>
      <c r="K2868" s="23"/>
      <c r="L2868" s="23"/>
      <c r="M2868" s="25"/>
      <c r="N2868" s="23"/>
      <c r="O2868" s="23"/>
      <c r="P2868" s="24"/>
    </row>
    <row r="2869" spans="1:16" ht="9.75" customHeight="1">
      <c r="A2869" s="28"/>
      <c r="B2869" s="25" t="s">
        <v>104</v>
      </c>
      <c r="C2869" s="25"/>
      <c r="D2869" s="23"/>
      <c r="E2869" s="23"/>
      <c r="F2869" s="23"/>
      <c r="G2869" s="23"/>
      <c r="H2869" s="23"/>
      <c r="I2869" s="23"/>
      <c r="J2869" s="23"/>
      <c r="K2869" s="23"/>
      <c r="L2869" s="23"/>
      <c r="M2869" s="25"/>
      <c r="N2869" s="23"/>
      <c r="O2869" s="23"/>
      <c r="P2869" s="24"/>
    </row>
    <row r="2870" spans="1:16" ht="9.75" customHeight="1">
      <c r="A2870" s="28"/>
      <c r="B2870" s="25" t="s">
        <v>104</v>
      </c>
      <c r="C2870" s="25"/>
      <c r="D2870" s="23"/>
      <c r="E2870" s="23"/>
      <c r="F2870" s="23"/>
      <c r="G2870" s="23"/>
      <c r="H2870" s="23"/>
      <c r="I2870" s="23"/>
      <c r="J2870" s="23"/>
      <c r="K2870" s="23"/>
      <c r="L2870" s="23"/>
      <c r="M2870" s="25"/>
      <c r="N2870" s="23"/>
      <c r="O2870" s="23"/>
      <c r="P2870" s="24"/>
    </row>
    <row r="2871" spans="1:16" ht="9.75" customHeight="1">
      <c r="A2871" s="28"/>
      <c r="B2871" s="25" t="s">
        <v>104</v>
      </c>
      <c r="C2871" s="25"/>
      <c r="D2871" s="23"/>
      <c r="E2871" s="23"/>
      <c r="F2871" s="23"/>
      <c r="G2871" s="23"/>
      <c r="H2871" s="23"/>
      <c r="I2871" s="23"/>
      <c r="J2871" s="23"/>
      <c r="K2871" s="23"/>
      <c r="L2871" s="23"/>
      <c r="M2871" s="25"/>
      <c r="N2871" s="23"/>
      <c r="O2871" s="23"/>
      <c r="P2871" s="24"/>
    </row>
    <row r="2872" spans="1:16" ht="9.75" customHeight="1">
      <c r="A2872" s="28"/>
      <c r="B2872" s="25" t="s">
        <v>104</v>
      </c>
      <c r="C2872" s="25"/>
      <c r="D2872" s="23"/>
      <c r="E2872" s="23"/>
      <c r="F2872" s="23"/>
      <c r="G2872" s="23"/>
      <c r="H2872" s="23"/>
      <c r="I2872" s="23"/>
      <c r="J2872" s="23"/>
      <c r="K2872" s="23"/>
      <c r="L2872" s="23"/>
      <c r="M2872" s="25"/>
      <c r="N2872" s="23"/>
      <c r="O2872" s="23"/>
      <c r="P2872" s="24"/>
    </row>
    <row r="2873" spans="1:16" ht="9.75" customHeight="1">
      <c r="A2873" s="28"/>
      <c r="B2873" s="25" t="s">
        <v>34</v>
      </c>
      <c r="C2873" s="87">
        <v>3</v>
      </c>
      <c r="D2873" s="137">
        <v>2</v>
      </c>
      <c r="E2873" s="137">
        <v>2</v>
      </c>
      <c r="F2873" s="137">
        <v>2</v>
      </c>
      <c r="G2873" s="137">
        <v>2</v>
      </c>
      <c r="H2873" s="137">
        <v>2</v>
      </c>
      <c r="I2873" s="137">
        <v>3</v>
      </c>
      <c r="J2873" s="137">
        <v>3</v>
      </c>
      <c r="K2873" s="137">
        <v>1</v>
      </c>
      <c r="L2873" s="137">
        <v>1</v>
      </c>
      <c r="M2873" s="138">
        <v>1</v>
      </c>
      <c r="N2873" s="52">
        <f>MIN(D2873:M2873)</f>
        <v>1</v>
      </c>
      <c r="O2873" s="52">
        <f>C2873-N2873</f>
        <v>2</v>
      </c>
      <c r="P2873" s="54">
        <f>O2873/C2873</f>
        <v>0.66666666666666663</v>
      </c>
    </row>
    <row r="2874" spans="1:16" ht="9.75" customHeight="1">
      <c r="A2874" s="28"/>
      <c r="B2874" s="25" t="s">
        <v>35</v>
      </c>
      <c r="C2874" s="25"/>
      <c r="D2874" s="23"/>
      <c r="E2874" s="23"/>
      <c r="F2874" s="23"/>
      <c r="G2874" s="23"/>
      <c r="H2874" s="23"/>
      <c r="I2874" s="23"/>
      <c r="J2874" s="23"/>
      <c r="K2874" s="23"/>
      <c r="L2874" s="23"/>
      <c r="M2874" s="25"/>
      <c r="N2874" s="23"/>
      <c r="O2874" s="23"/>
      <c r="P2874" s="24"/>
    </row>
    <row r="2875" spans="1:16" ht="9.75" customHeight="1">
      <c r="A2875" s="28"/>
      <c r="B2875" s="25" t="s">
        <v>36</v>
      </c>
      <c r="C2875" s="25"/>
      <c r="D2875" s="23"/>
      <c r="E2875" s="23"/>
      <c r="F2875" s="23"/>
      <c r="G2875" s="23"/>
      <c r="H2875" s="23"/>
      <c r="I2875" s="23"/>
      <c r="J2875" s="23"/>
      <c r="K2875" s="23"/>
      <c r="L2875" s="23"/>
      <c r="M2875" s="25"/>
      <c r="N2875" s="23"/>
      <c r="O2875" s="23"/>
      <c r="P2875" s="24"/>
    </row>
    <row r="2876" spans="1:16" ht="9.75" customHeight="1">
      <c r="A2876" s="28"/>
      <c r="B2876" s="31" t="s">
        <v>37</v>
      </c>
      <c r="C2876" s="31"/>
      <c r="D2876" s="30"/>
      <c r="E2876" s="30"/>
      <c r="F2876" s="30"/>
      <c r="G2876" s="30"/>
      <c r="H2876" s="30"/>
      <c r="I2876" s="30"/>
      <c r="J2876" s="30"/>
      <c r="K2876" s="30"/>
      <c r="L2876" s="30"/>
      <c r="M2876" s="31"/>
      <c r="N2876" s="30"/>
      <c r="O2876" s="30"/>
      <c r="P2876" s="198"/>
    </row>
    <row r="2877" spans="1:16" ht="9.75" customHeight="1">
      <c r="A2877" s="89"/>
      <c r="B2877" s="46" t="s">
        <v>38</v>
      </c>
      <c r="C2877" s="199">
        <f t="shared" ref="C2877:M2877" si="530">SUM(C2861:C2876)</f>
        <v>47</v>
      </c>
      <c r="D2877" s="200">
        <f t="shared" si="530"/>
        <v>5</v>
      </c>
      <c r="E2877" s="200">
        <f t="shared" si="530"/>
        <v>2</v>
      </c>
      <c r="F2877" s="200">
        <f t="shared" si="530"/>
        <v>2</v>
      </c>
      <c r="G2877" s="200">
        <f t="shared" si="530"/>
        <v>2</v>
      </c>
      <c r="H2877" s="200">
        <f t="shared" si="530"/>
        <v>2</v>
      </c>
      <c r="I2877" s="200">
        <f t="shared" si="530"/>
        <v>4</v>
      </c>
      <c r="J2877" s="200">
        <f t="shared" si="530"/>
        <v>9</v>
      </c>
      <c r="K2877" s="200">
        <f t="shared" si="530"/>
        <v>2</v>
      </c>
      <c r="L2877" s="200">
        <f t="shared" si="530"/>
        <v>3</v>
      </c>
      <c r="M2877" s="199">
        <f t="shared" si="530"/>
        <v>10</v>
      </c>
      <c r="N2877" s="200">
        <f t="shared" ref="N2877:N2878" si="531">MIN(D2877:M2877)</f>
        <v>2</v>
      </c>
      <c r="O2877" s="200">
        <f t="shared" ref="O2877:O2878" si="532">C2877-N2877</f>
        <v>45</v>
      </c>
      <c r="P2877" s="201">
        <f t="shared" ref="P2877:P2878" si="533">O2877/C2877</f>
        <v>0.95744680851063835</v>
      </c>
    </row>
    <row r="2878" spans="1:16" ht="9.75" customHeight="1">
      <c r="A2878" s="28" t="s">
        <v>382</v>
      </c>
      <c r="B2878" s="25" t="s">
        <v>23</v>
      </c>
      <c r="C2878" s="87">
        <v>47</v>
      </c>
      <c r="D2878" s="137">
        <v>42</v>
      </c>
      <c r="E2878" s="137">
        <v>0</v>
      </c>
      <c r="F2878" s="137">
        <v>0</v>
      </c>
      <c r="G2878" s="137">
        <v>0</v>
      </c>
      <c r="H2878" s="137">
        <v>0</v>
      </c>
      <c r="I2878" s="137">
        <v>2</v>
      </c>
      <c r="J2878" s="137">
        <v>3</v>
      </c>
      <c r="K2878" s="137">
        <v>6</v>
      </c>
      <c r="L2878" s="137">
        <v>10</v>
      </c>
      <c r="M2878" s="138">
        <v>16</v>
      </c>
      <c r="N2878" s="52">
        <f t="shared" si="531"/>
        <v>0</v>
      </c>
      <c r="O2878" s="52">
        <f t="shared" si="532"/>
        <v>47</v>
      </c>
      <c r="P2878" s="54">
        <f t="shared" si="533"/>
        <v>1</v>
      </c>
    </row>
    <row r="2879" spans="1:16" ht="9.75" customHeight="1">
      <c r="A2879" s="57"/>
      <c r="B2879" s="25" t="s">
        <v>25</v>
      </c>
      <c r="C2879" s="25"/>
      <c r="D2879" s="23"/>
      <c r="E2879" s="23"/>
      <c r="F2879" s="23"/>
      <c r="G2879" s="23"/>
      <c r="H2879" s="23"/>
      <c r="I2879" s="23"/>
      <c r="J2879" s="23"/>
      <c r="K2879" s="23"/>
      <c r="L2879" s="23"/>
      <c r="M2879" s="25"/>
      <c r="N2879" s="23"/>
      <c r="O2879" s="23"/>
      <c r="P2879" s="24"/>
    </row>
    <row r="2880" spans="1:16" ht="9.75" customHeight="1">
      <c r="A2880" s="57"/>
      <c r="B2880" s="25" t="s">
        <v>27</v>
      </c>
      <c r="C2880" s="25"/>
      <c r="D2880" s="23"/>
      <c r="E2880" s="23"/>
      <c r="F2880" s="23"/>
      <c r="G2880" s="23"/>
      <c r="H2880" s="23"/>
      <c r="I2880" s="23"/>
      <c r="J2880" s="23"/>
      <c r="K2880" s="23"/>
      <c r="L2880" s="23"/>
      <c r="M2880" s="25"/>
      <c r="N2880" s="23"/>
      <c r="O2880" s="23"/>
      <c r="P2880" s="24"/>
    </row>
    <row r="2881" spans="1:16" ht="9.75" customHeight="1">
      <c r="A2881" s="57"/>
      <c r="B2881" s="25" t="s">
        <v>99</v>
      </c>
      <c r="C2881" s="25"/>
      <c r="D2881" s="23"/>
      <c r="E2881" s="23"/>
      <c r="F2881" s="23"/>
      <c r="G2881" s="23"/>
      <c r="H2881" s="23"/>
      <c r="I2881" s="23"/>
      <c r="J2881" s="23"/>
      <c r="K2881" s="23"/>
      <c r="L2881" s="23"/>
      <c r="M2881" s="25"/>
      <c r="N2881" s="23"/>
      <c r="O2881" s="23"/>
      <c r="P2881" s="24"/>
    </row>
    <row r="2882" spans="1:16" ht="9.75" customHeight="1">
      <c r="A2882" s="28"/>
      <c r="B2882" s="25" t="s">
        <v>99</v>
      </c>
      <c r="C2882" s="25"/>
      <c r="D2882" s="23"/>
      <c r="E2882" s="23"/>
      <c r="F2882" s="23"/>
      <c r="G2882" s="23"/>
      <c r="H2882" s="23"/>
      <c r="I2882" s="23"/>
      <c r="J2882" s="23"/>
      <c r="K2882" s="23"/>
      <c r="L2882" s="23"/>
      <c r="M2882" s="25"/>
      <c r="N2882" s="23"/>
      <c r="O2882" s="23"/>
      <c r="P2882" s="24"/>
    </row>
    <row r="2883" spans="1:16" ht="9.75" customHeight="1">
      <c r="A2883" s="28"/>
      <c r="B2883" s="25" t="s">
        <v>32</v>
      </c>
      <c r="C2883" s="25"/>
      <c r="D2883" s="23"/>
      <c r="E2883" s="23"/>
      <c r="F2883" s="23"/>
      <c r="G2883" s="23"/>
      <c r="H2883" s="23"/>
      <c r="I2883" s="23"/>
      <c r="J2883" s="23"/>
      <c r="K2883" s="23"/>
      <c r="L2883" s="23"/>
      <c r="M2883" s="25"/>
      <c r="N2883" s="23"/>
      <c r="O2883" s="23"/>
      <c r="P2883" s="24"/>
    </row>
    <row r="2884" spans="1:16" ht="9.75" customHeight="1">
      <c r="A2884" s="28"/>
      <c r="B2884" s="25" t="s">
        <v>104</v>
      </c>
      <c r="C2884" s="25"/>
      <c r="D2884" s="23"/>
      <c r="E2884" s="23"/>
      <c r="F2884" s="23"/>
      <c r="G2884" s="23"/>
      <c r="H2884" s="23"/>
      <c r="I2884" s="23"/>
      <c r="J2884" s="23"/>
      <c r="K2884" s="23"/>
      <c r="L2884" s="23"/>
      <c r="M2884" s="25"/>
      <c r="N2884" s="23"/>
      <c r="O2884" s="23"/>
      <c r="P2884" s="24"/>
    </row>
    <row r="2885" spans="1:16" ht="9.75" customHeight="1">
      <c r="A2885" s="28"/>
      <c r="B2885" s="25" t="s">
        <v>104</v>
      </c>
      <c r="C2885" s="25"/>
      <c r="D2885" s="23"/>
      <c r="E2885" s="23"/>
      <c r="F2885" s="23"/>
      <c r="G2885" s="23"/>
      <c r="H2885" s="23"/>
      <c r="I2885" s="23"/>
      <c r="J2885" s="23"/>
      <c r="K2885" s="23"/>
      <c r="L2885" s="23"/>
      <c r="M2885" s="25"/>
      <c r="N2885" s="23"/>
      <c r="O2885" s="23"/>
      <c r="P2885" s="24"/>
    </row>
    <row r="2886" spans="1:16" ht="9.75" customHeight="1">
      <c r="A2886" s="28"/>
      <c r="B2886" s="25" t="s">
        <v>104</v>
      </c>
      <c r="C2886" s="25"/>
      <c r="D2886" s="23"/>
      <c r="E2886" s="23"/>
      <c r="F2886" s="23"/>
      <c r="G2886" s="23"/>
      <c r="H2886" s="23"/>
      <c r="I2886" s="23"/>
      <c r="J2886" s="23"/>
      <c r="K2886" s="23"/>
      <c r="L2886" s="23"/>
      <c r="M2886" s="25"/>
      <c r="N2886" s="23"/>
      <c r="O2886" s="23"/>
      <c r="P2886" s="24"/>
    </row>
    <row r="2887" spans="1:16" ht="9.75" customHeight="1">
      <c r="A2887" s="28"/>
      <c r="B2887" s="25" t="s">
        <v>104</v>
      </c>
      <c r="C2887" s="25"/>
      <c r="D2887" s="23"/>
      <c r="E2887" s="23"/>
      <c r="F2887" s="23"/>
      <c r="G2887" s="23"/>
      <c r="H2887" s="23"/>
      <c r="I2887" s="23"/>
      <c r="J2887" s="23"/>
      <c r="K2887" s="23"/>
      <c r="L2887" s="23"/>
      <c r="M2887" s="25"/>
      <c r="N2887" s="23"/>
      <c r="O2887" s="23"/>
      <c r="P2887" s="24"/>
    </row>
    <row r="2888" spans="1:16" ht="9.75" customHeight="1">
      <c r="A2888" s="28"/>
      <c r="B2888" s="25" t="s">
        <v>104</v>
      </c>
      <c r="C2888" s="25"/>
      <c r="D2888" s="23"/>
      <c r="E2888" s="23"/>
      <c r="F2888" s="23"/>
      <c r="G2888" s="23"/>
      <c r="H2888" s="23"/>
      <c r="I2888" s="23"/>
      <c r="J2888" s="23"/>
      <c r="K2888" s="23"/>
      <c r="L2888" s="23"/>
      <c r="M2888" s="25"/>
      <c r="N2888" s="23"/>
      <c r="O2888" s="23"/>
      <c r="P2888" s="24"/>
    </row>
    <row r="2889" spans="1:16" ht="9.75" customHeight="1">
      <c r="A2889" s="28"/>
      <c r="B2889" s="25" t="s">
        <v>104</v>
      </c>
      <c r="C2889" s="25"/>
      <c r="D2889" s="23"/>
      <c r="E2889" s="23"/>
      <c r="F2889" s="23"/>
      <c r="G2889" s="23"/>
      <c r="H2889" s="23"/>
      <c r="I2889" s="23"/>
      <c r="J2889" s="23"/>
      <c r="K2889" s="23"/>
      <c r="L2889" s="23"/>
      <c r="M2889" s="25"/>
      <c r="N2889" s="23"/>
      <c r="O2889" s="23"/>
      <c r="P2889" s="24"/>
    </row>
    <row r="2890" spans="1:16" ht="9.75" customHeight="1">
      <c r="A2890" s="28"/>
      <c r="B2890" s="25" t="s">
        <v>34</v>
      </c>
      <c r="C2890" s="25"/>
      <c r="D2890" s="23"/>
      <c r="E2890" s="23"/>
      <c r="F2890" s="23"/>
      <c r="G2890" s="23"/>
      <c r="H2890" s="23"/>
      <c r="I2890" s="23"/>
      <c r="J2890" s="23"/>
      <c r="K2890" s="23"/>
      <c r="L2890" s="23"/>
      <c r="M2890" s="25"/>
      <c r="N2890" s="23"/>
      <c r="O2890" s="23"/>
      <c r="P2890" s="24"/>
    </row>
    <row r="2891" spans="1:16" ht="9.75" customHeight="1">
      <c r="A2891" s="28"/>
      <c r="B2891" s="25" t="s">
        <v>35</v>
      </c>
      <c r="C2891" s="25"/>
      <c r="D2891" s="23"/>
      <c r="E2891" s="23"/>
      <c r="F2891" s="23"/>
      <c r="G2891" s="23"/>
      <c r="H2891" s="23"/>
      <c r="I2891" s="23"/>
      <c r="J2891" s="23"/>
      <c r="K2891" s="23"/>
      <c r="L2891" s="23"/>
      <c r="M2891" s="25"/>
      <c r="N2891" s="23"/>
      <c r="O2891" s="23"/>
      <c r="P2891" s="24"/>
    </row>
    <row r="2892" spans="1:16" ht="9.75" customHeight="1">
      <c r="A2892" s="28"/>
      <c r="B2892" s="25" t="s">
        <v>36</v>
      </c>
      <c r="C2892" s="25"/>
      <c r="D2892" s="23"/>
      <c r="E2892" s="23"/>
      <c r="F2892" s="23"/>
      <c r="G2892" s="23"/>
      <c r="H2892" s="23"/>
      <c r="I2892" s="23"/>
      <c r="J2892" s="23"/>
      <c r="K2892" s="23"/>
      <c r="L2892" s="23"/>
      <c r="M2892" s="25"/>
      <c r="N2892" s="23"/>
      <c r="O2892" s="23"/>
      <c r="P2892" s="24"/>
    </row>
    <row r="2893" spans="1:16" ht="9.75" customHeight="1">
      <c r="A2893" s="28"/>
      <c r="B2893" s="31" t="s">
        <v>37</v>
      </c>
      <c r="C2893" s="31"/>
      <c r="D2893" s="30"/>
      <c r="E2893" s="30"/>
      <c r="F2893" s="30"/>
      <c r="G2893" s="30"/>
      <c r="H2893" s="30"/>
      <c r="I2893" s="30"/>
      <c r="J2893" s="30"/>
      <c r="K2893" s="30"/>
      <c r="L2893" s="30"/>
      <c r="M2893" s="31"/>
      <c r="N2893" s="30"/>
      <c r="O2893" s="30"/>
      <c r="P2893" s="198"/>
    </row>
    <row r="2894" spans="1:16" ht="9.75" customHeight="1">
      <c r="A2894" s="89"/>
      <c r="B2894" s="46" t="s">
        <v>38</v>
      </c>
      <c r="C2894" s="199">
        <f t="shared" ref="C2894:M2894" si="534">SUM(C2878:C2893)</f>
        <v>47</v>
      </c>
      <c r="D2894" s="200">
        <f t="shared" si="534"/>
        <v>42</v>
      </c>
      <c r="E2894" s="200">
        <f t="shared" si="534"/>
        <v>0</v>
      </c>
      <c r="F2894" s="200">
        <f t="shared" si="534"/>
        <v>0</v>
      </c>
      <c r="G2894" s="200">
        <f t="shared" si="534"/>
        <v>0</v>
      </c>
      <c r="H2894" s="200">
        <f t="shared" si="534"/>
        <v>0</v>
      </c>
      <c r="I2894" s="200">
        <f t="shared" si="534"/>
        <v>2</v>
      </c>
      <c r="J2894" s="200">
        <f t="shared" si="534"/>
        <v>3</v>
      </c>
      <c r="K2894" s="200">
        <f t="shared" si="534"/>
        <v>6</v>
      </c>
      <c r="L2894" s="200">
        <f t="shared" si="534"/>
        <v>10</v>
      </c>
      <c r="M2894" s="199">
        <f t="shared" si="534"/>
        <v>16</v>
      </c>
      <c r="N2894" s="200">
        <f t="shared" ref="N2894:N2895" si="535">MIN(D2894:M2894)</f>
        <v>0</v>
      </c>
      <c r="O2894" s="200">
        <f t="shared" ref="O2894:O2895" si="536">C2894-N2894</f>
        <v>47</v>
      </c>
      <c r="P2894" s="201">
        <f t="shared" ref="P2894:P2895" si="537">O2894/C2894</f>
        <v>1</v>
      </c>
    </row>
    <row r="2895" spans="1:16" ht="9.75" customHeight="1">
      <c r="A2895" s="28" t="s">
        <v>383</v>
      </c>
      <c r="B2895" s="25" t="s">
        <v>23</v>
      </c>
      <c r="C2895" s="87">
        <v>45</v>
      </c>
      <c r="D2895" s="137">
        <v>38</v>
      </c>
      <c r="E2895" s="137">
        <v>0</v>
      </c>
      <c r="F2895" s="137">
        <v>0</v>
      </c>
      <c r="G2895" s="137">
        <v>0</v>
      </c>
      <c r="H2895" s="137">
        <v>2</v>
      </c>
      <c r="I2895" s="137">
        <v>5</v>
      </c>
      <c r="J2895" s="137">
        <v>5</v>
      </c>
      <c r="K2895" s="137">
        <v>8</v>
      </c>
      <c r="L2895" s="137">
        <v>18</v>
      </c>
      <c r="M2895" s="87">
        <f>C2895-24</f>
        <v>21</v>
      </c>
      <c r="N2895" s="52">
        <f t="shared" si="535"/>
        <v>0</v>
      </c>
      <c r="O2895" s="52">
        <f t="shared" si="536"/>
        <v>45</v>
      </c>
      <c r="P2895" s="54">
        <f t="shared" si="537"/>
        <v>1</v>
      </c>
    </row>
    <row r="2896" spans="1:16" ht="9.75" customHeight="1">
      <c r="A2896" s="57"/>
      <c r="B2896" s="25" t="s">
        <v>25</v>
      </c>
      <c r="C2896" s="25"/>
      <c r="D2896" s="23"/>
      <c r="E2896" s="23"/>
      <c r="F2896" s="23"/>
      <c r="G2896" s="23"/>
      <c r="H2896" s="23"/>
      <c r="I2896" s="23"/>
      <c r="J2896" s="23"/>
      <c r="K2896" s="23"/>
      <c r="L2896" s="23"/>
      <c r="M2896" s="25"/>
      <c r="N2896" s="23"/>
      <c r="O2896" s="23"/>
      <c r="P2896" s="24"/>
    </row>
    <row r="2897" spans="1:16" ht="9.75" customHeight="1">
      <c r="A2897" s="57"/>
      <c r="B2897" s="25" t="s">
        <v>27</v>
      </c>
      <c r="C2897" s="25"/>
      <c r="D2897" s="23"/>
      <c r="E2897" s="23"/>
      <c r="F2897" s="23"/>
      <c r="G2897" s="23"/>
      <c r="H2897" s="23"/>
      <c r="I2897" s="23"/>
      <c r="J2897" s="23"/>
      <c r="K2897" s="23"/>
      <c r="L2897" s="23"/>
      <c r="M2897" s="25"/>
      <c r="N2897" s="23"/>
      <c r="O2897" s="23"/>
      <c r="P2897" s="24"/>
    </row>
    <row r="2898" spans="1:16" ht="9.75" customHeight="1">
      <c r="A2898" s="57"/>
      <c r="B2898" s="25" t="s">
        <v>99</v>
      </c>
      <c r="C2898" s="25"/>
      <c r="D2898" s="23"/>
      <c r="E2898" s="23"/>
      <c r="F2898" s="23"/>
      <c r="G2898" s="23"/>
      <c r="H2898" s="23"/>
      <c r="I2898" s="23"/>
      <c r="J2898" s="23"/>
      <c r="K2898" s="23"/>
      <c r="L2898" s="23"/>
      <c r="M2898" s="25"/>
      <c r="N2898" s="23"/>
      <c r="O2898" s="23"/>
      <c r="P2898" s="24"/>
    </row>
    <row r="2899" spans="1:16" ht="9.75" customHeight="1">
      <c r="A2899" s="28"/>
      <c r="B2899" s="25" t="s">
        <v>99</v>
      </c>
      <c r="C2899" s="25"/>
      <c r="D2899" s="23"/>
      <c r="E2899" s="23"/>
      <c r="F2899" s="23"/>
      <c r="G2899" s="23"/>
      <c r="H2899" s="23"/>
      <c r="I2899" s="23"/>
      <c r="J2899" s="23"/>
      <c r="K2899" s="23"/>
      <c r="L2899" s="23"/>
      <c r="M2899" s="25"/>
      <c r="N2899" s="23"/>
      <c r="O2899" s="23"/>
      <c r="P2899" s="24"/>
    </row>
    <row r="2900" spans="1:16" ht="9.75" customHeight="1">
      <c r="A2900" s="28"/>
      <c r="B2900" s="25" t="s">
        <v>32</v>
      </c>
      <c r="C2900" s="25"/>
      <c r="D2900" s="23"/>
      <c r="E2900" s="23"/>
      <c r="F2900" s="23"/>
      <c r="G2900" s="23"/>
      <c r="H2900" s="23"/>
      <c r="I2900" s="23"/>
      <c r="J2900" s="23"/>
      <c r="K2900" s="23"/>
      <c r="L2900" s="23"/>
      <c r="M2900" s="25"/>
      <c r="N2900" s="23"/>
      <c r="O2900" s="23"/>
      <c r="P2900" s="24"/>
    </row>
    <row r="2901" spans="1:16" ht="9.75" customHeight="1">
      <c r="A2901" s="28"/>
      <c r="B2901" s="25" t="s">
        <v>104</v>
      </c>
      <c r="C2901" s="25"/>
      <c r="D2901" s="23"/>
      <c r="E2901" s="23"/>
      <c r="F2901" s="23"/>
      <c r="G2901" s="23"/>
      <c r="H2901" s="23"/>
      <c r="I2901" s="23"/>
      <c r="J2901" s="23"/>
      <c r="K2901" s="23"/>
      <c r="L2901" s="23"/>
      <c r="M2901" s="25"/>
      <c r="N2901" s="23"/>
      <c r="O2901" s="23"/>
      <c r="P2901" s="24"/>
    </row>
    <row r="2902" spans="1:16" ht="9.75" customHeight="1">
      <c r="A2902" s="28"/>
      <c r="B2902" s="25" t="s">
        <v>104</v>
      </c>
      <c r="C2902" s="25"/>
      <c r="D2902" s="23"/>
      <c r="E2902" s="23"/>
      <c r="F2902" s="23"/>
      <c r="G2902" s="23"/>
      <c r="H2902" s="23"/>
      <c r="I2902" s="23"/>
      <c r="J2902" s="23"/>
      <c r="K2902" s="23"/>
      <c r="L2902" s="23"/>
      <c r="M2902" s="25"/>
      <c r="N2902" s="23"/>
      <c r="O2902" s="23"/>
      <c r="P2902" s="24"/>
    </row>
    <row r="2903" spans="1:16" ht="9.75" customHeight="1">
      <c r="A2903" s="28"/>
      <c r="B2903" s="25" t="s">
        <v>104</v>
      </c>
      <c r="C2903" s="25"/>
      <c r="D2903" s="23"/>
      <c r="E2903" s="23"/>
      <c r="F2903" s="23"/>
      <c r="G2903" s="23"/>
      <c r="H2903" s="23"/>
      <c r="I2903" s="23"/>
      <c r="J2903" s="23"/>
      <c r="K2903" s="23"/>
      <c r="L2903" s="23"/>
      <c r="M2903" s="25"/>
      <c r="N2903" s="23"/>
      <c r="O2903" s="23"/>
      <c r="P2903" s="24"/>
    </row>
    <row r="2904" spans="1:16" ht="9.75" customHeight="1">
      <c r="A2904" s="28"/>
      <c r="B2904" s="25" t="s">
        <v>104</v>
      </c>
      <c r="C2904" s="25"/>
      <c r="D2904" s="23"/>
      <c r="E2904" s="23"/>
      <c r="F2904" s="23"/>
      <c r="G2904" s="23"/>
      <c r="H2904" s="23"/>
      <c r="I2904" s="23"/>
      <c r="J2904" s="23"/>
      <c r="K2904" s="23"/>
      <c r="L2904" s="23"/>
      <c r="M2904" s="25"/>
      <c r="N2904" s="23"/>
      <c r="O2904" s="23"/>
      <c r="P2904" s="24"/>
    </row>
    <row r="2905" spans="1:16" ht="9.75" customHeight="1">
      <c r="A2905" s="28"/>
      <c r="B2905" s="25" t="s">
        <v>104</v>
      </c>
      <c r="C2905" s="25"/>
      <c r="D2905" s="23"/>
      <c r="E2905" s="23"/>
      <c r="F2905" s="23"/>
      <c r="G2905" s="23"/>
      <c r="H2905" s="23"/>
      <c r="I2905" s="23"/>
      <c r="J2905" s="23"/>
      <c r="K2905" s="23"/>
      <c r="L2905" s="23"/>
      <c r="M2905" s="25"/>
      <c r="N2905" s="23"/>
      <c r="O2905" s="23"/>
      <c r="P2905" s="24"/>
    </row>
    <row r="2906" spans="1:16" ht="9.75" customHeight="1">
      <c r="A2906" s="28"/>
      <c r="B2906" s="25" t="s">
        <v>104</v>
      </c>
      <c r="C2906" s="25"/>
      <c r="D2906" s="23"/>
      <c r="E2906" s="23"/>
      <c r="F2906" s="23"/>
      <c r="G2906" s="23"/>
      <c r="H2906" s="23"/>
      <c r="I2906" s="23"/>
      <c r="J2906" s="23"/>
      <c r="K2906" s="23"/>
      <c r="L2906" s="23"/>
      <c r="M2906" s="25"/>
      <c r="N2906" s="23"/>
      <c r="O2906" s="23"/>
      <c r="P2906" s="24"/>
    </row>
    <row r="2907" spans="1:16" ht="9.75" customHeight="1">
      <c r="A2907" s="28"/>
      <c r="B2907" s="25" t="s">
        <v>34</v>
      </c>
      <c r="C2907" s="87">
        <v>1</v>
      </c>
      <c r="D2907" s="52">
        <v>1</v>
      </c>
      <c r="E2907" s="52">
        <v>1</v>
      </c>
      <c r="F2907" s="52">
        <v>1</v>
      </c>
      <c r="G2907" s="52">
        <v>1</v>
      </c>
      <c r="H2907" s="52">
        <v>1</v>
      </c>
      <c r="I2907" s="137">
        <v>1</v>
      </c>
      <c r="J2907" s="137">
        <v>1</v>
      </c>
      <c r="K2907" s="137">
        <v>1</v>
      </c>
      <c r="L2907" s="137">
        <v>1</v>
      </c>
      <c r="M2907" s="138">
        <v>1</v>
      </c>
      <c r="N2907" s="52">
        <f>MIN(D2907:M2907)</f>
        <v>1</v>
      </c>
      <c r="O2907" s="52">
        <f>C2907-N2907</f>
        <v>0</v>
      </c>
      <c r="P2907" s="54">
        <f>O2907/C2907</f>
        <v>0</v>
      </c>
    </row>
    <row r="2908" spans="1:16" ht="9.75" customHeight="1">
      <c r="A2908" s="28"/>
      <c r="B2908" s="25" t="s">
        <v>35</v>
      </c>
      <c r="C2908" s="25"/>
      <c r="D2908" s="23"/>
      <c r="E2908" s="23"/>
      <c r="F2908" s="23"/>
      <c r="G2908" s="23"/>
      <c r="H2908" s="23"/>
      <c r="I2908" s="23"/>
      <c r="J2908" s="23"/>
      <c r="K2908" s="23"/>
      <c r="L2908" s="23"/>
      <c r="M2908" s="25"/>
      <c r="N2908" s="23"/>
      <c r="O2908" s="23"/>
      <c r="P2908" s="24"/>
    </row>
    <row r="2909" spans="1:16" ht="9.75" customHeight="1">
      <c r="A2909" s="28"/>
      <c r="B2909" s="25" t="s">
        <v>36</v>
      </c>
      <c r="C2909" s="25"/>
      <c r="D2909" s="23"/>
      <c r="E2909" s="23"/>
      <c r="F2909" s="23"/>
      <c r="G2909" s="23"/>
      <c r="H2909" s="23"/>
      <c r="I2909" s="23"/>
      <c r="J2909" s="23"/>
      <c r="K2909" s="23"/>
      <c r="L2909" s="23"/>
      <c r="M2909" s="25"/>
      <c r="N2909" s="23"/>
      <c r="O2909" s="23"/>
      <c r="P2909" s="24"/>
    </row>
    <row r="2910" spans="1:16" ht="9.75" customHeight="1">
      <c r="A2910" s="28"/>
      <c r="B2910" s="31" t="s">
        <v>37</v>
      </c>
      <c r="C2910" s="31"/>
      <c r="D2910" s="30"/>
      <c r="E2910" s="30"/>
      <c r="F2910" s="30"/>
      <c r="G2910" s="30"/>
      <c r="H2910" s="30"/>
      <c r="I2910" s="30"/>
      <c r="J2910" s="30"/>
      <c r="K2910" s="30"/>
      <c r="L2910" s="30"/>
      <c r="M2910" s="31"/>
      <c r="N2910" s="30"/>
      <c r="O2910" s="30"/>
      <c r="P2910" s="198"/>
    </row>
    <row r="2911" spans="1:16" ht="9.75" customHeight="1">
      <c r="A2911" s="89"/>
      <c r="B2911" s="46" t="s">
        <v>38</v>
      </c>
      <c r="C2911" s="199">
        <f t="shared" ref="C2911:M2911" si="538">SUM(C2895:C2910)</f>
        <v>46</v>
      </c>
      <c r="D2911" s="200">
        <f t="shared" si="538"/>
        <v>39</v>
      </c>
      <c r="E2911" s="200">
        <f t="shared" si="538"/>
        <v>1</v>
      </c>
      <c r="F2911" s="200">
        <f t="shared" si="538"/>
        <v>1</v>
      </c>
      <c r="G2911" s="200">
        <f t="shared" si="538"/>
        <v>1</v>
      </c>
      <c r="H2911" s="200">
        <f t="shared" si="538"/>
        <v>3</v>
      </c>
      <c r="I2911" s="200">
        <f t="shared" si="538"/>
        <v>6</v>
      </c>
      <c r="J2911" s="200">
        <f t="shared" si="538"/>
        <v>6</v>
      </c>
      <c r="K2911" s="200">
        <f t="shared" si="538"/>
        <v>9</v>
      </c>
      <c r="L2911" s="200">
        <f t="shared" si="538"/>
        <v>19</v>
      </c>
      <c r="M2911" s="199">
        <f t="shared" si="538"/>
        <v>22</v>
      </c>
      <c r="N2911" s="200">
        <f t="shared" ref="N2911:N2912" si="539">MIN(D2911:M2911)</f>
        <v>1</v>
      </c>
      <c r="O2911" s="200">
        <f t="shared" ref="O2911:O2912" si="540">C2911-N2911</f>
        <v>45</v>
      </c>
      <c r="P2911" s="201">
        <f t="shared" ref="P2911:P2912" si="541">O2911/C2911</f>
        <v>0.97826086956521741</v>
      </c>
    </row>
    <row r="2912" spans="1:16" ht="9.75" customHeight="1">
      <c r="A2912" s="28" t="s">
        <v>384</v>
      </c>
      <c r="B2912" s="25" t="s">
        <v>23</v>
      </c>
      <c r="C2912" s="87">
        <v>47</v>
      </c>
      <c r="D2912" s="137">
        <v>43</v>
      </c>
      <c r="E2912" s="137">
        <v>17</v>
      </c>
      <c r="F2912" s="137">
        <v>8</v>
      </c>
      <c r="G2912" s="137">
        <v>8</v>
      </c>
      <c r="H2912" s="137">
        <v>8</v>
      </c>
      <c r="I2912" s="137">
        <v>14</v>
      </c>
      <c r="J2912" s="137">
        <v>13</v>
      </c>
      <c r="K2912" s="137">
        <v>16</v>
      </c>
      <c r="L2912" s="137">
        <f>C2912-27</f>
        <v>20</v>
      </c>
      <c r="M2912" s="87">
        <f>C2912-21</f>
        <v>26</v>
      </c>
      <c r="N2912" s="52">
        <f t="shared" si="539"/>
        <v>8</v>
      </c>
      <c r="O2912" s="52">
        <f t="shared" si="540"/>
        <v>39</v>
      </c>
      <c r="P2912" s="54">
        <f t="shared" si="541"/>
        <v>0.82978723404255317</v>
      </c>
    </row>
    <row r="2913" spans="1:16" ht="9.75" customHeight="1">
      <c r="A2913" s="57"/>
      <c r="B2913" s="25" t="s">
        <v>25</v>
      </c>
      <c r="C2913" s="25"/>
      <c r="D2913" s="23"/>
      <c r="E2913" s="23"/>
      <c r="F2913" s="23"/>
      <c r="G2913" s="23"/>
      <c r="H2913" s="23"/>
      <c r="I2913" s="23"/>
      <c r="J2913" s="23"/>
      <c r="K2913" s="23"/>
      <c r="L2913" s="23"/>
      <c r="M2913" s="25"/>
      <c r="N2913" s="23"/>
      <c r="O2913" s="23"/>
      <c r="P2913" s="24"/>
    </row>
    <row r="2914" spans="1:16" ht="9.75" customHeight="1">
      <c r="A2914" s="57"/>
      <c r="B2914" s="25" t="s">
        <v>27</v>
      </c>
      <c r="C2914" s="25"/>
      <c r="D2914" s="23"/>
      <c r="E2914" s="23"/>
      <c r="F2914" s="23"/>
      <c r="G2914" s="23"/>
      <c r="H2914" s="23"/>
      <c r="I2914" s="23"/>
      <c r="J2914" s="23"/>
      <c r="K2914" s="23"/>
      <c r="L2914" s="23"/>
      <c r="M2914" s="25"/>
      <c r="N2914" s="23"/>
      <c r="O2914" s="23"/>
      <c r="P2914" s="24"/>
    </row>
    <row r="2915" spans="1:16" ht="9.75" customHeight="1">
      <c r="A2915" s="57"/>
      <c r="B2915" s="25" t="s">
        <v>99</v>
      </c>
      <c r="C2915" s="25"/>
      <c r="D2915" s="23"/>
      <c r="E2915" s="23"/>
      <c r="F2915" s="23"/>
      <c r="G2915" s="23"/>
      <c r="H2915" s="23"/>
      <c r="I2915" s="23"/>
      <c r="J2915" s="23"/>
      <c r="K2915" s="23"/>
      <c r="L2915" s="23"/>
      <c r="M2915" s="25"/>
      <c r="N2915" s="23"/>
      <c r="O2915" s="23"/>
      <c r="P2915" s="24"/>
    </row>
    <row r="2916" spans="1:16" ht="9.75" customHeight="1">
      <c r="A2916" s="28"/>
      <c r="B2916" s="25" t="s">
        <v>99</v>
      </c>
      <c r="C2916" s="25"/>
      <c r="D2916" s="23"/>
      <c r="E2916" s="23"/>
      <c r="F2916" s="23"/>
      <c r="G2916" s="23"/>
      <c r="H2916" s="23"/>
      <c r="I2916" s="23"/>
      <c r="J2916" s="23"/>
      <c r="K2916" s="23"/>
      <c r="L2916" s="23"/>
      <c r="M2916" s="25"/>
      <c r="N2916" s="23"/>
      <c r="O2916" s="23"/>
      <c r="P2916" s="24"/>
    </row>
    <row r="2917" spans="1:16" ht="9.75" customHeight="1">
      <c r="A2917" s="28"/>
      <c r="B2917" s="25" t="s">
        <v>32</v>
      </c>
      <c r="C2917" s="25"/>
      <c r="D2917" s="23"/>
      <c r="E2917" s="23"/>
      <c r="F2917" s="23"/>
      <c r="G2917" s="23"/>
      <c r="H2917" s="23"/>
      <c r="I2917" s="23"/>
      <c r="J2917" s="23"/>
      <c r="K2917" s="23"/>
      <c r="L2917" s="23"/>
      <c r="M2917" s="25"/>
      <c r="N2917" s="23"/>
      <c r="O2917" s="23"/>
      <c r="P2917" s="24"/>
    </row>
    <row r="2918" spans="1:16" ht="9.75" customHeight="1">
      <c r="A2918" s="28"/>
      <c r="B2918" s="25" t="s">
        <v>104</v>
      </c>
      <c r="C2918" s="25"/>
      <c r="D2918" s="23"/>
      <c r="E2918" s="23"/>
      <c r="F2918" s="23"/>
      <c r="G2918" s="23"/>
      <c r="H2918" s="23"/>
      <c r="I2918" s="23"/>
      <c r="J2918" s="23"/>
      <c r="K2918" s="23"/>
      <c r="L2918" s="23"/>
      <c r="M2918" s="25"/>
      <c r="N2918" s="23"/>
      <c r="O2918" s="23"/>
      <c r="P2918" s="24"/>
    </row>
    <row r="2919" spans="1:16" ht="9.75" customHeight="1">
      <c r="A2919" s="28"/>
      <c r="B2919" s="25" t="s">
        <v>104</v>
      </c>
      <c r="C2919" s="25"/>
      <c r="D2919" s="23"/>
      <c r="E2919" s="23"/>
      <c r="F2919" s="23"/>
      <c r="G2919" s="23"/>
      <c r="H2919" s="23"/>
      <c r="I2919" s="23"/>
      <c r="J2919" s="23"/>
      <c r="K2919" s="23"/>
      <c r="L2919" s="23"/>
      <c r="M2919" s="25"/>
      <c r="N2919" s="23"/>
      <c r="O2919" s="23"/>
      <c r="P2919" s="24"/>
    </row>
    <row r="2920" spans="1:16" ht="9.75" customHeight="1">
      <c r="A2920" s="28"/>
      <c r="B2920" s="25" t="s">
        <v>104</v>
      </c>
      <c r="C2920" s="25"/>
      <c r="D2920" s="23"/>
      <c r="E2920" s="23"/>
      <c r="F2920" s="23"/>
      <c r="G2920" s="23"/>
      <c r="H2920" s="23"/>
      <c r="I2920" s="23"/>
      <c r="J2920" s="23"/>
      <c r="K2920" s="23"/>
      <c r="L2920" s="23"/>
      <c r="M2920" s="25"/>
      <c r="N2920" s="23"/>
      <c r="O2920" s="23"/>
      <c r="P2920" s="24"/>
    </row>
    <row r="2921" spans="1:16" ht="9.75" customHeight="1">
      <c r="A2921" s="28"/>
      <c r="B2921" s="25" t="s">
        <v>104</v>
      </c>
      <c r="C2921" s="25"/>
      <c r="D2921" s="23"/>
      <c r="E2921" s="23"/>
      <c r="F2921" s="23"/>
      <c r="G2921" s="23"/>
      <c r="H2921" s="23"/>
      <c r="I2921" s="23"/>
      <c r="J2921" s="23"/>
      <c r="K2921" s="23"/>
      <c r="L2921" s="23"/>
      <c r="M2921" s="25"/>
      <c r="N2921" s="23"/>
      <c r="O2921" s="23"/>
      <c r="P2921" s="24"/>
    </row>
    <row r="2922" spans="1:16" ht="9.75" customHeight="1">
      <c r="A2922" s="28"/>
      <c r="B2922" s="25" t="s">
        <v>104</v>
      </c>
      <c r="C2922" s="25"/>
      <c r="D2922" s="23"/>
      <c r="E2922" s="23"/>
      <c r="F2922" s="23"/>
      <c r="G2922" s="23"/>
      <c r="H2922" s="23"/>
      <c r="I2922" s="23"/>
      <c r="J2922" s="23"/>
      <c r="K2922" s="23"/>
      <c r="L2922" s="23"/>
      <c r="M2922" s="25"/>
      <c r="N2922" s="23"/>
      <c r="O2922" s="23"/>
      <c r="P2922" s="24"/>
    </row>
    <row r="2923" spans="1:16" ht="9.75" customHeight="1">
      <c r="A2923" s="28"/>
      <c r="B2923" s="25" t="s">
        <v>104</v>
      </c>
      <c r="C2923" s="25"/>
      <c r="D2923" s="23"/>
      <c r="E2923" s="23"/>
      <c r="F2923" s="23"/>
      <c r="G2923" s="23"/>
      <c r="H2923" s="23"/>
      <c r="I2923" s="23"/>
      <c r="J2923" s="23"/>
      <c r="K2923" s="23"/>
      <c r="L2923" s="23"/>
      <c r="M2923" s="25"/>
      <c r="N2923" s="23"/>
      <c r="O2923" s="23"/>
      <c r="P2923" s="24"/>
    </row>
    <row r="2924" spans="1:16" ht="9.75" customHeight="1">
      <c r="A2924" s="28"/>
      <c r="B2924" s="25" t="s">
        <v>34</v>
      </c>
      <c r="C2924" s="25"/>
      <c r="D2924" s="23"/>
      <c r="E2924" s="23"/>
      <c r="F2924" s="23"/>
      <c r="G2924" s="23"/>
      <c r="H2924" s="23"/>
      <c r="I2924" s="23"/>
      <c r="J2924" s="23"/>
      <c r="K2924" s="23"/>
      <c r="L2924" s="23"/>
      <c r="M2924" s="25"/>
      <c r="N2924" s="23"/>
      <c r="O2924" s="23"/>
      <c r="P2924" s="24"/>
    </row>
    <row r="2925" spans="1:16" ht="9.75" customHeight="1">
      <c r="A2925" s="28"/>
      <c r="B2925" s="25" t="s">
        <v>35</v>
      </c>
      <c r="C2925" s="25"/>
      <c r="D2925" s="23"/>
      <c r="E2925" s="23"/>
      <c r="F2925" s="23"/>
      <c r="G2925" s="23"/>
      <c r="H2925" s="23"/>
      <c r="I2925" s="23"/>
      <c r="J2925" s="23"/>
      <c r="K2925" s="23"/>
      <c r="L2925" s="23"/>
      <c r="M2925" s="25"/>
      <c r="N2925" s="23"/>
      <c r="O2925" s="23"/>
      <c r="P2925" s="24"/>
    </row>
    <row r="2926" spans="1:16" ht="9.75" customHeight="1">
      <c r="A2926" s="28"/>
      <c r="B2926" s="25" t="s">
        <v>36</v>
      </c>
      <c r="C2926" s="25"/>
      <c r="D2926" s="23"/>
      <c r="E2926" s="23"/>
      <c r="F2926" s="23"/>
      <c r="G2926" s="23"/>
      <c r="H2926" s="23"/>
      <c r="I2926" s="23"/>
      <c r="J2926" s="23"/>
      <c r="K2926" s="23"/>
      <c r="L2926" s="23"/>
      <c r="M2926" s="25"/>
      <c r="N2926" s="23"/>
      <c r="O2926" s="23"/>
      <c r="P2926" s="24"/>
    </row>
    <row r="2927" spans="1:16" ht="9.75" customHeight="1">
      <c r="A2927" s="28"/>
      <c r="B2927" s="31" t="s">
        <v>37</v>
      </c>
      <c r="C2927" s="31"/>
      <c r="D2927" s="30"/>
      <c r="E2927" s="30"/>
      <c r="F2927" s="30"/>
      <c r="G2927" s="30"/>
      <c r="H2927" s="30"/>
      <c r="I2927" s="30"/>
      <c r="J2927" s="30"/>
      <c r="K2927" s="30"/>
      <c r="L2927" s="30"/>
      <c r="M2927" s="31"/>
      <c r="N2927" s="30"/>
      <c r="O2927" s="30"/>
      <c r="P2927" s="198"/>
    </row>
    <row r="2928" spans="1:16" ht="9.75" customHeight="1">
      <c r="A2928" s="89"/>
      <c r="B2928" s="46" t="s">
        <v>38</v>
      </c>
      <c r="C2928" s="199">
        <f t="shared" ref="C2928:M2928" si="542">SUM(C2912:C2927)</f>
        <v>47</v>
      </c>
      <c r="D2928" s="200">
        <f t="shared" si="542"/>
        <v>43</v>
      </c>
      <c r="E2928" s="200">
        <f t="shared" si="542"/>
        <v>17</v>
      </c>
      <c r="F2928" s="200">
        <f t="shared" si="542"/>
        <v>8</v>
      </c>
      <c r="G2928" s="200">
        <f t="shared" si="542"/>
        <v>8</v>
      </c>
      <c r="H2928" s="200">
        <f t="shared" si="542"/>
        <v>8</v>
      </c>
      <c r="I2928" s="200">
        <f t="shared" si="542"/>
        <v>14</v>
      </c>
      <c r="J2928" s="200">
        <f t="shared" si="542"/>
        <v>13</v>
      </c>
      <c r="K2928" s="200">
        <f t="shared" si="542"/>
        <v>16</v>
      </c>
      <c r="L2928" s="200">
        <f t="shared" si="542"/>
        <v>20</v>
      </c>
      <c r="M2928" s="199">
        <f t="shared" si="542"/>
        <v>26</v>
      </c>
      <c r="N2928" s="200">
        <f t="shared" ref="N2928:N2929" si="543">MIN(D2928:M2928)</f>
        <v>8</v>
      </c>
      <c r="O2928" s="200">
        <f t="shared" ref="O2928:O2929" si="544">C2928-N2928</f>
        <v>39</v>
      </c>
      <c r="P2928" s="201">
        <f t="shared" ref="P2928:P2929" si="545">O2928/C2928</f>
        <v>0.82978723404255317</v>
      </c>
    </row>
    <row r="2929" spans="1:16" ht="9.75" customHeight="1">
      <c r="A2929" s="28" t="s">
        <v>385</v>
      </c>
      <c r="B2929" s="25" t="s">
        <v>23</v>
      </c>
      <c r="C2929" s="87">
        <v>43</v>
      </c>
      <c r="D2929" s="137">
        <v>39</v>
      </c>
      <c r="E2929" s="137">
        <v>34</v>
      </c>
      <c r="F2929" s="52">
        <f>C2929-14</f>
        <v>29</v>
      </c>
      <c r="G2929" s="52">
        <f>C2929-15</f>
        <v>28</v>
      </c>
      <c r="H2929" s="52">
        <f>C2929-16</f>
        <v>27</v>
      </c>
      <c r="I2929" s="52">
        <f>C2929-13</f>
        <v>30</v>
      </c>
      <c r="J2929" s="137">
        <v>29</v>
      </c>
      <c r="K2929" s="137">
        <v>20</v>
      </c>
      <c r="L2929" s="52">
        <f>C2929-11</f>
        <v>32</v>
      </c>
      <c r="M2929" s="87">
        <f>C2929-8</f>
        <v>35</v>
      </c>
      <c r="N2929" s="52">
        <f t="shared" si="543"/>
        <v>20</v>
      </c>
      <c r="O2929" s="52">
        <f t="shared" si="544"/>
        <v>23</v>
      </c>
      <c r="P2929" s="54">
        <f t="shared" si="545"/>
        <v>0.53488372093023251</v>
      </c>
    </row>
    <row r="2930" spans="1:16" ht="9.75" customHeight="1">
      <c r="A2930" s="57"/>
      <c r="B2930" s="25" t="s">
        <v>25</v>
      </c>
      <c r="C2930" s="25"/>
      <c r="D2930" s="23"/>
      <c r="E2930" s="23"/>
      <c r="F2930" s="23"/>
      <c r="G2930" s="23"/>
      <c r="H2930" s="23"/>
      <c r="I2930" s="23"/>
      <c r="J2930" s="23"/>
      <c r="K2930" s="23"/>
      <c r="L2930" s="23"/>
      <c r="M2930" s="25"/>
      <c r="N2930" s="23"/>
      <c r="O2930" s="23"/>
      <c r="P2930" s="24"/>
    </row>
    <row r="2931" spans="1:16" ht="9.75" customHeight="1">
      <c r="A2931" s="57"/>
      <c r="B2931" s="25" t="s">
        <v>27</v>
      </c>
      <c r="C2931" s="25"/>
      <c r="D2931" s="23"/>
      <c r="E2931" s="23"/>
      <c r="F2931" s="23"/>
      <c r="G2931" s="23"/>
      <c r="H2931" s="23"/>
      <c r="I2931" s="23"/>
      <c r="J2931" s="23"/>
      <c r="K2931" s="23"/>
      <c r="L2931" s="23"/>
      <c r="M2931" s="25"/>
      <c r="N2931" s="23"/>
      <c r="O2931" s="23"/>
      <c r="P2931" s="24"/>
    </row>
    <row r="2932" spans="1:16" ht="9.75" customHeight="1">
      <c r="A2932" s="57"/>
      <c r="B2932" s="25" t="s">
        <v>99</v>
      </c>
      <c r="C2932" s="25"/>
      <c r="D2932" s="23"/>
      <c r="E2932" s="23"/>
      <c r="F2932" s="23"/>
      <c r="G2932" s="23"/>
      <c r="H2932" s="23"/>
      <c r="I2932" s="23"/>
      <c r="J2932" s="23"/>
      <c r="K2932" s="23"/>
      <c r="L2932" s="23"/>
      <c r="M2932" s="25"/>
      <c r="N2932" s="23"/>
      <c r="O2932" s="23"/>
      <c r="P2932" s="24"/>
    </row>
    <row r="2933" spans="1:16" ht="9.75" customHeight="1">
      <c r="A2933" s="28"/>
      <c r="B2933" s="25" t="s">
        <v>99</v>
      </c>
      <c r="C2933" s="25"/>
      <c r="D2933" s="23"/>
      <c r="E2933" s="23"/>
      <c r="F2933" s="23"/>
      <c r="G2933" s="23"/>
      <c r="H2933" s="23"/>
      <c r="I2933" s="23"/>
      <c r="J2933" s="23"/>
      <c r="K2933" s="23"/>
      <c r="L2933" s="23"/>
      <c r="M2933" s="25"/>
      <c r="N2933" s="23"/>
      <c r="O2933" s="23"/>
      <c r="P2933" s="24"/>
    </row>
    <row r="2934" spans="1:16" ht="9.75" customHeight="1">
      <c r="A2934" s="28"/>
      <c r="B2934" s="25" t="s">
        <v>32</v>
      </c>
      <c r="C2934" s="25"/>
      <c r="D2934" s="23"/>
      <c r="E2934" s="23"/>
      <c r="F2934" s="23"/>
      <c r="G2934" s="23"/>
      <c r="H2934" s="23"/>
      <c r="I2934" s="23"/>
      <c r="J2934" s="23"/>
      <c r="K2934" s="23"/>
      <c r="L2934" s="23"/>
      <c r="M2934" s="25"/>
      <c r="N2934" s="23"/>
      <c r="O2934" s="23"/>
      <c r="P2934" s="24"/>
    </row>
    <row r="2935" spans="1:16" ht="9.75" customHeight="1">
      <c r="A2935" s="28"/>
      <c r="B2935" s="25" t="s">
        <v>104</v>
      </c>
      <c r="C2935" s="25"/>
      <c r="D2935" s="23"/>
      <c r="E2935" s="23"/>
      <c r="F2935" s="23"/>
      <c r="G2935" s="23"/>
      <c r="H2935" s="23"/>
      <c r="I2935" s="23"/>
      <c r="J2935" s="23"/>
      <c r="K2935" s="23"/>
      <c r="L2935" s="23"/>
      <c r="M2935" s="25"/>
      <c r="N2935" s="23"/>
      <c r="O2935" s="23"/>
      <c r="P2935" s="24"/>
    </row>
    <row r="2936" spans="1:16" ht="9.75" customHeight="1">
      <c r="A2936" s="28"/>
      <c r="B2936" s="25" t="s">
        <v>104</v>
      </c>
      <c r="C2936" s="25"/>
      <c r="D2936" s="23"/>
      <c r="E2936" s="23"/>
      <c r="F2936" s="23"/>
      <c r="G2936" s="23"/>
      <c r="H2936" s="23"/>
      <c r="I2936" s="23"/>
      <c r="J2936" s="23"/>
      <c r="K2936" s="23"/>
      <c r="L2936" s="23"/>
      <c r="M2936" s="25"/>
      <c r="N2936" s="23"/>
      <c r="O2936" s="23"/>
      <c r="P2936" s="24"/>
    </row>
    <row r="2937" spans="1:16" ht="9.75" customHeight="1">
      <c r="A2937" s="28"/>
      <c r="B2937" s="25" t="s">
        <v>104</v>
      </c>
      <c r="C2937" s="25"/>
      <c r="D2937" s="23"/>
      <c r="E2937" s="23"/>
      <c r="F2937" s="23"/>
      <c r="G2937" s="23"/>
      <c r="H2937" s="23"/>
      <c r="I2937" s="23"/>
      <c r="J2937" s="23"/>
      <c r="K2937" s="23"/>
      <c r="L2937" s="23"/>
      <c r="M2937" s="25"/>
      <c r="N2937" s="23"/>
      <c r="O2937" s="23"/>
      <c r="P2937" s="24"/>
    </row>
    <row r="2938" spans="1:16" ht="9.75" customHeight="1">
      <c r="A2938" s="28"/>
      <c r="B2938" s="25" t="s">
        <v>104</v>
      </c>
      <c r="C2938" s="25"/>
      <c r="D2938" s="23"/>
      <c r="E2938" s="23"/>
      <c r="F2938" s="23"/>
      <c r="G2938" s="23"/>
      <c r="H2938" s="23"/>
      <c r="I2938" s="23"/>
      <c r="J2938" s="23"/>
      <c r="K2938" s="23"/>
      <c r="L2938" s="23"/>
      <c r="M2938" s="25"/>
      <c r="N2938" s="23"/>
      <c r="O2938" s="23"/>
      <c r="P2938" s="24"/>
    </row>
    <row r="2939" spans="1:16" ht="9.75" customHeight="1">
      <c r="A2939" s="28"/>
      <c r="B2939" s="25" t="s">
        <v>104</v>
      </c>
      <c r="C2939" s="25"/>
      <c r="D2939" s="23"/>
      <c r="E2939" s="23"/>
      <c r="F2939" s="23"/>
      <c r="G2939" s="23"/>
      <c r="H2939" s="23"/>
      <c r="I2939" s="23"/>
      <c r="J2939" s="23"/>
      <c r="K2939" s="23"/>
      <c r="L2939" s="23"/>
      <c r="M2939" s="25"/>
      <c r="N2939" s="23"/>
      <c r="O2939" s="23"/>
      <c r="P2939" s="24"/>
    </row>
    <row r="2940" spans="1:16" ht="9.75" customHeight="1">
      <c r="A2940" s="28"/>
      <c r="B2940" s="25" t="s">
        <v>104</v>
      </c>
      <c r="C2940" s="25"/>
      <c r="D2940" s="23"/>
      <c r="E2940" s="23"/>
      <c r="F2940" s="23"/>
      <c r="G2940" s="23"/>
      <c r="H2940" s="23"/>
      <c r="I2940" s="23"/>
      <c r="J2940" s="23"/>
      <c r="K2940" s="23"/>
      <c r="L2940" s="23"/>
      <c r="M2940" s="25"/>
      <c r="N2940" s="23"/>
      <c r="O2940" s="23"/>
      <c r="P2940" s="24"/>
    </row>
    <row r="2941" spans="1:16" ht="9.75" customHeight="1">
      <c r="A2941" s="28"/>
      <c r="B2941" s="25" t="s">
        <v>34</v>
      </c>
      <c r="C2941" s="87">
        <v>1</v>
      </c>
      <c r="D2941" s="52">
        <v>1</v>
      </c>
      <c r="E2941" s="52">
        <v>1</v>
      </c>
      <c r="F2941" s="52">
        <v>1</v>
      </c>
      <c r="G2941" s="52">
        <v>1</v>
      </c>
      <c r="H2941" s="52">
        <v>1</v>
      </c>
      <c r="I2941" s="137">
        <v>1</v>
      </c>
      <c r="J2941" s="137">
        <v>1</v>
      </c>
      <c r="K2941" s="137">
        <v>1</v>
      </c>
      <c r="L2941" s="137">
        <v>1</v>
      </c>
      <c r="M2941" s="138">
        <v>1</v>
      </c>
      <c r="N2941" s="52">
        <f>MIN(D2941:M2941)</f>
        <v>1</v>
      </c>
      <c r="O2941" s="52">
        <f>C2941-N2941</f>
        <v>0</v>
      </c>
      <c r="P2941" s="54">
        <f>O2941/C2941</f>
        <v>0</v>
      </c>
    </row>
    <row r="2942" spans="1:16" ht="9.75" customHeight="1">
      <c r="A2942" s="28"/>
      <c r="B2942" s="25" t="s">
        <v>35</v>
      </c>
      <c r="C2942" s="25"/>
      <c r="D2942" s="23"/>
      <c r="E2942" s="23"/>
      <c r="F2942" s="23"/>
      <c r="G2942" s="23"/>
      <c r="H2942" s="23"/>
      <c r="I2942" s="23"/>
      <c r="J2942" s="23"/>
      <c r="K2942" s="23"/>
      <c r="L2942" s="23"/>
      <c r="M2942" s="25"/>
      <c r="N2942" s="23"/>
      <c r="O2942" s="23"/>
      <c r="P2942" s="24"/>
    </row>
    <row r="2943" spans="1:16" ht="9.75" customHeight="1">
      <c r="A2943" s="28"/>
      <c r="B2943" s="25" t="s">
        <v>36</v>
      </c>
      <c r="C2943" s="25"/>
      <c r="D2943" s="23"/>
      <c r="E2943" s="23"/>
      <c r="F2943" s="23"/>
      <c r="G2943" s="23"/>
      <c r="H2943" s="23"/>
      <c r="I2943" s="23"/>
      <c r="J2943" s="23"/>
      <c r="K2943" s="23"/>
      <c r="L2943" s="23"/>
      <c r="M2943" s="25"/>
      <c r="N2943" s="23"/>
      <c r="O2943" s="23"/>
      <c r="P2943" s="24"/>
    </row>
    <row r="2944" spans="1:16" ht="9.75" customHeight="1">
      <c r="A2944" s="28"/>
      <c r="B2944" s="31" t="s">
        <v>37</v>
      </c>
      <c r="C2944" s="31"/>
      <c r="D2944" s="30"/>
      <c r="E2944" s="30"/>
      <c r="F2944" s="30"/>
      <c r="G2944" s="30"/>
      <c r="H2944" s="30"/>
      <c r="I2944" s="30"/>
      <c r="J2944" s="30"/>
      <c r="K2944" s="30"/>
      <c r="L2944" s="30"/>
      <c r="M2944" s="31"/>
      <c r="N2944" s="30"/>
      <c r="O2944" s="30"/>
      <c r="P2944" s="198"/>
    </row>
    <row r="2945" spans="1:16" ht="9.75" customHeight="1">
      <c r="A2945" s="89"/>
      <c r="B2945" s="46" t="s">
        <v>38</v>
      </c>
      <c r="C2945" s="199">
        <f t="shared" ref="C2945:M2945" si="546">SUM(C2929:C2944)</f>
        <v>44</v>
      </c>
      <c r="D2945" s="200">
        <f t="shared" si="546"/>
        <v>40</v>
      </c>
      <c r="E2945" s="200">
        <f t="shared" si="546"/>
        <v>35</v>
      </c>
      <c r="F2945" s="200">
        <f t="shared" si="546"/>
        <v>30</v>
      </c>
      <c r="G2945" s="200">
        <f t="shared" si="546"/>
        <v>29</v>
      </c>
      <c r="H2945" s="200">
        <f t="shared" si="546"/>
        <v>28</v>
      </c>
      <c r="I2945" s="200">
        <f t="shared" si="546"/>
        <v>31</v>
      </c>
      <c r="J2945" s="200">
        <f t="shared" si="546"/>
        <v>30</v>
      </c>
      <c r="K2945" s="200">
        <f t="shared" si="546"/>
        <v>21</v>
      </c>
      <c r="L2945" s="200">
        <f t="shared" si="546"/>
        <v>33</v>
      </c>
      <c r="M2945" s="199">
        <f t="shared" si="546"/>
        <v>36</v>
      </c>
      <c r="N2945" s="200">
        <f>MIN(D2945:M2945)</f>
        <v>21</v>
      </c>
      <c r="O2945" s="200">
        <f>C2945-N2945</f>
        <v>23</v>
      </c>
      <c r="P2945" s="201">
        <f>O2945/C2945</f>
        <v>0.52272727272727271</v>
      </c>
    </row>
    <row r="2946" spans="1:16" ht="9.75" customHeight="1">
      <c r="A2946" s="28" t="s">
        <v>386</v>
      </c>
      <c r="B2946" s="25" t="s">
        <v>23</v>
      </c>
      <c r="C2946" s="25"/>
      <c r="D2946" s="23"/>
      <c r="E2946" s="23"/>
      <c r="F2946" s="23"/>
      <c r="G2946" s="23"/>
      <c r="H2946" s="23"/>
      <c r="I2946" s="23"/>
      <c r="J2946" s="23"/>
      <c r="K2946" s="23"/>
      <c r="L2946" s="23"/>
      <c r="M2946" s="25"/>
      <c r="N2946" s="23"/>
      <c r="O2946" s="23"/>
      <c r="P2946" s="24"/>
    </row>
    <row r="2947" spans="1:16" ht="9.75" customHeight="1">
      <c r="A2947" s="57"/>
      <c r="B2947" s="25" t="s">
        <v>25</v>
      </c>
      <c r="C2947" s="87">
        <v>53</v>
      </c>
      <c r="D2947" s="52">
        <f>C2947-15</f>
        <v>38</v>
      </c>
      <c r="E2947" s="52">
        <f>C2947-18</f>
        <v>35</v>
      </c>
      <c r="F2947" s="52">
        <f>C2947-19</f>
        <v>34</v>
      </c>
      <c r="G2947" s="137">
        <v>34</v>
      </c>
      <c r="H2947" s="52">
        <f>C2947-21</f>
        <v>32</v>
      </c>
      <c r="I2947" s="52">
        <f>C2947-18</f>
        <v>35</v>
      </c>
      <c r="J2947" s="52">
        <f>C2947-21</f>
        <v>32</v>
      </c>
      <c r="K2947" s="52">
        <f>C2947-18</f>
        <v>35</v>
      </c>
      <c r="L2947" s="52">
        <f>C2947-13</f>
        <v>40</v>
      </c>
      <c r="M2947" s="87">
        <f>C2947-10</f>
        <v>43</v>
      </c>
      <c r="N2947" s="52">
        <f>MIN(D2947:M2947)</f>
        <v>32</v>
      </c>
      <c r="O2947" s="52">
        <f>C2947-N2947</f>
        <v>21</v>
      </c>
      <c r="P2947" s="54">
        <f>O2947/C2947</f>
        <v>0.39622641509433965</v>
      </c>
    </row>
    <row r="2948" spans="1:16" ht="9.75" customHeight="1">
      <c r="A2948" s="57"/>
      <c r="B2948" s="25" t="s">
        <v>27</v>
      </c>
      <c r="C2948" s="25"/>
      <c r="D2948" s="23"/>
      <c r="E2948" s="23"/>
      <c r="F2948" s="23"/>
      <c r="G2948" s="23"/>
      <c r="H2948" s="23"/>
      <c r="I2948" s="23"/>
      <c r="J2948" s="23"/>
      <c r="K2948" s="23"/>
      <c r="L2948" s="23"/>
      <c r="M2948" s="25"/>
      <c r="N2948" s="23"/>
      <c r="O2948" s="23"/>
      <c r="P2948" s="24"/>
    </row>
    <row r="2949" spans="1:16" ht="9.75" customHeight="1">
      <c r="A2949" s="57"/>
      <c r="B2949" s="25" t="s">
        <v>99</v>
      </c>
      <c r="C2949" s="25"/>
      <c r="D2949" s="23"/>
      <c r="E2949" s="23"/>
      <c r="F2949" s="23"/>
      <c r="G2949" s="23"/>
      <c r="H2949" s="23"/>
      <c r="I2949" s="23"/>
      <c r="J2949" s="23"/>
      <c r="K2949" s="23"/>
      <c r="L2949" s="23"/>
      <c r="M2949" s="25"/>
      <c r="N2949" s="23"/>
      <c r="O2949" s="23"/>
      <c r="P2949" s="24"/>
    </row>
    <row r="2950" spans="1:16" ht="9.75" customHeight="1">
      <c r="A2950" s="28"/>
      <c r="B2950" s="25" t="s">
        <v>99</v>
      </c>
      <c r="C2950" s="25"/>
      <c r="D2950" s="23"/>
      <c r="E2950" s="23"/>
      <c r="F2950" s="23"/>
      <c r="G2950" s="23"/>
      <c r="H2950" s="23"/>
      <c r="I2950" s="23"/>
      <c r="J2950" s="23"/>
      <c r="K2950" s="23"/>
      <c r="L2950" s="23"/>
      <c r="M2950" s="25"/>
      <c r="N2950" s="23"/>
      <c r="O2950" s="23"/>
      <c r="P2950" s="24"/>
    </row>
    <row r="2951" spans="1:16" ht="9.75" customHeight="1">
      <c r="A2951" s="28"/>
      <c r="B2951" s="25" t="s">
        <v>32</v>
      </c>
      <c r="C2951" s="25"/>
      <c r="D2951" s="23"/>
      <c r="E2951" s="23"/>
      <c r="F2951" s="23"/>
      <c r="G2951" s="23"/>
      <c r="H2951" s="23"/>
      <c r="I2951" s="23"/>
      <c r="J2951" s="23"/>
      <c r="K2951" s="23"/>
      <c r="L2951" s="23"/>
      <c r="M2951" s="25"/>
      <c r="N2951" s="23"/>
      <c r="O2951" s="23"/>
      <c r="P2951" s="24"/>
    </row>
    <row r="2952" spans="1:16" ht="9.75" customHeight="1">
      <c r="A2952" s="28"/>
      <c r="B2952" s="25" t="s">
        <v>104</v>
      </c>
      <c r="C2952" s="25"/>
      <c r="D2952" s="23"/>
      <c r="E2952" s="23"/>
      <c r="F2952" s="23"/>
      <c r="G2952" s="23"/>
      <c r="H2952" s="23"/>
      <c r="I2952" s="23"/>
      <c r="J2952" s="23"/>
      <c r="K2952" s="23"/>
      <c r="L2952" s="23"/>
      <c r="M2952" s="25"/>
      <c r="N2952" s="23"/>
      <c r="O2952" s="23"/>
      <c r="P2952" s="24"/>
    </row>
    <row r="2953" spans="1:16" ht="9.75" customHeight="1">
      <c r="A2953" s="28"/>
      <c r="B2953" s="25" t="s">
        <v>104</v>
      </c>
      <c r="C2953" s="25"/>
      <c r="D2953" s="23"/>
      <c r="E2953" s="23"/>
      <c r="F2953" s="23"/>
      <c r="G2953" s="23"/>
      <c r="H2953" s="23"/>
      <c r="I2953" s="23"/>
      <c r="J2953" s="23"/>
      <c r="K2953" s="23"/>
      <c r="L2953" s="23"/>
      <c r="M2953" s="25"/>
      <c r="N2953" s="23"/>
      <c r="O2953" s="23"/>
      <c r="P2953" s="24"/>
    </row>
    <row r="2954" spans="1:16" ht="9.75" customHeight="1">
      <c r="A2954" s="28"/>
      <c r="B2954" s="25" t="s">
        <v>104</v>
      </c>
      <c r="C2954" s="25"/>
      <c r="D2954" s="23"/>
      <c r="E2954" s="23"/>
      <c r="F2954" s="23"/>
      <c r="G2954" s="23"/>
      <c r="H2954" s="23"/>
      <c r="I2954" s="23"/>
      <c r="J2954" s="23"/>
      <c r="K2954" s="23"/>
      <c r="L2954" s="23"/>
      <c r="M2954" s="25"/>
      <c r="N2954" s="23"/>
      <c r="O2954" s="23"/>
      <c r="P2954" s="24"/>
    </row>
    <row r="2955" spans="1:16" ht="9.75" customHeight="1">
      <c r="A2955" s="28"/>
      <c r="B2955" s="25" t="s">
        <v>104</v>
      </c>
      <c r="C2955" s="25"/>
      <c r="D2955" s="23"/>
      <c r="E2955" s="23"/>
      <c r="F2955" s="23"/>
      <c r="G2955" s="23"/>
      <c r="H2955" s="23"/>
      <c r="I2955" s="23"/>
      <c r="J2955" s="23"/>
      <c r="K2955" s="23"/>
      <c r="L2955" s="23"/>
      <c r="M2955" s="25"/>
      <c r="N2955" s="23"/>
      <c r="O2955" s="23"/>
      <c r="P2955" s="24"/>
    </row>
    <row r="2956" spans="1:16" ht="9.75" customHeight="1">
      <c r="A2956" s="28"/>
      <c r="B2956" s="25" t="s">
        <v>104</v>
      </c>
      <c r="C2956" s="25"/>
      <c r="D2956" s="23"/>
      <c r="E2956" s="23"/>
      <c r="F2956" s="23"/>
      <c r="G2956" s="23"/>
      <c r="H2956" s="23"/>
      <c r="I2956" s="23"/>
      <c r="J2956" s="23"/>
      <c r="K2956" s="23"/>
      <c r="L2956" s="23"/>
      <c r="M2956" s="25"/>
      <c r="N2956" s="23"/>
      <c r="O2956" s="23"/>
      <c r="P2956" s="24"/>
    </row>
    <row r="2957" spans="1:16" ht="9.75" customHeight="1">
      <c r="A2957" s="28"/>
      <c r="B2957" s="25" t="s">
        <v>104</v>
      </c>
      <c r="C2957" s="25"/>
      <c r="D2957" s="23"/>
      <c r="E2957" s="23"/>
      <c r="F2957" s="23"/>
      <c r="G2957" s="23"/>
      <c r="H2957" s="23"/>
      <c r="I2957" s="23"/>
      <c r="J2957" s="23"/>
      <c r="K2957" s="23"/>
      <c r="L2957" s="23"/>
      <c r="M2957" s="25"/>
      <c r="N2957" s="23"/>
      <c r="O2957" s="23"/>
      <c r="P2957" s="24"/>
    </row>
    <row r="2958" spans="1:16" ht="9.75" customHeight="1">
      <c r="A2958" s="28"/>
      <c r="B2958" s="25" t="s">
        <v>34</v>
      </c>
      <c r="C2958" s="87">
        <v>2</v>
      </c>
      <c r="D2958" s="52">
        <v>1</v>
      </c>
      <c r="E2958" s="52">
        <v>1</v>
      </c>
      <c r="F2958" s="52">
        <v>1</v>
      </c>
      <c r="G2958" s="52">
        <v>1</v>
      </c>
      <c r="H2958" s="52">
        <v>1</v>
      </c>
      <c r="I2958" s="137">
        <v>2</v>
      </c>
      <c r="J2958" s="137">
        <v>2</v>
      </c>
      <c r="K2958" s="137">
        <v>2</v>
      </c>
      <c r="L2958" s="137">
        <v>2</v>
      </c>
      <c r="M2958" s="138">
        <v>2</v>
      </c>
      <c r="N2958" s="52">
        <f>MIN(D2958:M2958)</f>
        <v>1</v>
      </c>
      <c r="O2958" s="52">
        <f>C2958-N2958</f>
        <v>1</v>
      </c>
      <c r="P2958" s="54">
        <f>O2958/C2958</f>
        <v>0.5</v>
      </c>
    </row>
    <row r="2959" spans="1:16" ht="9.75" customHeight="1">
      <c r="A2959" s="28"/>
      <c r="B2959" s="25" t="s">
        <v>35</v>
      </c>
      <c r="C2959" s="25"/>
      <c r="D2959" s="23"/>
      <c r="E2959" s="23"/>
      <c r="F2959" s="23"/>
      <c r="G2959" s="23"/>
      <c r="H2959" s="23"/>
      <c r="I2959" s="23"/>
      <c r="J2959" s="23"/>
      <c r="K2959" s="23"/>
      <c r="L2959" s="23"/>
      <c r="M2959" s="25"/>
      <c r="N2959" s="23"/>
      <c r="O2959" s="23"/>
      <c r="P2959" s="24"/>
    </row>
    <row r="2960" spans="1:16" ht="9.75" customHeight="1">
      <c r="A2960" s="28"/>
      <c r="B2960" s="25" t="s">
        <v>36</v>
      </c>
      <c r="C2960" s="25"/>
      <c r="D2960" s="23"/>
      <c r="E2960" s="23"/>
      <c r="F2960" s="23"/>
      <c r="G2960" s="23"/>
      <c r="H2960" s="23"/>
      <c r="I2960" s="23"/>
      <c r="J2960" s="23"/>
      <c r="K2960" s="23"/>
      <c r="L2960" s="23"/>
      <c r="M2960" s="25"/>
      <c r="N2960" s="23"/>
      <c r="O2960" s="23"/>
      <c r="P2960" s="24"/>
    </row>
    <row r="2961" spans="1:16" ht="9.75" customHeight="1">
      <c r="A2961" s="28"/>
      <c r="B2961" s="31" t="s">
        <v>37</v>
      </c>
      <c r="C2961" s="31"/>
      <c r="D2961" s="30"/>
      <c r="E2961" s="30"/>
      <c r="F2961" s="30"/>
      <c r="G2961" s="30"/>
      <c r="H2961" s="30"/>
      <c r="I2961" s="30"/>
      <c r="J2961" s="30"/>
      <c r="K2961" s="30"/>
      <c r="L2961" s="30"/>
      <c r="M2961" s="31"/>
      <c r="N2961" s="30"/>
      <c r="O2961" s="30"/>
      <c r="P2961" s="198"/>
    </row>
    <row r="2962" spans="1:16" ht="9.75" customHeight="1">
      <c r="A2962" s="89"/>
      <c r="B2962" s="46" t="s">
        <v>38</v>
      </c>
      <c r="C2962" s="199">
        <f t="shared" ref="C2962:M2962" si="547">SUM(C2946:C2961)</f>
        <v>55</v>
      </c>
      <c r="D2962" s="200">
        <f t="shared" si="547"/>
        <v>39</v>
      </c>
      <c r="E2962" s="200">
        <f t="shared" si="547"/>
        <v>36</v>
      </c>
      <c r="F2962" s="200">
        <f t="shared" si="547"/>
        <v>35</v>
      </c>
      <c r="G2962" s="200">
        <f t="shared" si="547"/>
        <v>35</v>
      </c>
      <c r="H2962" s="200">
        <f t="shared" si="547"/>
        <v>33</v>
      </c>
      <c r="I2962" s="200">
        <f t="shared" si="547"/>
        <v>37</v>
      </c>
      <c r="J2962" s="200">
        <f t="shared" si="547"/>
        <v>34</v>
      </c>
      <c r="K2962" s="200">
        <f t="shared" si="547"/>
        <v>37</v>
      </c>
      <c r="L2962" s="200">
        <f t="shared" si="547"/>
        <v>42</v>
      </c>
      <c r="M2962" s="199">
        <f t="shared" si="547"/>
        <v>45</v>
      </c>
      <c r="N2962" s="200">
        <f>MIN(D2962:M2962)</f>
        <v>33</v>
      </c>
      <c r="O2962" s="200">
        <f>C2962-N2962</f>
        <v>22</v>
      </c>
      <c r="P2962" s="201">
        <f>O2962/C2962</f>
        <v>0.4</v>
      </c>
    </row>
    <row r="2963" spans="1:16" ht="9.75" customHeight="1">
      <c r="A2963" s="28" t="s">
        <v>387</v>
      </c>
      <c r="B2963" s="25" t="s">
        <v>23</v>
      </c>
      <c r="C2963" s="25"/>
      <c r="D2963" s="23"/>
      <c r="E2963" s="23"/>
      <c r="F2963" s="23"/>
      <c r="G2963" s="23"/>
      <c r="H2963" s="23"/>
      <c r="I2963" s="23"/>
      <c r="J2963" s="23"/>
      <c r="K2963" s="23"/>
      <c r="L2963" s="23"/>
      <c r="M2963" s="25"/>
      <c r="N2963" s="23"/>
      <c r="O2963" s="23"/>
      <c r="P2963" s="24"/>
    </row>
    <row r="2964" spans="1:16" ht="9.75" customHeight="1">
      <c r="A2964" s="57"/>
      <c r="B2964" s="25" t="s">
        <v>25</v>
      </c>
      <c r="C2964" s="87">
        <v>80</v>
      </c>
      <c r="D2964" s="52">
        <f>C2964-31</f>
        <v>49</v>
      </c>
      <c r="E2964" s="52">
        <f>C2964-43</f>
        <v>37</v>
      </c>
      <c r="F2964" s="52">
        <f>C2964-47</f>
        <v>33</v>
      </c>
      <c r="G2964" s="137">
        <v>33</v>
      </c>
      <c r="H2964" s="137">
        <v>33</v>
      </c>
      <c r="I2964" s="137">
        <v>40</v>
      </c>
      <c r="J2964" s="52">
        <f>C2964-48</f>
        <v>32</v>
      </c>
      <c r="K2964" s="52">
        <f>C2964-44</f>
        <v>36</v>
      </c>
      <c r="L2964" s="52">
        <f>C2964-36</f>
        <v>44</v>
      </c>
      <c r="M2964" s="87">
        <f>C2964-31</f>
        <v>49</v>
      </c>
      <c r="N2964" s="52">
        <f>MIN(D2964:M2964)</f>
        <v>32</v>
      </c>
      <c r="O2964" s="52">
        <f>C2964-N2964</f>
        <v>48</v>
      </c>
      <c r="P2964" s="54">
        <f>O2964/C2964</f>
        <v>0.6</v>
      </c>
    </row>
    <row r="2965" spans="1:16" ht="9.75" customHeight="1">
      <c r="A2965" s="57"/>
      <c r="B2965" s="25" t="s">
        <v>27</v>
      </c>
      <c r="C2965" s="25"/>
      <c r="D2965" s="23"/>
      <c r="E2965" s="23"/>
      <c r="F2965" s="23"/>
      <c r="G2965" s="23"/>
      <c r="H2965" s="23"/>
      <c r="I2965" s="23"/>
      <c r="J2965" s="23"/>
      <c r="K2965" s="23"/>
      <c r="L2965" s="23"/>
      <c r="M2965" s="25"/>
      <c r="N2965" s="23"/>
      <c r="O2965" s="23"/>
      <c r="P2965" s="24"/>
    </row>
    <row r="2966" spans="1:16" ht="9.75" customHeight="1">
      <c r="A2966" s="57"/>
      <c r="B2966" s="25" t="s">
        <v>99</v>
      </c>
      <c r="C2966" s="25"/>
      <c r="D2966" s="23"/>
      <c r="E2966" s="23"/>
      <c r="F2966" s="23"/>
      <c r="G2966" s="23"/>
      <c r="H2966" s="23"/>
      <c r="I2966" s="23"/>
      <c r="J2966" s="23"/>
      <c r="K2966" s="23"/>
      <c r="L2966" s="23"/>
      <c r="M2966" s="25"/>
      <c r="N2966" s="23"/>
      <c r="O2966" s="23"/>
      <c r="P2966" s="24"/>
    </row>
    <row r="2967" spans="1:16" ht="9.75" customHeight="1">
      <c r="A2967" s="28"/>
      <c r="B2967" s="25" t="s">
        <v>99</v>
      </c>
      <c r="C2967" s="25"/>
      <c r="D2967" s="23"/>
      <c r="E2967" s="23"/>
      <c r="F2967" s="23"/>
      <c r="G2967" s="23"/>
      <c r="H2967" s="23"/>
      <c r="I2967" s="23"/>
      <c r="J2967" s="23"/>
      <c r="K2967" s="23"/>
      <c r="L2967" s="23"/>
      <c r="M2967" s="25"/>
      <c r="N2967" s="23"/>
      <c r="O2967" s="23"/>
      <c r="P2967" s="24"/>
    </row>
    <row r="2968" spans="1:16" ht="9.75" customHeight="1">
      <c r="A2968" s="28"/>
      <c r="B2968" s="25" t="s">
        <v>32</v>
      </c>
      <c r="C2968" s="25"/>
      <c r="D2968" s="23"/>
      <c r="E2968" s="23"/>
      <c r="F2968" s="23"/>
      <c r="G2968" s="23"/>
      <c r="H2968" s="23"/>
      <c r="I2968" s="23"/>
      <c r="J2968" s="23"/>
      <c r="K2968" s="23"/>
      <c r="L2968" s="23"/>
      <c r="M2968" s="25"/>
      <c r="N2968" s="23"/>
      <c r="O2968" s="23"/>
      <c r="P2968" s="24"/>
    </row>
    <row r="2969" spans="1:16" ht="9.75" customHeight="1">
      <c r="A2969" s="28"/>
      <c r="B2969" s="25" t="s">
        <v>388</v>
      </c>
      <c r="C2969" s="87">
        <v>4</v>
      </c>
      <c r="D2969" s="137">
        <v>4</v>
      </c>
      <c r="E2969" s="137">
        <v>4</v>
      </c>
      <c r="F2969" s="137">
        <v>4</v>
      </c>
      <c r="G2969" s="137">
        <v>4</v>
      </c>
      <c r="H2969" s="137">
        <v>4</v>
      </c>
      <c r="I2969" s="137">
        <v>4</v>
      </c>
      <c r="J2969" s="137">
        <v>4</v>
      </c>
      <c r="K2969" s="137">
        <v>4</v>
      </c>
      <c r="L2969" s="137">
        <v>4</v>
      </c>
      <c r="M2969" s="138">
        <v>4</v>
      </c>
      <c r="N2969" s="52">
        <f t="shared" ref="N2969:N2970" si="548">MIN(D2969:M2969)</f>
        <v>4</v>
      </c>
      <c r="O2969" s="52">
        <f t="shared" ref="O2969:O2970" si="549">C2969-N2969</f>
        <v>0</v>
      </c>
      <c r="P2969" s="54">
        <f t="shared" ref="P2969:P2970" si="550">O2969/C2969</f>
        <v>0</v>
      </c>
    </row>
    <row r="2970" spans="1:16" ht="9.75" customHeight="1">
      <c r="A2970" s="28"/>
      <c r="B2970" s="25" t="s">
        <v>102</v>
      </c>
      <c r="C2970" s="87">
        <v>5</v>
      </c>
      <c r="D2970" s="137">
        <v>2</v>
      </c>
      <c r="E2970" s="137">
        <v>1</v>
      </c>
      <c r="F2970" s="137">
        <v>3</v>
      </c>
      <c r="G2970" s="137">
        <v>3</v>
      </c>
      <c r="H2970" s="137">
        <v>4</v>
      </c>
      <c r="I2970" s="137">
        <v>3</v>
      </c>
      <c r="J2970" s="137">
        <v>3</v>
      </c>
      <c r="K2970" s="137">
        <v>4</v>
      </c>
      <c r="L2970" s="137">
        <v>4</v>
      </c>
      <c r="M2970" s="138">
        <v>4</v>
      </c>
      <c r="N2970" s="52">
        <f t="shared" si="548"/>
        <v>1</v>
      </c>
      <c r="O2970" s="52">
        <f t="shared" si="549"/>
        <v>4</v>
      </c>
      <c r="P2970" s="54">
        <f t="shared" si="550"/>
        <v>0.8</v>
      </c>
    </row>
    <row r="2971" spans="1:16" ht="9.75" customHeight="1">
      <c r="A2971" s="28"/>
      <c r="B2971" s="25" t="s">
        <v>104</v>
      </c>
      <c r="C2971" s="25"/>
      <c r="D2971" s="23"/>
      <c r="E2971" s="23"/>
      <c r="F2971" s="23"/>
      <c r="G2971" s="23"/>
      <c r="H2971" s="23"/>
      <c r="I2971" s="23"/>
      <c r="J2971" s="23"/>
      <c r="K2971" s="23"/>
      <c r="L2971" s="23"/>
      <c r="M2971" s="25"/>
      <c r="N2971" s="23"/>
      <c r="O2971" s="23"/>
      <c r="P2971" s="24"/>
    </row>
    <row r="2972" spans="1:16" ht="9.75" customHeight="1">
      <c r="A2972" s="28"/>
      <c r="B2972" s="25" t="s">
        <v>104</v>
      </c>
      <c r="C2972" s="25"/>
      <c r="D2972" s="23"/>
      <c r="E2972" s="23"/>
      <c r="F2972" s="23"/>
      <c r="G2972" s="23"/>
      <c r="H2972" s="23"/>
      <c r="I2972" s="23"/>
      <c r="J2972" s="23"/>
      <c r="K2972" s="23"/>
      <c r="L2972" s="23"/>
      <c r="M2972" s="25"/>
      <c r="N2972" s="23"/>
      <c r="O2972" s="23"/>
      <c r="P2972" s="24"/>
    </row>
    <row r="2973" spans="1:16" ht="9.75" customHeight="1">
      <c r="A2973" s="28"/>
      <c r="B2973" s="25" t="s">
        <v>104</v>
      </c>
      <c r="C2973" s="25"/>
      <c r="D2973" s="23"/>
      <c r="E2973" s="23"/>
      <c r="F2973" s="23"/>
      <c r="G2973" s="23"/>
      <c r="H2973" s="23"/>
      <c r="I2973" s="23"/>
      <c r="J2973" s="23"/>
      <c r="K2973" s="23"/>
      <c r="L2973" s="23"/>
      <c r="M2973" s="25"/>
      <c r="N2973" s="23"/>
      <c r="O2973" s="23"/>
      <c r="P2973" s="24"/>
    </row>
    <row r="2974" spans="1:16" ht="9.75" customHeight="1">
      <c r="A2974" s="28"/>
      <c r="B2974" s="25" t="s">
        <v>104</v>
      </c>
      <c r="C2974" s="25"/>
      <c r="D2974" s="23"/>
      <c r="E2974" s="23"/>
      <c r="F2974" s="23"/>
      <c r="G2974" s="23"/>
      <c r="H2974" s="23"/>
      <c r="I2974" s="23"/>
      <c r="J2974" s="23"/>
      <c r="K2974" s="23"/>
      <c r="L2974" s="23"/>
      <c r="M2974" s="25"/>
      <c r="N2974" s="23"/>
      <c r="O2974" s="23"/>
      <c r="P2974" s="24"/>
    </row>
    <row r="2975" spans="1:16" ht="9.75" customHeight="1">
      <c r="A2975" s="28"/>
      <c r="B2975" s="25" t="s">
        <v>34</v>
      </c>
      <c r="C2975" s="87">
        <v>2</v>
      </c>
      <c r="D2975" s="137">
        <v>2</v>
      </c>
      <c r="E2975" s="137">
        <v>2</v>
      </c>
      <c r="F2975" s="137">
        <v>2</v>
      </c>
      <c r="G2975" s="137">
        <v>2</v>
      </c>
      <c r="H2975" s="137">
        <v>2</v>
      </c>
      <c r="I2975" s="137">
        <v>1</v>
      </c>
      <c r="J2975" s="137">
        <v>1</v>
      </c>
      <c r="K2975" s="137">
        <v>1</v>
      </c>
      <c r="L2975" s="137">
        <v>2</v>
      </c>
      <c r="M2975" s="138">
        <v>2</v>
      </c>
      <c r="N2975" s="52">
        <f>MIN(D2975:M2975)</f>
        <v>1</v>
      </c>
      <c r="O2975" s="52">
        <f>C2975-N2975</f>
        <v>1</v>
      </c>
      <c r="P2975" s="54">
        <f>O2975/C2975</f>
        <v>0.5</v>
      </c>
    </row>
    <row r="2976" spans="1:16" ht="9.75" customHeight="1">
      <c r="A2976" s="28"/>
      <c r="B2976" s="25" t="s">
        <v>35</v>
      </c>
      <c r="C2976" s="25"/>
      <c r="D2976" s="23"/>
      <c r="E2976" s="23"/>
      <c r="F2976" s="23"/>
      <c r="G2976" s="23"/>
      <c r="H2976" s="23"/>
      <c r="I2976" s="23"/>
      <c r="J2976" s="23"/>
      <c r="K2976" s="23"/>
      <c r="L2976" s="23"/>
      <c r="M2976" s="25"/>
      <c r="N2976" s="23"/>
      <c r="O2976" s="23"/>
      <c r="P2976" s="24"/>
    </row>
    <row r="2977" spans="1:16" ht="9.75" customHeight="1">
      <c r="A2977" s="28"/>
      <c r="B2977" s="25" t="s">
        <v>36</v>
      </c>
      <c r="C2977" s="25"/>
      <c r="D2977" s="23"/>
      <c r="E2977" s="23"/>
      <c r="F2977" s="23"/>
      <c r="G2977" s="23"/>
      <c r="H2977" s="23"/>
      <c r="I2977" s="23"/>
      <c r="J2977" s="23"/>
      <c r="K2977" s="23"/>
      <c r="L2977" s="23"/>
      <c r="M2977" s="25"/>
      <c r="N2977" s="23"/>
      <c r="O2977" s="23"/>
      <c r="P2977" s="24"/>
    </row>
    <row r="2978" spans="1:16" ht="9.75" customHeight="1">
      <c r="A2978" s="28"/>
      <c r="B2978" s="31" t="s">
        <v>37</v>
      </c>
      <c r="C2978" s="31"/>
      <c r="D2978" s="30"/>
      <c r="E2978" s="30"/>
      <c r="F2978" s="30"/>
      <c r="G2978" s="30"/>
      <c r="H2978" s="30"/>
      <c r="I2978" s="30"/>
      <c r="J2978" s="30"/>
      <c r="K2978" s="30"/>
      <c r="L2978" s="30"/>
      <c r="M2978" s="31"/>
      <c r="N2978" s="30"/>
      <c r="O2978" s="30"/>
      <c r="P2978" s="198"/>
    </row>
    <row r="2979" spans="1:16" ht="9.75" customHeight="1">
      <c r="A2979" s="89"/>
      <c r="B2979" s="46" t="s">
        <v>38</v>
      </c>
      <c r="C2979" s="199">
        <f t="shared" ref="C2979:M2979" si="551">SUM(C2963:C2978)</f>
        <v>91</v>
      </c>
      <c r="D2979" s="200">
        <f t="shared" si="551"/>
        <v>57</v>
      </c>
      <c r="E2979" s="200">
        <f t="shared" si="551"/>
        <v>44</v>
      </c>
      <c r="F2979" s="200">
        <f t="shared" si="551"/>
        <v>42</v>
      </c>
      <c r="G2979" s="200">
        <f t="shared" si="551"/>
        <v>42</v>
      </c>
      <c r="H2979" s="200">
        <f t="shared" si="551"/>
        <v>43</v>
      </c>
      <c r="I2979" s="200">
        <f t="shared" si="551"/>
        <v>48</v>
      </c>
      <c r="J2979" s="200">
        <f t="shared" si="551"/>
        <v>40</v>
      </c>
      <c r="K2979" s="200">
        <f t="shared" si="551"/>
        <v>45</v>
      </c>
      <c r="L2979" s="200">
        <f t="shared" si="551"/>
        <v>54</v>
      </c>
      <c r="M2979" s="199">
        <f t="shared" si="551"/>
        <v>59</v>
      </c>
      <c r="N2979" s="200">
        <f>MIN(D2979:M2979)</f>
        <v>40</v>
      </c>
      <c r="O2979" s="200">
        <f>C2979-N2979</f>
        <v>51</v>
      </c>
      <c r="P2979" s="201">
        <f>O2979/C2979</f>
        <v>0.56043956043956045</v>
      </c>
    </row>
    <row r="2980" spans="1:16" ht="9.75" customHeight="1">
      <c r="A2980" s="28" t="s">
        <v>389</v>
      </c>
      <c r="B2980" s="25" t="s">
        <v>23</v>
      </c>
      <c r="C2980" s="25"/>
      <c r="D2980" s="23"/>
      <c r="E2980" s="23"/>
      <c r="F2980" s="23"/>
      <c r="G2980" s="23"/>
      <c r="H2980" s="23"/>
      <c r="I2980" s="23"/>
      <c r="J2980" s="23"/>
      <c r="K2980" s="23"/>
      <c r="L2980" s="23"/>
      <c r="M2980" s="25"/>
      <c r="N2980" s="23"/>
      <c r="O2980" s="23"/>
      <c r="P2980" s="24"/>
    </row>
    <row r="2981" spans="1:16" ht="9.75" customHeight="1">
      <c r="A2981" s="57"/>
      <c r="B2981" s="25" t="s">
        <v>25</v>
      </c>
      <c r="C2981" s="87">
        <v>99</v>
      </c>
      <c r="D2981" s="52">
        <f>C2981-15</f>
        <v>84</v>
      </c>
      <c r="E2981" s="52">
        <f>C2981-20</f>
        <v>79</v>
      </c>
      <c r="F2981" s="52">
        <f>C2981-24</f>
        <v>75</v>
      </c>
      <c r="G2981" s="52">
        <f>C2981-25</f>
        <v>74</v>
      </c>
      <c r="H2981" s="52">
        <f>C2981-23</f>
        <v>76</v>
      </c>
      <c r="I2981" s="52">
        <f>C2981-19</f>
        <v>80</v>
      </c>
      <c r="J2981" s="52">
        <f>C2981-25</f>
        <v>74</v>
      </c>
      <c r="K2981" s="52">
        <f>C2981-23</f>
        <v>76</v>
      </c>
      <c r="L2981" s="52">
        <f>C2981-17</f>
        <v>82</v>
      </c>
      <c r="M2981" s="87">
        <f>C2981-12</f>
        <v>87</v>
      </c>
      <c r="N2981" s="52">
        <f>MIN(D2981:M2981)</f>
        <v>74</v>
      </c>
      <c r="O2981" s="52">
        <f>C2981-N2981</f>
        <v>25</v>
      </c>
      <c r="P2981" s="54">
        <f>O2981/C2981</f>
        <v>0.25252525252525254</v>
      </c>
    </row>
    <row r="2982" spans="1:16" ht="9.75" customHeight="1">
      <c r="A2982" s="57"/>
      <c r="B2982" s="25" t="s">
        <v>27</v>
      </c>
      <c r="C2982" s="25"/>
      <c r="D2982" s="23"/>
      <c r="E2982" s="23"/>
      <c r="F2982" s="23"/>
      <c r="G2982" s="23"/>
      <c r="H2982" s="23"/>
      <c r="I2982" s="23"/>
      <c r="J2982" s="23"/>
      <c r="K2982" s="23"/>
      <c r="L2982" s="23"/>
      <c r="M2982" s="25"/>
      <c r="N2982" s="23"/>
      <c r="O2982" s="23"/>
      <c r="P2982" s="24"/>
    </row>
    <row r="2983" spans="1:16" ht="9.75" customHeight="1">
      <c r="A2983" s="57"/>
      <c r="B2983" s="25" t="s">
        <v>99</v>
      </c>
      <c r="C2983" s="25"/>
      <c r="D2983" s="23"/>
      <c r="E2983" s="23"/>
      <c r="F2983" s="23"/>
      <c r="G2983" s="23"/>
      <c r="H2983" s="23"/>
      <c r="I2983" s="23"/>
      <c r="J2983" s="23"/>
      <c r="K2983" s="23"/>
      <c r="L2983" s="23"/>
      <c r="M2983" s="25"/>
      <c r="N2983" s="23"/>
      <c r="O2983" s="23"/>
      <c r="P2983" s="24"/>
    </row>
    <row r="2984" spans="1:16" ht="9.75" customHeight="1">
      <c r="A2984" s="28"/>
      <c r="B2984" s="25" t="s">
        <v>99</v>
      </c>
      <c r="C2984" s="25"/>
      <c r="D2984" s="23"/>
      <c r="E2984" s="23"/>
      <c r="F2984" s="23"/>
      <c r="G2984" s="23"/>
      <c r="H2984" s="23"/>
      <c r="I2984" s="23"/>
      <c r="J2984" s="23"/>
      <c r="K2984" s="23"/>
      <c r="L2984" s="23"/>
      <c r="M2984" s="25"/>
      <c r="N2984" s="23"/>
      <c r="O2984" s="23"/>
      <c r="P2984" s="24"/>
    </row>
    <row r="2985" spans="1:16" ht="9.75" customHeight="1">
      <c r="A2985" s="28"/>
      <c r="B2985" s="25" t="s">
        <v>32</v>
      </c>
      <c r="C2985" s="25"/>
      <c r="D2985" s="23"/>
      <c r="E2985" s="23"/>
      <c r="F2985" s="23"/>
      <c r="G2985" s="23"/>
      <c r="H2985" s="23"/>
      <c r="I2985" s="23"/>
      <c r="J2985" s="23"/>
      <c r="K2985" s="23"/>
      <c r="L2985" s="23"/>
      <c r="M2985" s="25"/>
      <c r="N2985" s="23"/>
      <c r="O2985" s="23"/>
      <c r="P2985" s="24"/>
    </row>
    <row r="2986" spans="1:16" ht="9.75" customHeight="1">
      <c r="A2986" s="28"/>
      <c r="B2986" s="25" t="s">
        <v>188</v>
      </c>
      <c r="C2986" s="87">
        <v>3</v>
      </c>
      <c r="D2986" s="137">
        <v>2</v>
      </c>
      <c r="E2986" s="137">
        <v>1</v>
      </c>
      <c r="F2986" s="137">
        <v>1</v>
      </c>
      <c r="G2986" s="137">
        <v>1</v>
      </c>
      <c r="H2986" s="137">
        <v>1</v>
      </c>
      <c r="I2986" s="137">
        <v>1</v>
      </c>
      <c r="J2986" s="137">
        <v>1</v>
      </c>
      <c r="K2986" s="137">
        <v>1</v>
      </c>
      <c r="L2986" s="137">
        <v>1</v>
      </c>
      <c r="M2986" s="138">
        <v>1</v>
      </c>
      <c r="N2986" s="52">
        <f>MIN(D2986:M2986)</f>
        <v>1</v>
      </c>
      <c r="O2986" s="52">
        <f>C2986-N2986</f>
        <v>2</v>
      </c>
      <c r="P2986" s="54">
        <f>O2986/C2986</f>
        <v>0.66666666666666663</v>
      </c>
    </row>
    <row r="2987" spans="1:16" ht="9.75" customHeight="1">
      <c r="A2987" s="28"/>
      <c r="B2987" s="25" t="s">
        <v>104</v>
      </c>
      <c r="C2987" s="25"/>
      <c r="D2987" s="23"/>
      <c r="E2987" s="23"/>
      <c r="F2987" s="23"/>
      <c r="G2987" s="23"/>
      <c r="H2987" s="23"/>
      <c r="I2987" s="140"/>
      <c r="J2987" s="23"/>
      <c r="K2987" s="23"/>
      <c r="L2987" s="23"/>
      <c r="M2987" s="25"/>
      <c r="N2987" s="23"/>
      <c r="O2987" s="23"/>
      <c r="P2987" s="24"/>
    </row>
    <row r="2988" spans="1:16" ht="9.75" customHeight="1">
      <c r="A2988" s="28"/>
      <c r="B2988" s="25" t="s">
        <v>104</v>
      </c>
      <c r="C2988" s="25"/>
      <c r="D2988" s="23"/>
      <c r="E2988" s="23"/>
      <c r="F2988" s="23"/>
      <c r="G2988" s="23"/>
      <c r="H2988" s="23"/>
      <c r="I2988" s="23"/>
      <c r="J2988" s="23"/>
      <c r="K2988" s="23"/>
      <c r="L2988" s="23"/>
      <c r="M2988" s="25"/>
      <c r="N2988" s="23"/>
      <c r="O2988" s="23"/>
      <c r="P2988" s="24"/>
    </row>
    <row r="2989" spans="1:16" ht="9.75" customHeight="1">
      <c r="A2989" s="28"/>
      <c r="B2989" s="25" t="s">
        <v>104</v>
      </c>
      <c r="C2989" s="25"/>
      <c r="D2989" s="23"/>
      <c r="E2989" s="23"/>
      <c r="F2989" s="23"/>
      <c r="G2989" s="23"/>
      <c r="H2989" s="23"/>
      <c r="I2989" s="23"/>
      <c r="J2989" s="23"/>
      <c r="K2989" s="23"/>
      <c r="L2989" s="23"/>
      <c r="M2989" s="25"/>
      <c r="N2989" s="23"/>
      <c r="O2989" s="23"/>
      <c r="P2989" s="24"/>
    </row>
    <row r="2990" spans="1:16" ht="9.75" customHeight="1">
      <c r="A2990" s="28"/>
      <c r="B2990" s="25" t="s">
        <v>104</v>
      </c>
      <c r="C2990" s="25"/>
      <c r="D2990" s="23"/>
      <c r="E2990" s="23"/>
      <c r="F2990" s="23"/>
      <c r="G2990" s="23"/>
      <c r="H2990" s="23"/>
      <c r="I2990" s="23"/>
      <c r="J2990" s="23"/>
      <c r="K2990" s="23"/>
      <c r="L2990" s="23"/>
      <c r="M2990" s="25"/>
      <c r="N2990" s="23"/>
      <c r="O2990" s="23"/>
      <c r="P2990" s="24"/>
    </row>
    <row r="2991" spans="1:16" ht="9.75" customHeight="1">
      <c r="A2991" s="28"/>
      <c r="B2991" s="25" t="s">
        <v>104</v>
      </c>
      <c r="C2991" s="25"/>
      <c r="D2991" s="23"/>
      <c r="E2991" s="23"/>
      <c r="F2991" s="23"/>
      <c r="G2991" s="23"/>
      <c r="H2991" s="23"/>
      <c r="I2991" s="23"/>
      <c r="J2991" s="23"/>
      <c r="K2991" s="23"/>
      <c r="L2991" s="23"/>
      <c r="M2991" s="25"/>
      <c r="N2991" s="23"/>
      <c r="O2991" s="23"/>
      <c r="P2991" s="24"/>
    </row>
    <row r="2992" spans="1:16" ht="9.75" customHeight="1">
      <c r="A2992" s="28"/>
      <c r="B2992" s="25" t="s">
        <v>34</v>
      </c>
      <c r="C2992" s="25"/>
      <c r="D2992" s="23"/>
      <c r="E2992" s="23"/>
      <c r="F2992" s="23"/>
      <c r="G2992" s="23"/>
      <c r="H2992" s="23"/>
      <c r="I2992" s="23"/>
      <c r="J2992" s="23"/>
      <c r="K2992" s="23"/>
      <c r="L2992" s="23"/>
      <c r="M2992" s="25"/>
      <c r="N2992" s="23"/>
      <c r="O2992" s="23"/>
      <c r="P2992" s="24"/>
    </row>
    <row r="2993" spans="1:16" ht="9.75" customHeight="1">
      <c r="A2993" s="28"/>
      <c r="B2993" s="25" t="s">
        <v>35</v>
      </c>
      <c r="C2993" s="25"/>
      <c r="D2993" s="23"/>
      <c r="E2993" s="23"/>
      <c r="F2993" s="23"/>
      <c r="G2993" s="23"/>
      <c r="H2993" s="23"/>
      <c r="I2993" s="23"/>
      <c r="J2993" s="23"/>
      <c r="K2993" s="23"/>
      <c r="L2993" s="23"/>
      <c r="M2993" s="25"/>
      <c r="N2993" s="23"/>
      <c r="O2993" s="23"/>
      <c r="P2993" s="24"/>
    </row>
    <row r="2994" spans="1:16" ht="9.75" customHeight="1">
      <c r="A2994" s="28"/>
      <c r="B2994" s="25" t="s">
        <v>36</v>
      </c>
      <c r="C2994" s="25"/>
      <c r="D2994" s="23"/>
      <c r="E2994" s="23"/>
      <c r="F2994" s="23"/>
      <c r="G2994" s="23"/>
      <c r="H2994" s="23"/>
      <c r="I2994" s="23"/>
      <c r="J2994" s="23"/>
      <c r="K2994" s="23"/>
      <c r="L2994" s="23"/>
      <c r="M2994" s="25"/>
      <c r="N2994" s="23"/>
      <c r="O2994" s="23"/>
      <c r="P2994" s="24"/>
    </row>
    <row r="2995" spans="1:16" ht="9.75" customHeight="1">
      <c r="A2995" s="28"/>
      <c r="B2995" s="31" t="s">
        <v>37</v>
      </c>
      <c r="C2995" s="31"/>
      <c r="D2995" s="30"/>
      <c r="E2995" s="30"/>
      <c r="F2995" s="30"/>
      <c r="G2995" s="30"/>
      <c r="H2995" s="30"/>
      <c r="I2995" s="30"/>
      <c r="J2995" s="30"/>
      <c r="K2995" s="30"/>
      <c r="L2995" s="30"/>
      <c r="M2995" s="31"/>
      <c r="N2995" s="30"/>
      <c r="O2995" s="30"/>
      <c r="P2995" s="198"/>
    </row>
    <row r="2996" spans="1:16" ht="9.75" customHeight="1">
      <c r="A2996" s="89"/>
      <c r="B2996" s="46" t="s">
        <v>38</v>
      </c>
      <c r="C2996" s="199">
        <f t="shared" ref="C2996:M2996" si="552">SUM(C2980:C2995)</f>
        <v>102</v>
      </c>
      <c r="D2996" s="200">
        <f t="shared" si="552"/>
        <v>86</v>
      </c>
      <c r="E2996" s="200">
        <f t="shared" si="552"/>
        <v>80</v>
      </c>
      <c r="F2996" s="200">
        <f t="shared" si="552"/>
        <v>76</v>
      </c>
      <c r="G2996" s="200">
        <f t="shared" si="552"/>
        <v>75</v>
      </c>
      <c r="H2996" s="200">
        <f t="shared" si="552"/>
        <v>77</v>
      </c>
      <c r="I2996" s="200">
        <f t="shared" si="552"/>
        <v>81</v>
      </c>
      <c r="J2996" s="200">
        <f t="shared" si="552"/>
        <v>75</v>
      </c>
      <c r="K2996" s="200">
        <f t="shared" si="552"/>
        <v>77</v>
      </c>
      <c r="L2996" s="200">
        <f t="shared" si="552"/>
        <v>83</v>
      </c>
      <c r="M2996" s="199">
        <f t="shared" si="552"/>
        <v>88</v>
      </c>
      <c r="N2996" s="200">
        <f>MIN(D2996:M2996)</f>
        <v>75</v>
      </c>
      <c r="O2996" s="200">
        <f>C2996-N2996</f>
        <v>27</v>
      </c>
      <c r="P2996" s="201">
        <f>O2996/C2996</f>
        <v>0.26470588235294118</v>
      </c>
    </row>
    <row r="2997" spans="1:16" ht="9.75" customHeight="1">
      <c r="A2997" s="28" t="s">
        <v>390</v>
      </c>
      <c r="B2997" s="25" t="s">
        <v>23</v>
      </c>
      <c r="C2997" s="25"/>
      <c r="D2997" s="23"/>
      <c r="E2997" s="23"/>
      <c r="F2997" s="23"/>
      <c r="G2997" s="23"/>
      <c r="H2997" s="23"/>
      <c r="I2997" s="23"/>
      <c r="J2997" s="23"/>
      <c r="K2997" s="23"/>
      <c r="L2997" s="23"/>
      <c r="M2997" s="25"/>
      <c r="N2997" s="23"/>
      <c r="O2997" s="23"/>
      <c r="P2997" s="24"/>
    </row>
    <row r="2998" spans="1:16" ht="9.75" customHeight="1">
      <c r="A2998" s="57"/>
      <c r="B2998" s="25" t="s">
        <v>25</v>
      </c>
      <c r="C2998" s="87">
        <v>103</v>
      </c>
      <c r="D2998" s="52">
        <f>C2998-38</f>
        <v>65</v>
      </c>
      <c r="E2998" s="52">
        <f>C2998-44</f>
        <v>59</v>
      </c>
      <c r="F2998" s="52">
        <f>C2998-45</f>
        <v>58</v>
      </c>
      <c r="G2998" s="52">
        <f>C2998-48</f>
        <v>55</v>
      </c>
      <c r="H2998" s="52">
        <f>C2998-44</f>
        <v>59</v>
      </c>
      <c r="I2998" s="52">
        <f>C2998-43</f>
        <v>60</v>
      </c>
      <c r="J2998" s="52">
        <f>C2998-39</f>
        <v>64</v>
      </c>
      <c r="K2998" s="52">
        <f>C2998-46</f>
        <v>57</v>
      </c>
      <c r="L2998" s="52">
        <f>C2998-38</f>
        <v>65</v>
      </c>
      <c r="M2998" s="87">
        <f>C2998-30</f>
        <v>73</v>
      </c>
      <c r="N2998" s="52">
        <f>MIN(D2998:M2998)</f>
        <v>55</v>
      </c>
      <c r="O2998" s="52">
        <f>C2998-N2998</f>
        <v>48</v>
      </c>
      <c r="P2998" s="54">
        <f>O2998/C2998</f>
        <v>0.46601941747572817</v>
      </c>
    </row>
    <row r="2999" spans="1:16" ht="9.75" customHeight="1">
      <c r="A2999" s="57"/>
      <c r="B2999" s="25" t="s">
        <v>27</v>
      </c>
      <c r="C2999" s="25"/>
      <c r="D2999" s="23"/>
      <c r="E2999" s="23"/>
      <c r="F2999" s="23"/>
      <c r="G2999" s="23"/>
      <c r="H2999" s="23"/>
      <c r="I2999" s="23"/>
      <c r="J2999" s="23"/>
      <c r="K2999" s="23"/>
      <c r="L2999" s="23"/>
      <c r="M2999" s="25"/>
      <c r="N2999" s="23"/>
      <c r="O2999" s="23"/>
      <c r="P2999" s="24"/>
    </row>
    <row r="3000" spans="1:16" ht="9.75" customHeight="1">
      <c r="A3000" s="57"/>
      <c r="B3000" s="25" t="s">
        <v>99</v>
      </c>
      <c r="C3000" s="25"/>
      <c r="D3000" s="23"/>
      <c r="E3000" s="23"/>
      <c r="F3000" s="23"/>
      <c r="G3000" s="23"/>
      <c r="H3000" s="23"/>
      <c r="I3000" s="23"/>
      <c r="J3000" s="23"/>
      <c r="K3000" s="23"/>
      <c r="L3000" s="23"/>
      <c r="M3000" s="25"/>
      <c r="N3000" s="23"/>
      <c r="O3000" s="23"/>
      <c r="P3000" s="24"/>
    </row>
    <row r="3001" spans="1:16" ht="9.75" customHeight="1">
      <c r="A3001" s="28"/>
      <c r="B3001" s="25" t="s">
        <v>99</v>
      </c>
      <c r="C3001" s="25"/>
      <c r="D3001" s="23"/>
      <c r="E3001" s="23"/>
      <c r="F3001" s="23"/>
      <c r="G3001" s="23"/>
      <c r="H3001" s="23"/>
      <c r="I3001" s="23"/>
      <c r="J3001" s="23"/>
      <c r="K3001" s="23"/>
      <c r="L3001" s="23"/>
      <c r="M3001" s="25"/>
      <c r="N3001" s="23"/>
      <c r="O3001" s="23"/>
      <c r="P3001" s="24"/>
    </row>
    <row r="3002" spans="1:16" ht="9.75" customHeight="1">
      <c r="A3002" s="28"/>
      <c r="B3002" s="25" t="s">
        <v>32</v>
      </c>
      <c r="C3002" s="25"/>
      <c r="D3002" s="23"/>
      <c r="E3002" s="23"/>
      <c r="F3002" s="23"/>
      <c r="G3002" s="23"/>
      <c r="H3002" s="23"/>
      <c r="I3002" s="23"/>
      <c r="J3002" s="23"/>
      <c r="K3002" s="23"/>
      <c r="L3002" s="23"/>
      <c r="M3002" s="25"/>
      <c r="N3002" s="23"/>
      <c r="O3002" s="23"/>
      <c r="P3002" s="24"/>
    </row>
    <row r="3003" spans="1:16" ht="9.75" customHeight="1">
      <c r="A3003" s="28"/>
      <c r="B3003" s="25" t="s">
        <v>104</v>
      </c>
      <c r="C3003" s="25"/>
      <c r="D3003" s="23"/>
      <c r="E3003" s="23"/>
      <c r="F3003" s="23"/>
      <c r="G3003" s="23"/>
      <c r="H3003" s="23"/>
      <c r="I3003" s="23"/>
      <c r="J3003" s="23"/>
      <c r="K3003" s="23"/>
      <c r="L3003" s="23"/>
      <c r="M3003" s="25"/>
      <c r="N3003" s="23"/>
      <c r="O3003" s="23"/>
      <c r="P3003" s="24"/>
    </row>
    <row r="3004" spans="1:16" ht="9.75" customHeight="1">
      <c r="A3004" s="28"/>
      <c r="B3004" s="25" t="s">
        <v>104</v>
      </c>
      <c r="C3004" s="25"/>
      <c r="D3004" s="23"/>
      <c r="E3004" s="23"/>
      <c r="F3004" s="23"/>
      <c r="G3004" s="23"/>
      <c r="H3004" s="23"/>
      <c r="I3004" s="23"/>
      <c r="J3004" s="23"/>
      <c r="K3004" s="23"/>
      <c r="L3004" s="23"/>
      <c r="M3004" s="25"/>
      <c r="N3004" s="23"/>
      <c r="O3004" s="23"/>
      <c r="P3004" s="24"/>
    </row>
    <row r="3005" spans="1:16" ht="9.75" customHeight="1">
      <c r="A3005" s="28"/>
      <c r="B3005" s="25" t="s">
        <v>104</v>
      </c>
      <c r="C3005" s="25"/>
      <c r="D3005" s="23"/>
      <c r="E3005" s="23"/>
      <c r="F3005" s="23"/>
      <c r="G3005" s="23"/>
      <c r="H3005" s="23"/>
      <c r="I3005" s="23"/>
      <c r="J3005" s="23"/>
      <c r="K3005" s="23"/>
      <c r="L3005" s="23"/>
      <c r="M3005" s="25"/>
      <c r="N3005" s="23"/>
      <c r="O3005" s="23"/>
      <c r="P3005" s="24"/>
    </row>
    <row r="3006" spans="1:16" ht="9.75" customHeight="1">
      <c r="A3006" s="28"/>
      <c r="B3006" s="25" t="s">
        <v>104</v>
      </c>
      <c r="C3006" s="25"/>
      <c r="D3006" s="23"/>
      <c r="E3006" s="23"/>
      <c r="F3006" s="23"/>
      <c r="G3006" s="23"/>
      <c r="H3006" s="23"/>
      <c r="I3006" s="23"/>
      <c r="J3006" s="23"/>
      <c r="K3006" s="23"/>
      <c r="L3006" s="23"/>
      <c r="M3006" s="25"/>
      <c r="N3006" s="23"/>
      <c r="O3006" s="23"/>
      <c r="P3006" s="24"/>
    </row>
    <row r="3007" spans="1:16" ht="9.75" customHeight="1">
      <c r="A3007" s="28"/>
      <c r="B3007" s="25" t="s">
        <v>104</v>
      </c>
      <c r="C3007" s="25"/>
      <c r="D3007" s="23"/>
      <c r="E3007" s="23"/>
      <c r="F3007" s="23"/>
      <c r="G3007" s="23"/>
      <c r="H3007" s="23"/>
      <c r="I3007" s="23"/>
      <c r="J3007" s="23"/>
      <c r="K3007" s="23"/>
      <c r="L3007" s="23"/>
      <c r="M3007" s="25"/>
      <c r="N3007" s="23"/>
      <c r="O3007" s="23"/>
      <c r="P3007" s="24"/>
    </row>
    <row r="3008" spans="1:16" ht="9.75" customHeight="1">
      <c r="A3008" s="28"/>
      <c r="B3008" s="25" t="s">
        <v>104</v>
      </c>
      <c r="C3008" s="25"/>
      <c r="D3008" s="23"/>
      <c r="E3008" s="23"/>
      <c r="F3008" s="23"/>
      <c r="G3008" s="23"/>
      <c r="H3008" s="23"/>
      <c r="I3008" s="23"/>
      <c r="J3008" s="23"/>
      <c r="K3008" s="23"/>
      <c r="L3008" s="23"/>
      <c r="M3008" s="25"/>
      <c r="N3008" s="23"/>
      <c r="O3008" s="23"/>
      <c r="P3008" s="24"/>
    </row>
    <row r="3009" spans="1:16" ht="9.75" customHeight="1">
      <c r="A3009" s="28"/>
      <c r="B3009" s="25" t="s">
        <v>34</v>
      </c>
      <c r="C3009" s="25"/>
      <c r="D3009" s="23"/>
      <c r="E3009" s="23"/>
      <c r="F3009" s="23"/>
      <c r="G3009" s="23"/>
      <c r="H3009" s="23"/>
      <c r="I3009" s="23"/>
      <c r="J3009" s="23"/>
      <c r="K3009" s="23"/>
      <c r="L3009" s="23"/>
      <c r="M3009" s="25"/>
      <c r="N3009" s="23"/>
      <c r="O3009" s="23"/>
      <c r="P3009" s="24"/>
    </row>
    <row r="3010" spans="1:16" ht="9.75" customHeight="1">
      <c r="A3010" s="28"/>
      <c r="B3010" s="25" t="s">
        <v>35</v>
      </c>
      <c r="C3010" s="25"/>
      <c r="D3010" s="23"/>
      <c r="E3010" s="23"/>
      <c r="F3010" s="23"/>
      <c r="G3010" s="23"/>
      <c r="H3010" s="23"/>
      <c r="I3010" s="23"/>
      <c r="J3010" s="23"/>
      <c r="K3010" s="23"/>
      <c r="L3010" s="23"/>
      <c r="M3010" s="25"/>
      <c r="N3010" s="23"/>
      <c r="O3010" s="23"/>
      <c r="P3010" s="24"/>
    </row>
    <row r="3011" spans="1:16" ht="9.75" customHeight="1">
      <c r="A3011" s="28"/>
      <c r="B3011" s="25" t="s">
        <v>36</v>
      </c>
      <c r="C3011" s="25"/>
      <c r="D3011" s="23"/>
      <c r="E3011" s="23"/>
      <c r="F3011" s="23"/>
      <c r="G3011" s="23"/>
      <c r="H3011" s="23"/>
      <c r="I3011" s="23"/>
      <c r="J3011" s="23"/>
      <c r="K3011" s="23"/>
      <c r="L3011" s="23"/>
      <c r="M3011" s="25"/>
      <c r="N3011" s="23"/>
      <c r="O3011" s="23"/>
      <c r="P3011" s="24"/>
    </row>
    <row r="3012" spans="1:16" ht="9.75" customHeight="1">
      <c r="A3012" s="28"/>
      <c r="B3012" s="31" t="s">
        <v>37</v>
      </c>
      <c r="C3012" s="31"/>
      <c r="D3012" s="30"/>
      <c r="E3012" s="30"/>
      <c r="F3012" s="30"/>
      <c r="G3012" s="30"/>
      <c r="H3012" s="30"/>
      <c r="I3012" s="30"/>
      <c r="J3012" s="30"/>
      <c r="K3012" s="30"/>
      <c r="L3012" s="30"/>
      <c r="M3012" s="31"/>
      <c r="N3012" s="30"/>
      <c r="O3012" s="30"/>
      <c r="P3012" s="198"/>
    </row>
    <row r="3013" spans="1:16" ht="9.75" customHeight="1">
      <c r="A3013" s="89"/>
      <c r="B3013" s="46" t="s">
        <v>38</v>
      </c>
      <c r="C3013" s="199">
        <f t="shared" ref="C3013:M3013" si="553">SUM(C2997:C3012)</f>
        <v>103</v>
      </c>
      <c r="D3013" s="200">
        <f t="shared" si="553"/>
        <v>65</v>
      </c>
      <c r="E3013" s="200">
        <f t="shared" si="553"/>
        <v>59</v>
      </c>
      <c r="F3013" s="200">
        <f t="shared" si="553"/>
        <v>58</v>
      </c>
      <c r="G3013" s="200">
        <f t="shared" si="553"/>
        <v>55</v>
      </c>
      <c r="H3013" s="200">
        <f t="shared" si="553"/>
        <v>59</v>
      </c>
      <c r="I3013" s="200">
        <f t="shared" si="553"/>
        <v>60</v>
      </c>
      <c r="J3013" s="200">
        <f t="shared" si="553"/>
        <v>64</v>
      </c>
      <c r="K3013" s="200">
        <f t="shared" si="553"/>
        <v>57</v>
      </c>
      <c r="L3013" s="200">
        <f t="shared" si="553"/>
        <v>65</v>
      </c>
      <c r="M3013" s="199">
        <f t="shared" si="553"/>
        <v>73</v>
      </c>
      <c r="N3013" s="200">
        <f>MIN(D3013:M3013)</f>
        <v>55</v>
      </c>
      <c r="O3013" s="200">
        <f>C3013-N3013</f>
        <v>48</v>
      </c>
      <c r="P3013" s="201">
        <f>O3013/C3013</f>
        <v>0.46601941747572817</v>
      </c>
    </row>
    <row r="3014" spans="1:16" ht="9.75" customHeight="1">
      <c r="A3014" s="28" t="s">
        <v>391</v>
      </c>
      <c r="B3014" s="25" t="s">
        <v>23</v>
      </c>
      <c r="C3014" s="25"/>
      <c r="D3014" s="23"/>
      <c r="E3014" s="23"/>
      <c r="F3014" s="23"/>
      <c r="G3014" s="23"/>
      <c r="H3014" s="23"/>
      <c r="I3014" s="23"/>
      <c r="J3014" s="23"/>
      <c r="K3014" s="23"/>
      <c r="L3014" s="23"/>
      <c r="M3014" s="25"/>
      <c r="N3014" s="23"/>
      <c r="O3014" s="23"/>
      <c r="P3014" s="24"/>
    </row>
    <row r="3015" spans="1:16" ht="9.75" customHeight="1">
      <c r="A3015" s="57"/>
      <c r="B3015" s="25" t="s">
        <v>25</v>
      </c>
      <c r="C3015" s="87">
        <v>175</v>
      </c>
      <c r="D3015" s="52">
        <f>C3015-55</f>
        <v>120</v>
      </c>
      <c r="E3015" s="52">
        <f>C3015-64</f>
        <v>111</v>
      </c>
      <c r="F3015" s="52">
        <f>C3015-79</f>
        <v>96</v>
      </c>
      <c r="G3015" s="52">
        <f>C3015-77</f>
        <v>98</v>
      </c>
      <c r="H3015" s="52">
        <f>C3015-84</f>
        <v>91</v>
      </c>
      <c r="I3015" s="52">
        <f>C3015-81</f>
        <v>94</v>
      </c>
      <c r="J3015" s="52">
        <f>C3015-74</f>
        <v>101</v>
      </c>
      <c r="K3015" s="52">
        <f>C3015-46</f>
        <v>129</v>
      </c>
      <c r="L3015" s="52">
        <f>C3015-38</f>
        <v>137</v>
      </c>
      <c r="M3015" s="87">
        <f>C3015-30</f>
        <v>145</v>
      </c>
      <c r="N3015" s="52">
        <f>MIN(D3015:M3015)</f>
        <v>91</v>
      </c>
      <c r="O3015" s="52">
        <f>C3015-N3015</f>
        <v>84</v>
      </c>
      <c r="P3015" s="54">
        <f>O3015/C3015</f>
        <v>0.48</v>
      </c>
    </row>
    <row r="3016" spans="1:16" ht="9.75" customHeight="1">
      <c r="A3016" s="57"/>
      <c r="B3016" s="25" t="s">
        <v>27</v>
      </c>
      <c r="C3016" s="25"/>
      <c r="D3016" s="23"/>
      <c r="E3016" s="23"/>
      <c r="F3016" s="23"/>
      <c r="G3016" s="23"/>
      <c r="H3016" s="23"/>
      <c r="I3016" s="23"/>
      <c r="J3016" s="23"/>
      <c r="K3016" s="23"/>
      <c r="L3016" s="23"/>
      <c r="M3016" s="25"/>
      <c r="N3016" s="23"/>
      <c r="O3016" s="23"/>
      <c r="P3016" s="24"/>
    </row>
    <row r="3017" spans="1:16" ht="9.75" customHeight="1">
      <c r="A3017" s="57"/>
      <c r="B3017" s="25" t="s">
        <v>99</v>
      </c>
      <c r="C3017" s="25"/>
      <c r="D3017" s="23"/>
      <c r="E3017" s="23"/>
      <c r="F3017" s="23"/>
      <c r="G3017" s="23"/>
      <c r="H3017" s="23"/>
      <c r="I3017" s="23"/>
      <c r="J3017" s="23"/>
      <c r="K3017" s="23"/>
      <c r="L3017" s="23"/>
      <c r="M3017" s="25"/>
      <c r="N3017" s="23"/>
      <c r="O3017" s="23"/>
      <c r="P3017" s="24"/>
    </row>
    <row r="3018" spans="1:16" ht="9.75" customHeight="1">
      <c r="A3018" s="28"/>
      <c r="B3018" s="25" t="s">
        <v>99</v>
      </c>
      <c r="C3018" s="25"/>
      <c r="D3018" s="23"/>
      <c r="E3018" s="23"/>
      <c r="F3018" s="23"/>
      <c r="G3018" s="23"/>
      <c r="H3018" s="23"/>
      <c r="I3018" s="23"/>
      <c r="J3018" s="23"/>
      <c r="K3018" s="23"/>
      <c r="L3018" s="23"/>
      <c r="M3018" s="25"/>
      <c r="N3018" s="23"/>
      <c r="O3018" s="23"/>
      <c r="P3018" s="24"/>
    </row>
    <row r="3019" spans="1:16" ht="9.75" customHeight="1">
      <c r="A3019" s="28"/>
      <c r="B3019" s="25" t="s">
        <v>32</v>
      </c>
      <c r="C3019" s="25"/>
      <c r="D3019" s="23"/>
      <c r="E3019" s="23"/>
      <c r="F3019" s="23"/>
      <c r="G3019" s="23"/>
      <c r="H3019" s="23"/>
      <c r="I3019" s="23"/>
      <c r="J3019" s="23"/>
      <c r="K3019" s="23"/>
      <c r="L3019" s="23"/>
      <c r="M3019" s="25"/>
      <c r="N3019" s="23"/>
      <c r="O3019" s="23"/>
      <c r="P3019" s="24"/>
    </row>
    <row r="3020" spans="1:16" ht="9.75" customHeight="1">
      <c r="A3020" s="28"/>
      <c r="B3020" s="25" t="s">
        <v>104</v>
      </c>
      <c r="C3020" s="25"/>
      <c r="D3020" s="23"/>
      <c r="E3020" s="23"/>
      <c r="F3020" s="23"/>
      <c r="G3020" s="23"/>
      <c r="H3020" s="23"/>
      <c r="I3020" s="23"/>
      <c r="J3020" s="23"/>
      <c r="K3020" s="23"/>
      <c r="L3020" s="23"/>
      <c r="M3020" s="25"/>
      <c r="N3020" s="23"/>
      <c r="O3020" s="23"/>
      <c r="P3020" s="24"/>
    </row>
    <row r="3021" spans="1:16" ht="9.75" customHeight="1">
      <c r="A3021" s="28"/>
      <c r="B3021" s="25" t="s">
        <v>104</v>
      </c>
      <c r="C3021" s="25"/>
      <c r="D3021" s="23"/>
      <c r="E3021" s="23"/>
      <c r="F3021" s="23"/>
      <c r="G3021" s="23"/>
      <c r="H3021" s="23"/>
      <c r="I3021" s="23"/>
      <c r="J3021" s="23"/>
      <c r="K3021" s="23"/>
      <c r="L3021" s="23"/>
      <c r="M3021" s="25"/>
      <c r="N3021" s="23"/>
      <c r="O3021" s="23"/>
      <c r="P3021" s="24"/>
    </row>
    <row r="3022" spans="1:16" ht="9.75" customHeight="1">
      <c r="A3022" s="28"/>
      <c r="B3022" s="25" t="s">
        <v>104</v>
      </c>
      <c r="C3022" s="25"/>
      <c r="D3022" s="23"/>
      <c r="E3022" s="23"/>
      <c r="F3022" s="23"/>
      <c r="G3022" s="23"/>
      <c r="H3022" s="23"/>
      <c r="I3022" s="23"/>
      <c r="J3022" s="23"/>
      <c r="K3022" s="23"/>
      <c r="L3022" s="23"/>
      <c r="M3022" s="25"/>
      <c r="N3022" s="23"/>
      <c r="O3022" s="23"/>
      <c r="P3022" s="24"/>
    </row>
    <row r="3023" spans="1:16" ht="9.75" customHeight="1">
      <c r="A3023" s="28"/>
      <c r="B3023" s="25" t="s">
        <v>104</v>
      </c>
      <c r="C3023" s="25"/>
      <c r="D3023" s="23"/>
      <c r="E3023" s="23"/>
      <c r="F3023" s="23"/>
      <c r="G3023" s="23"/>
      <c r="H3023" s="23"/>
      <c r="I3023" s="23"/>
      <c r="J3023" s="23"/>
      <c r="K3023" s="23"/>
      <c r="L3023" s="23"/>
      <c r="M3023" s="25"/>
      <c r="N3023" s="23"/>
      <c r="O3023" s="23"/>
      <c r="P3023" s="24"/>
    </row>
    <row r="3024" spans="1:16" ht="9.75" customHeight="1">
      <c r="A3024" s="28"/>
      <c r="B3024" s="25" t="s">
        <v>104</v>
      </c>
      <c r="C3024" s="25"/>
      <c r="D3024" s="23"/>
      <c r="E3024" s="23"/>
      <c r="F3024" s="23"/>
      <c r="G3024" s="23"/>
      <c r="H3024" s="23"/>
      <c r="I3024" s="23"/>
      <c r="J3024" s="23"/>
      <c r="K3024" s="23"/>
      <c r="L3024" s="23"/>
      <c r="M3024" s="25"/>
      <c r="N3024" s="23"/>
      <c r="O3024" s="23"/>
      <c r="P3024" s="24"/>
    </row>
    <row r="3025" spans="1:16" ht="9.75" customHeight="1">
      <c r="A3025" s="28"/>
      <c r="B3025" s="25" t="s">
        <v>104</v>
      </c>
      <c r="C3025" s="25"/>
      <c r="D3025" s="23"/>
      <c r="E3025" s="23"/>
      <c r="F3025" s="23"/>
      <c r="G3025" s="23"/>
      <c r="H3025" s="23"/>
      <c r="I3025" s="23"/>
      <c r="J3025" s="23"/>
      <c r="K3025" s="23"/>
      <c r="L3025" s="23"/>
      <c r="M3025" s="25"/>
      <c r="N3025" s="23"/>
      <c r="O3025" s="23"/>
      <c r="P3025" s="24"/>
    </row>
    <row r="3026" spans="1:16" ht="9.75" customHeight="1">
      <c r="A3026" s="28"/>
      <c r="B3026" s="25" t="s">
        <v>34</v>
      </c>
      <c r="C3026" s="25"/>
      <c r="D3026" s="23"/>
      <c r="E3026" s="23"/>
      <c r="F3026" s="23"/>
      <c r="G3026" s="23"/>
      <c r="H3026" s="23"/>
      <c r="I3026" s="23"/>
      <c r="J3026" s="23"/>
      <c r="K3026" s="23"/>
      <c r="L3026" s="23"/>
      <c r="M3026" s="25"/>
      <c r="N3026" s="23"/>
      <c r="O3026" s="23"/>
      <c r="P3026" s="24"/>
    </row>
    <row r="3027" spans="1:16" ht="9.75" customHeight="1">
      <c r="A3027" s="28"/>
      <c r="B3027" s="25" t="s">
        <v>35</v>
      </c>
      <c r="C3027" s="25"/>
      <c r="D3027" s="23"/>
      <c r="E3027" s="23"/>
      <c r="F3027" s="23"/>
      <c r="G3027" s="23"/>
      <c r="H3027" s="23"/>
      <c r="I3027" s="23"/>
      <c r="J3027" s="23"/>
      <c r="K3027" s="23"/>
      <c r="L3027" s="23"/>
      <c r="M3027" s="25"/>
      <c r="N3027" s="23"/>
      <c r="O3027" s="23"/>
      <c r="P3027" s="24"/>
    </row>
    <row r="3028" spans="1:16" ht="9.75" customHeight="1">
      <c r="A3028" s="28"/>
      <c r="B3028" s="25" t="s">
        <v>36</v>
      </c>
      <c r="C3028" s="25"/>
      <c r="D3028" s="23"/>
      <c r="E3028" s="23"/>
      <c r="F3028" s="23"/>
      <c r="G3028" s="23"/>
      <c r="H3028" s="23"/>
      <c r="I3028" s="23"/>
      <c r="J3028" s="23"/>
      <c r="K3028" s="23"/>
      <c r="L3028" s="23"/>
      <c r="M3028" s="25"/>
      <c r="N3028" s="23"/>
      <c r="O3028" s="23"/>
      <c r="P3028" s="24"/>
    </row>
    <row r="3029" spans="1:16" ht="9.75" customHeight="1">
      <c r="A3029" s="28"/>
      <c r="B3029" s="31" t="s">
        <v>37</v>
      </c>
      <c r="C3029" s="31"/>
      <c r="D3029" s="30"/>
      <c r="E3029" s="30"/>
      <c r="F3029" s="30"/>
      <c r="G3029" s="30"/>
      <c r="H3029" s="30"/>
      <c r="I3029" s="30"/>
      <c r="J3029" s="30"/>
      <c r="K3029" s="30"/>
      <c r="L3029" s="30"/>
      <c r="M3029" s="31"/>
      <c r="N3029" s="30"/>
      <c r="O3029" s="30"/>
      <c r="P3029" s="198"/>
    </row>
    <row r="3030" spans="1:16" ht="9.75" customHeight="1">
      <c r="A3030" s="89"/>
      <c r="B3030" s="46" t="s">
        <v>38</v>
      </c>
      <c r="C3030" s="199">
        <f t="shared" ref="C3030:M3030" si="554">SUM(C3014:C3029)</f>
        <v>175</v>
      </c>
      <c r="D3030" s="200">
        <f t="shared" si="554"/>
        <v>120</v>
      </c>
      <c r="E3030" s="200">
        <f t="shared" si="554"/>
        <v>111</v>
      </c>
      <c r="F3030" s="200">
        <f t="shared" si="554"/>
        <v>96</v>
      </c>
      <c r="G3030" s="200">
        <f t="shared" si="554"/>
        <v>98</v>
      </c>
      <c r="H3030" s="200">
        <f t="shared" si="554"/>
        <v>91</v>
      </c>
      <c r="I3030" s="200">
        <f t="shared" si="554"/>
        <v>94</v>
      </c>
      <c r="J3030" s="200">
        <f t="shared" si="554"/>
        <v>101</v>
      </c>
      <c r="K3030" s="200">
        <f t="shared" si="554"/>
        <v>129</v>
      </c>
      <c r="L3030" s="200">
        <f t="shared" si="554"/>
        <v>137</v>
      </c>
      <c r="M3030" s="199">
        <f t="shared" si="554"/>
        <v>145</v>
      </c>
      <c r="N3030" s="200">
        <f>MIN(D3030:M3030)</f>
        <v>91</v>
      </c>
      <c r="O3030" s="200">
        <f>C3030-N3030</f>
        <v>84</v>
      </c>
      <c r="P3030" s="201">
        <f>O3030/C3030</f>
        <v>0.48</v>
      </c>
    </row>
    <row r="3031" spans="1:16" ht="9.75" customHeight="1">
      <c r="A3031" s="28" t="s">
        <v>392</v>
      </c>
      <c r="B3031" s="25" t="s">
        <v>23</v>
      </c>
      <c r="C3031" s="25"/>
      <c r="D3031" s="23"/>
      <c r="E3031" s="23"/>
      <c r="F3031" s="23"/>
      <c r="G3031" s="23"/>
      <c r="H3031" s="23"/>
      <c r="I3031" s="23"/>
      <c r="J3031" s="23"/>
      <c r="K3031" s="23"/>
      <c r="L3031" s="23"/>
      <c r="M3031" s="25"/>
      <c r="N3031" s="23"/>
      <c r="O3031" s="23"/>
      <c r="P3031" s="24"/>
    </row>
    <row r="3032" spans="1:16" ht="9.75" customHeight="1">
      <c r="A3032" s="57"/>
      <c r="B3032" s="25" t="s">
        <v>25</v>
      </c>
      <c r="C3032" s="87">
        <v>125</v>
      </c>
      <c r="D3032" s="137">
        <v>2</v>
      </c>
      <c r="E3032" s="137">
        <v>1</v>
      </c>
      <c r="F3032" s="137">
        <v>1</v>
      </c>
      <c r="G3032" s="137">
        <v>1</v>
      </c>
      <c r="H3032" s="137">
        <v>1</v>
      </c>
      <c r="I3032" s="137">
        <v>6</v>
      </c>
      <c r="J3032" s="137">
        <v>12</v>
      </c>
      <c r="K3032" s="137">
        <v>16</v>
      </c>
      <c r="L3032" s="137">
        <v>41</v>
      </c>
      <c r="M3032" s="138">
        <v>49</v>
      </c>
      <c r="N3032" s="52">
        <f>MIN(D3032:M3032)</f>
        <v>1</v>
      </c>
      <c r="O3032" s="52">
        <f>C3032-N3032</f>
        <v>124</v>
      </c>
      <c r="P3032" s="54">
        <f>O3032/C3032</f>
        <v>0.99199999999999999</v>
      </c>
    </row>
    <row r="3033" spans="1:16" ht="9.75" customHeight="1">
      <c r="A3033" s="57"/>
      <c r="B3033" s="25" t="s">
        <v>27</v>
      </c>
      <c r="C3033" s="25"/>
      <c r="D3033" s="23"/>
      <c r="E3033" s="23"/>
      <c r="F3033" s="23"/>
      <c r="G3033" s="23"/>
      <c r="H3033" s="23"/>
      <c r="I3033" s="23"/>
      <c r="J3033" s="23"/>
      <c r="K3033" s="23"/>
      <c r="L3033" s="23"/>
      <c r="M3033" s="25"/>
      <c r="N3033" s="23"/>
      <c r="O3033" s="23"/>
      <c r="P3033" s="24"/>
    </row>
    <row r="3034" spans="1:16" ht="9.75" customHeight="1">
      <c r="A3034" s="57"/>
      <c r="B3034" s="25" t="s">
        <v>99</v>
      </c>
      <c r="C3034" s="25"/>
      <c r="D3034" s="23"/>
      <c r="E3034" s="23"/>
      <c r="F3034" s="23"/>
      <c r="G3034" s="23"/>
      <c r="H3034" s="23"/>
      <c r="I3034" s="23"/>
      <c r="J3034" s="23"/>
      <c r="K3034" s="23"/>
      <c r="L3034" s="23"/>
      <c r="M3034" s="25"/>
      <c r="N3034" s="23"/>
      <c r="O3034" s="23"/>
      <c r="P3034" s="24"/>
    </row>
    <row r="3035" spans="1:16" ht="9.75" customHeight="1">
      <c r="A3035" s="28"/>
      <c r="B3035" s="25" t="s">
        <v>99</v>
      </c>
      <c r="C3035" s="25"/>
      <c r="D3035" s="23"/>
      <c r="E3035" s="23"/>
      <c r="F3035" s="23"/>
      <c r="G3035" s="23"/>
      <c r="H3035" s="23"/>
      <c r="I3035" s="23"/>
      <c r="J3035" s="23"/>
      <c r="K3035" s="23"/>
      <c r="L3035" s="23"/>
      <c r="M3035" s="25"/>
      <c r="N3035" s="23"/>
      <c r="O3035" s="23"/>
      <c r="P3035" s="24"/>
    </row>
    <row r="3036" spans="1:16" ht="9.75" customHeight="1">
      <c r="A3036" s="28"/>
      <c r="B3036" s="25" t="s">
        <v>32</v>
      </c>
      <c r="C3036" s="25"/>
      <c r="D3036" s="23"/>
      <c r="E3036" s="23"/>
      <c r="F3036" s="23"/>
      <c r="G3036" s="23"/>
      <c r="H3036" s="23"/>
      <c r="I3036" s="23"/>
      <c r="J3036" s="23"/>
      <c r="K3036" s="23"/>
      <c r="L3036" s="23"/>
      <c r="M3036" s="25"/>
      <c r="N3036" s="23"/>
      <c r="O3036" s="23"/>
      <c r="P3036" s="24"/>
    </row>
    <row r="3037" spans="1:16" ht="9.75" customHeight="1">
      <c r="A3037" s="28"/>
      <c r="B3037" s="25" t="s">
        <v>104</v>
      </c>
      <c r="C3037" s="25"/>
      <c r="D3037" s="23"/>
      <c r="E3037" s="23"/>
      <c r="F3037" s="23"/>
      <c r="G3037" s="23"/>
      <c r="H3037" s="23"/>
      <c r="I3037" s="23"/>
      <c r="J3037" s="23"/>
      <c r="K3037" s="23"/>
      <c r="L3037" s="23"/>
      <c r="M3037" s="25"/>
      <c r="N3037" s="23"/>
      <c r="O3037" s="23"/>
      <c r="P3037" s="24"/>
    </row>
    <row r="3038" spans="1:16" ht="9.75" customHeight="1">
      <c r="A3038" s="28"/>
      <c r="B3038" s="25" t="s">
        <v>104</v>
      </c>
      <c r="C3038" s="25"/>
      <c r="D3038" s="23"/>
      <c r="E3038" s="23"/>
      <c r="F3038" s="23"/>
      <c r="G3038" s="23"/>
      <c r="H3038" s="23"/>
      <c r="I3038" s="23"/>
      <c r="J3038" s="23"/>
      <c r="K3038" s="23"/>
      <c r="L3038" s="23"/>
      <c r="M3038" s="25"/>
      <c r="N3038" s="23"/>
      <c r="O3038" s="23"/>
      <c r="P3038" s="24"/>
    </row>
    <row r="3039" spans="1:16" ht="9.75" customHeight="1">
      <c r="A3039" s="28"/>
      <c r="B3039" s="25" t="s">
        <v>104</v>
      </c>
      <c r="C3039" s="25"/>
      <c r="D3039" s="23"/>
      <c r="E3039" s="23"/>
      <c r="F3039" s="23"/>
      <c r="G3039" s="23"/>
      <c r="H3039" s="23"/>
      <c r="I3039" s="23"/>
      <c r="J3039" s="23"/>
      <c r="K3039" s="23"/>
      <c r="L3039" s="23"/>
      <c r="M3039" s="25"/>
      <c r="N3039" s="23"/>
      <c r="O3039" s="23"/>
      <c r="P3039" s="24"/>
    </row>
    <row r="3040" spans="1:16" ht="9.75" customHeight="1">
      <c r="A3040" s="28"/>
      <c r="B3040" s="25" t="s">
        <v>104</v>
      </c>
      <c r="C3040" s="25"/>
      <c r="D3040" s="23"/>
      <c r="E3040" s="23"/>
      <c r="F3040" s="23"/>
      <c r="G3040" s="23"/>
      <c r="H3040" s="23"/>
      <c r="I3040" s="23"/>
      <c r="J3040" s="23"/>
      <c r="K3040" s="23"/>
      <c r="L3040" s="23"/>
      <c r="M3040" s="25"/>
      <c r="N3040" s="23"/>
      <c r="O3040" s="23"/>
      <c r="P3040" s="24"/>
    </row>
    <row r="3041" spans="1:16" ht="9.75" customHeight="1">
      <c r="A3041" s="28"/>
      <c r="B3041" s="25" t="s">
        <v>104</v>
      </c>
      <c r="C3041" s="25"/>
      <c r="D3041" s="23"/>
      <c r="E3041" s="23"/>
      <c r="F3041" s="23"/>
      <c r="G3041" s="23"/>
      <c r="H3041" s="23"/>
      <c r="I3041" s="23"/>
      <c r="J3041" s="23"/>
      <c r="K3041" s="23"/>
      <c r="L3041" s="23"/>
      <c r="M3041" s="25"/>
      <c r="N3041" s="23"/>
      <c r="O3041" s="23"/>
      <c r="P3041" s="24"/>
    </row>
    <row r="3042" spans="1:16" ht="9.75" customHeight="1">
      <c r="A3042" s="28"/>
      <c r="B3042" s="25" t="s">
        <v>104</v>
      </c>
      <c r="C3042" s="25"/>
      <c r="D3042" s="23"/>
      <c r="E3042" s="23"/>
      <c r="F3042" s="23"/>
      <c r="G3042" s="23"/>
      <c r="H3042" s="23"/>
      <c r="I3042" s="23"/>
      <c r="J3042" s="23"/>
      <c r="K3042" s="23"/>
      <c r="L3042" s="23"/>
      <c r="M3042" s="25"/>
      <c r="N3042" s="23"/>
      <c r="O3042" s="23"/>
      <c r="P3042" s="24"/>
    </row>
    <row r="3043" spans="1:16" ht="9.75" customHeight="1">
      <c r="A3043" s="28"/>
      <c r="B3043" s="25" t="s">
        <v>34</v>
      </c>
      <c r="C3043" s="87">
        <v>2</v>
      </c>
      <c r="D3043" s="137">
        <v>2</v>
      </c>
      <c r="E3043" s="137">
        <v>2</v>
      </c>
      <c r="F3043" s="137">
        <v>2</v>
      </c>
      <c r="G3043" s="137">
        <v>2</v>
      </c>
      <c r="H3043" s="137">
        <v>2</v>
      </c>
      <c r="I3043" s="137">
        <v>2</v>
      </c>
      <c r="J3043" s="137">
        <v>1</v>
      </c>
      <c r="K3043" s="137">
        <v>1</v>
      </c>
      <c r="L3043" s="137">
        <v>1</v>
      </c>
      <c r="M3043" s="138">
        <v>1</v>
      </c>
      <c r="N3043" s="52">
        <f>MIN(D3043:M3043)</f>
        <v>1</v>
      </c>
      <c r="O3043" s="52">
        <f>C3043-N3043</f>
        <v>1</v>
      </c>
      <c r="P3043" s="54">
        <f>O3043/C3043</f>
        <v>0.5</v>
      </c>
    </row>
    <row r="3044" spans="1:16" ht="9.75" customHeight="1">
      <c r="A3044" s="28"/>
      <c r="B3044" s="25" t="s">
        <v>35</v>
      </c>
      <c r="C3044" s="25"/>
      <c r="D3044" s="23"/>
      <c r="E3044" s="23"/>
      <c r="F3044" s="23"/>
      <c r="G3044" s="23"/>
      <c r="H3044" s="23"/>
      <c r="I3044" s="23"/>
      <c r="J3044" s="23"/>
      <c r="K3044" s="23"/>
      <c r="L3044" s="23"/>
      <c r="M3044" s="25"/>
      <c r="N3044" s="23"/>
      <c r="O3044" s="23"/>
      <c r="P3044" s="24"/>
    </row>
    <row r="3045" spans="1:16" ht="9.75" customHeight="1">
      <c r="A3045" s="28"/>
      <c r="B3045" s="25" t="s">
        <v>36</v>
      </c>
      <c r="C3045" s="25"/>
      <c r="D3045" s="23"/>
      <c r="E3045" s="23"/>
      <c r="F3045" s="23"/>
      <c r="G3045" s="23"/>
      <c r="H3045" s="23"/>
      <c r="I3045" s="23"/>
      <c r="J3045" s="23"/>
      <c r="K3045" s="23"/>
      <c r="L3045" s="23"/>
      <c r="M3045" s="25"/>
      <c r="N3045" s="23"/>
      <c r="O3045" s="23"/>
      <c r="P3045" s="24"/>
    </row>
    <row r="3046" spans="1:16" ht="9.75" customHeight="1">
      <c r="A3046" s="28"/>
      <c r="B3046" s="31" t="s">
        <v>37</v>
      </c>
      <c r="C3046" s="31"/>
      <c r="D3046" s="30"/>
      <c r="E3046" s="30"/>
      <c r="F3046" s="30"/>
      <c r="G3046" s="30"/>
      <c r="H3046" s="30"/>
      <c r="I3046" s="30"/>
      <c r="J3046" s="30"/>
      <c r="K3046" s="30"/>
      <c r="L3046" s="30"/>
      <c r="M3046" s="31"/>
      <c r="N3046" s="30"/>
      <c r="O3046" s="30"/>
      <c r="P3046" s="198"/>
    </row>
    <row r="3047" spans="1:16" ht="9.75" customHeight="1">
      <c r="A3047" s="89"/>
      <c r="B3047" s="46" t="s">
        <v>38</v>
      </c>
      <c r="C3047" s="199">
        <f t="shared" ref="C3047:M3047" si="555">SUM(C3031:C3046)</f>
        <v>127</v>
      </c>
      <c r="D3047" s="200">
        <f t="shared" si="555"/>
        <v>4</v>
      </c>
      <c r="E3047" s="200">
        <f t="shared" si="555"/>
        <v>3</v>
      </c>
      <c r="F3047" s="200">
        <f t="shared" si="555"/>
        <v>3</v>
      </c>
      <c r="G3047" s="200">
        <f t="shared" si="555"/>
        <v>3</v>
      </c>
      <c r="H3047" s="200">
        <f t="shared" si="555"/>
        <v>3</v>
      </c>
      <c r="I3047" s="200">
        <f t="shared" si="555"/>
        <v>8</v>
      </c>
      <c r="J3047" s="200">
        <f t="shared" si="555"/>
        <v>13</v>
      </c>
      <c r="K3047" s="200">
        <f t="shared" si="555"/>
        <v>17</v>
      </c>
      <c r="L3047" s="200">
        <f t="shared" si="555"/>
        <v>42</v>
      </c>
      <c r="M3047" s="199">
        <f t="shared" si="555"/>
        <v>50</v>
      </c>
      <c r="N3047" s="200">
        <f>MIN(D3047:M3047)</f>
        <v>3</v>
      </c>
      <c r="O3047" s="200">
        <f>C3047-N3047</f>
        <v>124</v>
      </c>
      <c r="P3047" s="201">
        <f>O3047/C3047</f>
        <v>0.97637795275590555</v>
      </c>
    </row>
    <row r="3048" spans="1:16" ht="9.75" customHeight="1">
      <c r="A3048" s="28" t="s">
        <v>393</v>
      </c>
      <c r="B3048" s="25" t="s">
        <v>23</v>
      </c>
      <c r="C3048" s="25"/>
      <c r="D3048" s="23"/>
      <c r="E3048" s="23"/>
      <c r="F3048" s="23"/>
      <c r="G3048" s="23"/>
      <c r="H3048" s="23"/>
      <c r="I3048" s="23"/>
      <c r="J3048" s="23"/>
      <c r="K3048" s="23"/>
      <c r="L3048" s="23"/>
      <c r="M3048" s="25"/>
      <c r="N3048" s="23"/>
      <c r="O3048" s="23"/>
      <c r="P3048" s="24"/>
    </row>
    <row r="3049" spans="1:16" ht="9.75" customHeight="1">
      <c r="A3049" s="57"/>
      <c r="B3049" s="25" t="s">
        <v>25</v>
      </c>
      <c r="C3049" s="87">
        <v>86</v>
      </c>
      <c r="D3049" s="137">
        <v>2</v>
      </c>
      <c r="E3049" s="137">
        <v>1</v>
      </c>
      <c r="F3049" s="137">
        <v>2</v>
      </c>
      <c r="G3049" s="137">
        <v>2</v>
      </c>
      <c r="H3049" s="137">
        <v>6</v>
      </c>
      <c r="I3049" s="137">
        <v>15</v>
      </c>
      <c r="J3049" s="137">
        <v>10</v>
      </c>
      <c r="K3049" s="137">
        <v>17</v>
      </c>
      <c r="L3049" s="137">
        <v>30</v>
      </c>
      <c r="M3049" s="138">
        <v>45</v>
      </c>
      <c r="N3049" s="52">
        <f>MIN(D3049:M3049)</f>
        <v>1</v>
      </c>
      <c r="O3049" s="52">
        <f>C3049-N3049</f>
        <v>85</v>
      </c>
      <c r="P3049" s="54">
        <f>O3049/C3049</f>
        <v>0.98837209302325579</v>
      </c>
    </row>
    <row r="3050" spans="1:16" ht="9.75" customHeight="1">
      <c r="A3050" s="57"/>
      <c r="B3050" s="25" t="s">
        <v>27</v>
      </c>
      <c r="C3050" s="25"/>
      <c r="D3050" s="23"/>
      <c r="E3050" s="23"/>
      <c r="F3050" s="23"/>
      <c r="G3050" s="23"/>
      <c r="H3050" s="23"/>
      <c r="I3050" s="23"/>
      <c r="J3050" s="23"/>
      <c r="K3050" s="23"/>
      <c r="L3050" s="23"/>
      <c r="M3050" s="25"/>
      <c r="N3050" s="23"/>
      <c r="O3050" s="23"/>
      <c r="P3050" s="24"/>
    </row>
    <row r="3051" spans="1:16" ht="9.75" customHeight="1">
      <c r="A3051" s="57"/>
      <c r="B3051" s="25" t="s">
        <v>99</v>
      </c>
      <c r="C3051" s="25"/>
      <c r="D3051" s="23"/>
      <c r="E3051" s="23"/>
      <c r="F3051" s="23"/>
      <c r="G3051" s="23"/>
      <c r="H3051" s="23"/>
      <c r="I3051" s="23"/>
      <c r="J3051" s="23"/>
      <c r="K3051" s="23"/>
      <c r="L3051" s="23"/>
      <c r="M3051" s="25"/>
      <c r="N3051" s="23"/>
      <c r="O3051" s="23"/>
      <c r="P3051" s="24"/>
    </row>
    <row r="3052" spans="1:16" ht="9.75" customHeight="1">
      <c r="A3052" s="28"/>
      <c r="B3052" s="25" t="s">
        <v>99</v>
      </c>
      <c r="C3052" s="25"/>
      <c r="D3052" s="23"/>
      <c r="E3052" s="23"/>
      <c r="F3052" s="23"/>
      <c r="G3052" s="23"/>
      <c r="H3052" s="23"/>
      <c r="I3052" s="23"/>
      <c r="J3052" s="23"/>
      <c r="K3052" s="23"/>
      <c r="L3052" s="23"/>
      <c r="M3052" s="25"/>
      <c r="N3052" s="23"/>
      <c r="O3052" s="23"/>
      <c r="P3052" s="24"/>
    </row>
    <row r="3053" spans="1:16" ht="9.75" customHeight="1">
      <c r="A3053" s="28"/>
      <c r="B3053" s="25" t="s">
        <v>32</v>
      </c>
      <c r="C3053" s="25"/>
      <c r="D3053" s="23"/>
      <c r="E3053" s="23"/>
      <c r="F3053" s="23"/>
      <c r="G3053" s="23"/>
      <c r="H3053" s="23"/>
      <c r="I3053" s="23"/>
      <c r="J3053" s="23"/>
      <c r="K3053" s="23"/>
      <c r="L3053" s="23"/>
      <c r="M3053" s="25"/>
      <c r="N3053" s="23"/>
      <c r="O3053" s="23"/>
      <c r="P3053" s="24"/>
    </row>
    <row r="3054" spans="1:16" ht="9.75" customHeight="1">
      <c r="A3054" s="28"/>
      <c r="B3054" s="25" t="s">
        <v>104</v>
      </c>
      <c r="C3054" s="25"/>
      <c r="D3054" s="23"/>
      <c r="E3054" s="23"/>
      <c r="F3054" s="23"/>
      <c r="G3054" s="23"/>
      <c r="H3054" s="23"/>
      <c r="I3054" s="23"/>
      <c r="J3054" s="23"/>
      <c r="K3054" s="23"/>
      <c r="L3054" s="23"/>
      <c r="M3054" s="25"/>
      <c r="N3054" s="23"/>
      <c r="O3054" s="23"/>
      <c r="P3054" s="24"/>
    </row>
    <row r="3055" spans="1:16" ht="9.75" customHeight="1">
      <c r="A3055" s="28"/>
      <c r="B3055" s="25" t="s">
        <v>104</v>
      </c>
      <c r="C3055" s="25"/>
      <c r="D3055" s="23"/>
      <c r="E3055" s="23"/>
      <c r="F3055" s="23"/>
      <c r="G3055" s="23"/>
      <c r="H3055" s="23"/>
      <c r="I3055" s="23"/>
      <c r="J3055" s="23"/>
      <c r="K3055" s="23"/>
      <c r="L3055" s="23"/>
      <c r="M3055" s="25"/>
      <c r="N3055" s="23"/>
      <c r="O3055" s="23"/>
      <c r="P3055" s="24"/>
    </row>
    <row r="3056" spans="1:16" ht="9.75" customHeight="1">
      <c r="A3056" s="28"/>
      <c r="B3056" s="25" t="s">
        <v>104</v>
      </c>
      <c r="C3056" s="25"/>
      <c r="D3056" s="23"/>
      <c r="E3056" s="23"/>
      <c r="F3056" s="23"/>
      <c r="G3056" s="23"/>
      <c r="H3056" s="23"/>
      <c r="I3056" s="23"/>
      <c r="J3056" s="23"/>
      <c r="K3056" s="23"/>
      <c r="L3056" s="23"/>
      <c r="M3056" s="25"/>
      <c r="N3056" s="23"/>
      <c r="O3056" s="23"/>
      <c r="P3056" s="24"/>
    </row>
    <row r="3057" spans="1:16" ht="9.75" customHeight="1">
      <c r="A3057" s="28"/>
      <c r="B3057" s="25" t="s">
        <v>104</v>
      </c>
      <c r="C3057" s="25"/>
      <c r="D3057" s="23"/>
      <c r="E3057" s="23"/>
      <c r="F3057" s="23"/>
      <c r="G3057" s="23"/>
      <c r="H3057" s="23"/>
      <c r="I3057" s="23"/>
      <c r="J3057" s="23"/>
      <c r="K3057" s="23"/>
      <c r="L3057" s="23"/>
      <c r="M3057" s="25"/>
      <c r="N3057" s="23"/>
      <c r="O3057" s="23"/>
      <c r="P3057" s="24"/>
    </row>
    <row r="3058" spans="1:16" ht="9.75" customHeight="1">
      <c r="A3058" s="28"/>
      <c r="B3058" s="25" t="s">
        <v>104</v>
      </c>
      <c r="C3058" s="25"/>
      <c r="D3058" s="23"/>
      <c r="E3058" s="23"/>
      <c r="F3058" s="23"/>
      <c r="G3058" s="23"/>
      <c r="H3058" s="23"/>
      <c r="I3058" s="23"/>
      <c r="J3058" s="23"/>
      <c r="K3058" s="23"/>
      <c r="L3058" s="23"/>
      <c r="M3058" s="25"/>
      <c r="N3058" s="23"/>
      <c r="O3058" s="23"/>
      <c r="P3058" s="24"/>
    </row>
    <row r="3059" spans="1:16" ht="9.75" customHeight="1">
      <c r="A3059" s="28"/>
      <c r="B3059" s="25" t="s">
        <v>104</v>
      </c>
      <c r="C3059" s="25"/>
      <c r="D3059" s="23"/>
      <c r="E3059" s="23"/>
      <c r="F3059" s="23"/>
      <c r="G3059" s="23"/>
      <c r="H3059" s="23"/>
      <c r="I3059" s="23"/>
      <c r="J3059" s="23"/>
      <c r="K3059" s="23"/>
      <c r="L3059" s="23"/>
      <c r="M3059" s="25"/>
      <c r="N3059" s="23"/>
      <c r="O3059" s="23"/>
      <c r="P3059" s="24"/>
    </row>
    <row r="3060" spans="1:16" ht="9.75" customHeight="1">
      <c r="A3060" s="28"/>
      <c r="B3060" s="25" t="s">
        <v>34</v>
      </c>
      <c r="C3060" s="25"/>
      <c r="D3060" s="23"/>
      <c r="E3060" s="23"/>
      <c r="F3060" s="23"/>
      <c r="G3060" s="23"/>
      <c r="H3060" s="23"/>
      <c r="I3060" s="23"/>
      <c r="J3060" s="23"/>
      <c r="K3060" s="23"/>
      <c r="L3060" s="23"/>
      <c r="M3060" s="25"/>
      <c r="N3060" s="23"/>
      <c r="O3060" s="23"/>
      <c r="P3060" s="24"/>
    </row>
    <row r="3061" spans="1:16" ht="9.75" customHeight="1">
      <c r="A3061" s="28"/>
      <c r="B3061" s="25" t="s">
        <v>35</v>
      </c>
      <c r="C3061" s="25"/>
      <c r="D3061" s="23"/>
      <c r="E3061" s="23"/>
      <c r="F3061" s="23"/>
      <c r="G3061" s="23"/>
      <c r="H3061" s="23"/>
      <c r="I3061" s="23"/>
      <c r="J3061" s="23"/>
      <c r="K3061" s="23"/>
      <c r="L3061" s="23"/>
      <c r="M3061" s="25"/>
      <c r="N3061" s="23"/>
      <c r="O3061" s="23"/>
      <c r="P3061" s="24"/>
    </row>
    <row r="3062" spans="1:16" ht="9.75" customHeight="1">
      <c r="A3062" s="28"/>
      <c r="B3062" s="25" t="s">
        <v>36</v>
      </c>
      <c r="C3062" s="25"/>
      <c r="D3062" s="23"/>
      <c r="E3062" s="23"/>
      <c r="F3062" s="23"/>
      <c r="G3062" s="23"/>
      <c r="H3062" s="23"/>
      <c r="I3062" s="23"/>
      <c r="J3062" s="23"/>
      <c r="K3062" s="23"/>
      <c r="L3062" s="23"/>
      <c r="M3062" s="25"/>
      <c r="N3062" s="23"/>
      <c r="O3062" s="23"/>
      <c r="P3062" s="24"/>
    </row>
    <row r="3063" spans="1:16" ht="9.75" customHeight="1">
      <c r="A3063" s="28"/>
      <c r="B3063" s="31" t="s">
        <v>37</v>
      </c>
      <c r="C3063" s="31"/>
      <c r="D3063" s="30"/>
      <c r="E3063" s="30"/>
      <c r="F3063" s="30"/>
      <c r="G3063" s="30"/>
      <c r="H3063" s="30"/>
      <c r="I3063" s="30"/>
      <c r="J3063" s="30"/>
      <c r="K3063" s="30"/>
      <c r="L3063" s="30"/>
      <c r="M3063" s="31"/>
      <c r="N3063" s="30"/>
      <c r="O3063" s="30"/>
      <c r="P3063" s="198"/>
    </row>
    <row r="3064" spans="1:16" ht="9.75" customHeight="1">
      <c r="A3064" s="89"/>
      <c r="B3064" s="46" t="s">
        <v>38</v>
      </c>
      <c r="C3064" s="199">
        <f t="shared" ref="C3064:M3064" si="556">SUM(C3048:C3063)</f>
        <v>86</v>
      </c>
      <c r="D3064" s="200">
        <f t="shared" si="556"/>
        <v>2</v>
      </c>
      <c r="E3064" s="200">
        <f t="shared" si="556"/>
        <v>1</v>
      </c>
      <c r="F3064" s="200">
        <f t="shared" si="556"/>
        <v>2</v>
      </c>
      <c r="G3064" s="200">
        <f t="shared" si="556"/>
        <v>2</v>
      </c>
      <c r="H3064" s="200">
        <f t="shared" si="556"/>
        <v>6</v>
      </c>
      <c r="I3064" s="200">
        <f t="shared" si="556"/>
        <v>15</v>
      </c>
      <c r="J3064" s="200">
        <f t="shared" si="556"/>
        <v>10</v>
      </c>
      <c r="K3064" s="200">
        <f t="shared" si="556"/>
        <v>17</v>
      </c>
      <c r="L3064" s="200">
        <f t="shared" si="556"/>
        <v>30</v>
      </c>
      <c r="M3064" s="199">
        <f t="shared" si="556"/>
        <v>45</v>
      </c>
      <c r="N3064" s="200">
        <f>MIN(D3064:M3064)</f>
        <v>1</v>
      </c>
      <c r="O3064" s="200">
        <f>C3064-N3064</f>
        <v>85</v>
      </c>
      <c r="P3064" s="201">
        <f>O3064/C3064</f>
        <v>0.98837209302325579</v>
      </c>
    </row>
    <row r="3065" spans="1:16" ht="9.75" customHeight="1">
      <c r="A3065" s="28" t="s">
        <v>394</v>
      </c>
      <c r="B3065" s="25" t="s">
        <v>23</v>
      </c>
      <c r="C3065" s="25"/>
      <c r="D3065" s="23"/>
      <c r="E3065" s="23"/>
      <c r="F3065" s="23"/>
      <c r="G3065" s="23"/>
      <c r="H3065" s="23"/>
      <c r="I3065" s="23"/>
      <c r="J3065" s="23"/>
      <c r="K3065" s="23"/>
      <c r="L3065" s="23"/>
      <c r="M3065" s="25"/>
      <c r="N3065" s="23"/>
      <c r="O3065" s="23"/>
      <c r="P3065" s="24"/>
    </row>
    <row r="3066" spans="1:16" ht="9.75" customHeight="1">
      <c r="A3066" s="57"/>
      <c r="B3066" s="25" t="s">
        <v>25</v>
      </c>
      <c r="C3066" s="87">
        <v>91</v>
      </c>
      <c r="D3066" s="137">
        <v>29</v>
      </c>
      <c r="E3066" s="137">
        <v>19</v>
      </c>
      <c r="F3066" s="137">
        <v>16</v>
      </c>
      <c r="G3066" s="137">
        <v>15</v>
      </c>
      <c r="H3066" s="137">
        <v>18</v>
      </c>
      <c r="I3066" s="137">
        <v>15</v>
      </c>
      <c r="J3066" s="137">
        <v>16</v>
      </c>
      <c r="K3066" s="137">
        <v>18</v>
      </c>
      <c r="L3066" s="137">
        <v>31</v>
      </c>
      <c r="M3066" s="138">
        <v>37</v>
      </c>
      <c r="N3066" s="52">
        <f>MIN(D3066:M3066)</f>
        <v>15</v>
      </c>
      <c r="O3066" s="52">
        <f>C3066-N3066</f>
        <v>76</v>
      </c>
      <c r="P3066" s="54">
        <f>O3066/C3066</f>
        <v>0.8351648351648352</v>
      </c>
    </row>
    <row r="3067" spans="1:16" ht="9.75" customHeight="1">
      <c r="A3067" s="57"/>
      <c r="B3067" s="25" t="s">
        <v>27</v>
      </c>
      <c r="C3067" s="25"/>
      <c r="D3067" s="23"/>
      <c r="E3067" s="23"/>
      <c r="F3067" s="23"/>
      <c r="G3067" s="23"/>
      <c r="H3067" s="23"/>
      <c r="I3067" s="23"/>
      <c r="J3067" s="23"/>
      <c r="K3067" s="23"/>
      <c r="L3067" s="23"/>
      <c r="M3067" s="25"/>
      <c r="N3067" s="23"/>
      <c r="O3067" s="23"/>
      <c r="P3067" s="24"/>
    </row>
    <row r="3068" spans="1:16" ht="9.75" customHeight="1">
      <c r="A3068" s="57"/>
      <c r="B3068" s="25" t="s">
        <v>99</v>
      </c>
      <c r="C3068" s="25"/>
      <c r="D3068" s="23"/>
      <c r="E3068" s="23"/>
      <c r="F3068" s="23"/>
      <c r="G3068" s="23"/>
      <c r="H3068" s="23"/>
      <c r="I3068" s="23"/>
      <c r="J3068" s="23"/>
      <c r="K3068" s="23"/>
      <c r="L3068" s="23"/>
      <c r="M3068" s="25"/>
      <c r="N3068" s="23"/>
      <c r="O3068" s="23"/>
      <c r="P3068" s="24"/>
    </row>
    <row r="3069" spans="1:16" ht="9.75" customHeight="1">
      <c r="A3069" s="28"/>
      <c r="B3069" s="25" t="s">
        <v>99</v>
      </c>
      <c r="C3069" s="25"/>
      <c r="D3069" s="23"/>
      <c r="E3069" s="23"/>
      <c r="F3069" s="23"/>
      <c r="G3069" s="23"/>
      <c r="H3069" s="23"/>
      <c r="I3069" s="23"/>
      <c r="J3069" s="23"/>
      <c r="K3069" s="23"/>
      <c r="L3069" s="23"/>
      <c r="M3069" s="25"/>
      <c r="N3069" s="23"/>
      <c r="O3069" s="23"/>
      <c r="P3069" s="24"/>
    </row>
    <row r="3070" spans="1:16" ht="9.75" customHeight="1">
      <c r="A3070" s="28"/>
      <c r="B3070" s="25" t="s">
        <v>32</v>
      </c>
      <c r="C3070" s="25"/>
      <c r="D3070" s="23"/>
      <c r="E3070" s="23"/>
      <c r="F3070" s="23"/>
      <c r="G3070" s="23"/>
      <c r="H3070" s="23"/>
      <c r="I3070" s="23"/>
      <c r="J3070" s="23"/>
      <c r="K3070" s="23"/>
      <c r="L3070" s="23"/>
      <c r="M3070" s="25"/>
      <c r="N3070" s="23"/>
      <c r="O3070" s="23"/>
      <c r="P3070" s="24"/>
    </row>
    <row r="3071" spans="1:16" ht="9.75" customHeight="1">
      <c r="A3071" s="28"/>
      <c r="B3071" s="25" t="s">
        <v>104</v>
      </c>
      <c r="C3071" s="25"/>
      <c r="D3071" s="23"/>
      <c r="E3071" s="23"/>
      <c r="F3071" s="23"/>
      <c r="G3071" s="23"/>
      <c r="H3071" s="23"/>
      <c r="I3071" s="23"/>
      <c r="J3071" s="23"/>
      <c r="K3071" s="23"/>
      <c r="L3071" s="23"/>
      <c r="M3071" s="25"/>
      <c r="N3071" s="23"/>
      <c r="O3071" s="23"/>
      <c r="P3071" s="24"/>
    </row>
    <row r="3072" spans="1:16" ht="9.75" customHeight="1">
      <c r="A3072" s="28"/>
      <c r="B3072" s="25" t="s">
        <v>104</v>
      </c>
      <c r="C3072" s="25"/>
      <c r="D3072" s="23"/>
      <c r="E3072" s="23"/>
      <c r="F3072" s="23"/>
      <c r="G3072" s="23"/>
      <c r="H3072" s="23"/>
      <c r="I3072" s="23"/>
      <c r="J3072" s="23"/>
      <c r="K3072" s="23"/>
      <c r="L3072" s="23"/>
      <c r="M3072" s="25"/>
      <c r="N3072" s="23"/>
      <c r="O3072" s="23"/>
      <c r="P3072" s="24"/>
    </row>
    <row r="3073" spans="1:16" ht="9.75" customHeight="1">
      <c r="A3073" s="28"/>
      <c r="B3073" s="25" t="s">
        <v>104</v>
      </c>
      <c r="C3073" s="25"/>
      <c r="D3073" s="23"/>
      <c r="E3073" s="23"/>
      <c r="F3073" s="23"/>
      <c r="G3073" s="23"/>
      <c r="H3073" s="23"/>
      <c r="I3073" s="23"/>
      <c r="J3073" s="23"/>
      <c r="K3073" s="23"/>
      <c r="L3073" s="23"/>
      <c r="M3073" s="25"/>
      <c r="N3073" s="23"/>
      <c r="O3073" s="23"/>
      <c r="P3073" s="24"/>
    </row>
    <row r="3074" spans="1:16" ht="9.75" customHeight="1">
      <c r="A3074" s="28"/>
      <c r="B3074" s="25" t="s">
        <v>104</v>
      </c>
      <c r="C3074" s="25"/>
      <c r="D3074" s="23"/>
      <c r="E3074" s="23"/>
      <c r="F3074" s="23"/>
      <c r="G3074" s="23"/>
      <c r="H3074" s="23"/>
      <c r="I3074" s="23"/>
      <c r="J3074" s="23"/>
      <c r="K3074" s="23"/>
      <c r="L3074" s="23"/>
      <c r="M3074" s="25"/>
      <c r="N3074" s="23"/>
      <c r="O3074" s="23"/>
      <c r="P3074" s="24"/>
    </row>
    <row r="3075" spans="1:16" ht="9.75" customHeight="1">
      <c r="A3075" s="28"/>
      <c r="B3075" s="25" t="s">
        <v>104</v>
      </c>
      <c r="C3075" s="25"/>
      <c r="D3075" s="23"/>
      <c r="E3075" s="23"/>
      <c r="F3075" s="23"/>
      <c r="G3075" s="23"/>
      <c r="H3075" s="23"/>
      <c r="I3075" s="23"/>
      <c r="J3075" s="23"/>
      <c r="K3075" s="23"/>
      <c r="L3075" s="23"/>
      <c r="M3075" s="25"/>
      <c r="N3075" s="23"/>
      <c r="O3075" s="23"/>
      <c r="P3075" s="24"/>
    </row>
    <row r="3076" spans="1:16" ht="9.75" customHeight="1">
      <c r="A3076" s="28"/>
      <c r="B3076" s="25" t="s">
        <v>104</v>
      </c>
      <c r="C3076" s="25"/>
      <c r="D3076" s="23"/>
      <c r="E3076" s="23"/>
      <c r="F3076" s="23"/>
      <c r="G3076" s="23"/>
      <c r="H3076" s="23"/>
      <c r="I3076" s="23"/>
      <c r="J3076" s="23"/>
      <c r="K3076" s="23"/>
      <c r="L3076" s="23"/>
      <c r="M3076" s="25"/>
      <c r="N3076" s="23"/>
      <c r="O3076" s="23"/>
      <c r="P3076" s="24"/>
    </row>
    <row r="3077" spans="1:16" ht="9.75" customHeight="1">
      <c r="A3077" s="28"/>
      <c r="B3077" s="25" t="s">
        <v>34</v>
      </c>
      <c r="C3077" s="25"/>
      <c r="D3077" s="23"/>
      <c r="E3077" s="23"/>
      <c r="F3077" s="23"/>
      <c r="G3077" s="23"/>
      <c r="H3077" s="23"/>
      <c r="I3077" s="23"/>
      <c r="J3077" s="23"/>
      <c r="K3077" s="23"/>
      <c r="L3077" s="23"/>
      <c r="M3077" s="25"/>
      <c r="N3077" s="23"/>
      <c r="O3077" s="23"/>
      <c r="P3077" s="24"/>
    </row>
    <row r="3078" spans="1:16" ht="9.75" customHeight="1">
      <c r="A3078" s="28"/>
      <c r="B3078" s="25" t="s">
        <v>35</v>
      </c>
      <c r="C3078" s="25"/>
      <c r="D3078" s="23"/>
      <c r="E3078" s="23"/>
      <c r="F3078" s="23"/>
      <c r="G3078" s="23"/>
      <c r="H3078" s="23"/>
      <c r="I3078" s="23"/>
      <c r="J3078" s="23"/>
      <c r="K3078" s="23"/>
      <c r="L3078" s="23"/>
      <c r="M3078" s="25"/>
      <c r="N3078" s="23"/>
      <c r="O3078" s="23"/>
      <c r="P3078" s="24"/>
    </row>
    <row r="3079" spans="1:16" ht="9.75" customHeight="1">
      <c r="A3079" s="28"/>
      <c r="B3079" s="25" t="s">
        <v>36</v>
      </c>
      <c r="C3079" s="25"/>
      <c r="D3079" s="23"/>
      <c r="E3079" s="23"/>
      <c r="F3079" s="23"/>
      <c r="G3079" s="23"/>
      <c r="H3079" s="23"/>
      <c r="I3079" s="23"/>
      <c r="J3079" s="23"/>
      <c r="K3079" s="23"/>
      <c r="L3079" s="23"/>
      <c r="M3079" s="25"/>
      <c r="N3079" s="23"/>
      <c r="O3079" s="23"/>
      <c r="P3079" s="24"/>
    </row>
    <row r="3080" spans="1:16" ht="9.75" customHeight="1">
      <c r="A3080" s="28"/>
      <c r="B3080" s="31" t="s">
        <v>37</v>
      </c>
      <c r="C3080" s="31"/>
      <c r="D3080" s="30"/>
      <c r="E3080" s="30"/>
      <c r="F3080" s="30"/>
      <c r="G3080" s="30"/>
      <c r="H3080" s="30"/>
      <c r="I3080" s="30"/>
      <c r="J3080" s="30"/>
      <c r="K3080" s="30"/>
      <c r="L3080" s="30"/>
      <c r="M3080" s="31"/>
      <c r="N3080" s="30"/>
      <c r="O3080" s="30"/>
      <c r="P3080" s="198"/>
    </row>
    <row r="3081" spans="1:16" ht="9.75" customHeight="1">
      <c r="A3081" s="89"/>
      <c r="B3081" s="46" t="s">
        <v>38</v>
      </c>
      <c r="C3081" s="199">
        <f t="shared" ref="C3081:M3081" si="557">SUM(C3065:C3080)</f>
        <v>91</v>
      </c>
      <c r="D3081" s="200">
        <f t="shared" si="557"/>
        <v>29</v>
      </c>
      <c r="E3081" s="200">
        <f t="shared" si="557"/>
        <v>19</v>
      </c>
      <c r="F3081" s="200">
        <f t="shared" si="557"/>
        <v>16</v>
      </c>
      <c r="G3081" s="200">
        <f t="shared" si="557"/>
        <v>15</v>
      </c>
      <c r="H3081" s="200">
        <f t="shared" si="557"/>
        <v>18</v>
      </c>
      <c r="I3081" s="200">
        <f t="shared" si="557"/>
        <v>15</v>
      </c>
      <c r="J3081" s="200">
        <f t="shared" si="557"/>
        <v>16</v>
      </c>
      <c r="K3081" s="200">
        <f t="shared" si="557"/>
        <v>18</v>
      </c>
      <c r="L3081" s="200">
        <f t="shared" si="557"/>
        <v>31</v>
      </c>
      <c r="M3081" s="199">
        <f t="shared" si="557"/>
        <v>37</v>
      </c>
      <c r="N3081" s="200">
        <f>MIN(D3081:M3081)</f>
        <v>15</v>
      </c>
      <c r="O3081" s="200">
        <f>C3081-N3081</f>
        <v>76</v>
      </c>
      <c r="P3081" s="201">
        <f>O3081/C3081</f>
        <v>0.8351648351648352</v>
      </c>
    </row>
    <row r="3082" spans="1:16" ht="9.75" customHeight="1">
      <c r="A3082" s="28" t="s">
        <v>395</v>
      </c>
      <c r="B3082" s="25" t="s">
        <v>23</v>
      </c>
      <c r="C3082" s="25"/>
      <c r="D3082" s="23"/>
      <c r="E3082" s="23"/>
      <c r="F3082" s="23"/>
      <c r="G3082" s="23"/>
      <c r="H3082" s="23"/>
      <c r="I3082" s="23"/>
      <c r="J3082" s="23"/>
      <c r="K3082" s="23"/>
      <c r="L3082" s="23"/>
      <c r="M3082" s="25"/>
      <c r="N3082" s="23"/>
      <c r="O3082" s="23"/>
      <c r="P3082" s="24"/>
    </row>
    <row r="3083" spans="1:16" ht="9.75" customHeight="1">
      <c r="A3083" s="57"/>
      <c r="B3083" s="25" t="s">
        <v>25</v>
      </c>
      <c r="C3083" s="87">
        <v>85</v>
      </c>
      <c r="D3083" s="137">
        <v>18</v>
      </c>
      <c r="E3083" s="137">
        <v>6</v>
      </c>
      <c r="F3083" s="137">
        <v>3</v>
      </c>
      <c r="G3083" s="137">
        <v>2</v>
      </c>
      <c r="H3083" s="137">
        <v>6</v>
      </c>
      <c r="I3083" s="137">
        <v>18</v>
      </c>
      <c r="J3083" s="137">
        <v>20</v>
      </c>
      <c r="K3083" s="137">
        <v>24</v>
      </c>
      <c r="L3083" s="137">
        <v>33</v>
      </c>
      <c r="M3083" s="138">
        <v>46</v>
      </c>
      <c r="N3083" s="52">
        <f>MIN(D3083:M3083)</f>
        <v>2</v>
      </c>
      <c r="O3083" s="52">
        <f>C3083-N3083</f>
        <v>83</v>
      </c>
      <c r="P3083" s="54">
        <f>O3083/C3083</f>
        <v>0.97647058823529409</v>
      </c>
    </row>
    <row r="3084" spans="1:16" ht="9.75" customHeight="1">
      <c r="A3084" s="57"/>
      <c r="B3084" s="25" t="s">
        <v>27</v>
      </c>
      <c r="C3084" s="25"/>
      <c r="D3084" s="23"/>
      <c r="E3084" s="23"/>
      <c r="F3084" s="23"/>
      <c r="G3084" s="23"/>
      <c r="H3084" s="23"/>
      <c r="I3084" s="23"/>
      <c r="J3084" s="23"/>
      <c r="K3084" s="23"/>
      <c r="L3084" s="23"/>
      <c r="M3084" s="25"/>
      <c r="N3084" s="23"/>
      <c r="O3084" s="23"/>
      <c r="P3084" s="24"/>
    </row>
    <row r="3085" spans="1:16" ht="9.75" customHeight="1">
      <c r="A3085" s="57"/>
      <c r="B3085" s="25" t="s">
        <v>99</v>
      </c>
      <c r="C3085" s="25"/>
      <c r="D3085" s="23"/>
      <c r="E3085" s="23"/>
      <c r="F3085" s="23"/>
      <c r="G3085" s="23"/>
      <c r="H3085" s="23"/>
      <c r="I3085" s="23"/>
      <c r="J3085" s="23"/>
      <c r="K3085" s="23"/>
      <c r="L3085" s="23"/>
      <c r="M3085" s="25"/>
      <c r="N3085" s="23"/>
      <c r="O3085" s="23"/>
      <c r="P3085" s="24"/>
    </row>
    <row r="3086" spans="1:16" ht="9.75" customHeight="1">
      <c r="A3086" s="28"/>
      <c r="B3086" s="25" t="s">
        <v>99</v>
      </c>
      <c r="C3086" s="25"/>
      <c r="D3086" s="23"/>
      <c r="E3086" s="23"/>
      <c r="F3086" s="23"/>
      <c r="G3086" s="23"/>
      <c r="H3086" s="23"/>
      <c r="I3086" s="23"/>
      <c r="J3086" s="23"/>
      <c r="K3086" s="23"/>
      <c r="L3086" s="23"/>
      <c r="M3086" s="25"/>
      <c r="N3086" s="23"/>
      <c r="O3086" s="23"/>
      <c r="P3086" s="24"/>
    </row>
    <row r="3087" spans="1:16" ht="9.75" customHeight="1">
      <c r="A3087" s="28"/>
      <c r="B3087" s="25" t="s">
        <v>32</v>
      </c>
      <c r="C3087" s="25"/>
      <c r="D3087" s="23"/>
      <c r="E3087" s="23"/>
      <c r="F3087" s="23"/>
      <c r="G3087" s="23"/>
      <c r="H3087" s="23"/>
      <c r="I3087" s="23"/>
      <c r="J3087" s="23"/>
      <c r="K3087" s="23"/>
      <c r="L3087" s="23"/>
      <c r="M3087" s="25"/>
      <c r="N3087" s="23"/>
      <c r="O3087" s="23"/>
      <c r="P3087" s="24"/>
    </row>
    <row r="3088" spans="1:16" ht="9.75" customHeight="1">
      <c r="A3088" s="28"/>
      <c r="B3088" s="25" t="s">
        <v>104</v>
      </c>
      <c r="C3088" s="25"/>
      <c r="D3088" s="23"/>
      <c r="E3088" s="23"/>
      <c r="F3088" s="23"/>
      <c r="G3088" s="23"/>
      <c r="H3088" s="23"/>
      <c r="I3088" s="23"/>
      <c r="J3088" s="23"/>
      <c r="K3088" s="23"/>
      <c r="L3088" s="23"/>
      <c r="M3088" s="25"/>
      <c r="N3088" s="23"/>
      <c r="O3088" s="23"/>
      <c r="P3088" s="24"/>
    </row>
    <row r="3089" spans="1:16" ht="9.75" customHeight="1">
      <c r="A3089" s="28"/>
      <c r="B3089" s="25" t="s">
        <v>104</v>
      </c>
      <c r="C3089" s="25"/>
      <c r="D3089" s="23"/>
      <c r="E3089" s="23"/>
      <c r="F3089" s="23"/>
      <c r="G3089" s="23"/>
      <c r="H3089" s="23"/>
      <c r="I3089" s="23"/>
      <c r="J3089" s="23"/>
      <c r="K3089" s="23"/>
      <c r="L3089" s="23"/>
      <c r="M3089" s="25"/>
      <c r="N3089" s="23"/>
      <c r="O3089" s="23"/>
      <c r="P3089" s="24"/>
    </row>
    <row r="3090" spans="1:16" ht="9.75" customHeight="1">
      <c r="A3090" s="28"/>
      <c r="B3090" s="25" t="s">
        <v>104</v>
      </c>
      <c r="C3090" s="25"/>
      <c r="D3090" s="23"/>
      <c r="E3090" s="23"/>
      <c r="F3090" s="23"/>
      <c r="G3090" s="23"/>
      <c r="H3090" s="23"/>
      <c r="I3090" s="23"/>
      <c r="J3090" s="23"/>
      <c r="K3090" s="23"/>
      <c r="L3090" s="23"/>
      <c r="M3090" s="25"/>
      <c r="N3090" s="23"/>
      <c r="O3090" s="23"/>
      <c r="P3090" s="24"/>
    </row>
    <row r="3091" spans="1:16" ht="9.75" customHeight="1">
      <c r="A3091" s="28"/>
      <c r="B3091" s="25" t="s">
        <v>104</v>
      </c>
      <c r="C3091" s="25"/>
      <c r="D3091" s="23"/>
      <c r="E3091" s="23"/>
      <c r="F3091" s="23"/>
      <c r="G3091" s="23"/>
      <c r="H3091" s="23"/>
      <c r="I3091" s="23"/>
      <c r="J3091" s="23"/>
      <c r="K3091" s="23"/>
      <c r="L3091" s="23"/>
      <c r="M3091" s="25"/>
      <c r="N3091" s="23"/>
      <c r="O3091" s="23"/>
      <c r="P3091" s="24"/>
    </row>
    <row r="3092" spans="1:16" ht="9.75" customHeight="1">
      <c r="A3092" s="28"/>
      <c r="B3092" s="25" t="s">
        <v>104</v>
      </c>
      <c r="C3092" s="25"/>
      <c r="D3092" s="23"/>
      <c r="E3092" s="23"/>
      <c r="F3092" s="23"/>
      <c r="G3092" s="23"/>
      <c r="H3092" s="23"/>
      <c r="I3092" s="23"/>
      <c r="J3092" s="23"/>
      <c r="K3092" s="23"/>
      <c r="L3092" s="23"/>
      <c r="M3092" s="25"/>
      <c r="N3092" s="23"/>
      <c r="O3092" s="23"/>
      <c r="P3092" s="24"/>
    </row>
    <row r="3093" spans="1:16" ht="9.75" customHeight="1">
      <c r="A3093" s="28"/>
      <c r="B3093" s="25" t="s">
        <v>104</v>
      </c>
      <c r="C3093" s="25"/>
      <c r="D3093" s="23"/>
      <c r="E3093" s="23"/>
      <c r="F3093" s="23"/>
      <c r="G3093" s="23"/>
      <c r="H3093" s="23"/>
      <c r="I3093" s="23"/>
      <c r="J3093" s="23"/>
      <c r="K3093" s="23"/>
      <c r="L3093" s="23"/>
      <c r="M3093" s="25"/>
      <c r="N3093" s="23"/>
      <c r="O3093" s="23"/>
      <c r="P3093" s="24"/>
    </row>
    <row r="3094" spans="1:16" ht="9.75" customHeight="1">
      <c r="A3094" s="28"/>
      <c r="B3094" s="25" t="s">
        <v>34</v>
      </c>
      <c r="C3094" s="25"/>
      <c r="D3094" s="23"/>
      <c r="E3094" s="23"/>
      <c r="F3094" s="23"/>
      <c r="G3094" s="23"/>
      <c r="H3094" s="23"/>
      <c r="I3094" s="23"/>
      <c r="J3094" s="23"/>
      <c r="K3094" s="23"/>
      <c r="L3094" s="23"/>
      <c r="M3094" s="25"/>
      <c r="N3094" s="23"/>
      <c r="O3094" s="23"/>
      <c r="P3094" s="24"/>
    </row>
    <row r="3095" spans="1:16" ht="9.75" customHeight="1">
      <c r="A3095" s="28"/>
      <c r="B3095" s="25" t="s">
        <v>35</v>
      </c>
      <c r="C3095" s="25"/>
      <c r="D3095" s="23"/>
      <c r="E3095" s="23"/>
      <c r="F3095" s="23"/>
      <c r="G3095" s="23"/>
      <c r="H3095" s="23"/>
      <c r="I3095" s="23"/>
      <c r="J3095" s="23"/>
      <c r="K3095" s="23"/>
      <c r="L3095" s="23"/>
      <c r="M3095" s="25"/>
      <c r="N3095" s="23"/>
      <c r="O3095" s="23"/>
      <c r="P3095" s="24"/>
    </row>
    <row r="3096" spans="1:16" ht="9.75" customHeight="1">
      <c r="A3096" s="28"/>
      <c r="B3096" s="25" t="s">
        <v>36</v>
      </c>
      <c r="C3096" s="25"/>
      <c r="D3096" s="23"/>
      <c r="E3096" s="23"/>
      <c r="F3096" s="23"/>
      <c r="G3096" s="23"/>
      <c r="H3096" s="23"/>
      <c r="I3096" s="23"/>
      <c r="J3096" s="23"/>
      <c r="K3096" s="23"/>
      <c r="L3096" s="23"/>
      <c r="M3096" s="25"/>
      <c r="N3096" s="23"/>
      <c r="O3096" s="23"/>
      <c r="P3096" s="24"/>
    </row>
    <row r="3097" spans="1:16" ht="9.75" customHeight="1">
      <c r="A3097" s="28"/>
      <c r="B3097" s="31" t="s">
        <v>37</v>
      </c>
      <c r="C3097" s="31"/>
      <c r="D3097" s="30"/>
      <c r="E3097" s="30"/>
      <c r="F3097" s="30"/>
      <c r="G3097" s="30"/>
      <c r="H3097" s="30"/>
      <c r="I3097" s="30"/>
      <c r="J3097" s="30"/>
      <c r="K3097" s="30"/>
      <c r="L3097" s="30"/>
      <c r="M3097" s="31"/>
      <c r="N3097" s="30"/>
      <c r="O3097" s="30"/>
      <c r="P3097" s="198"/>
    </row>
    <row r="3098" spans="1:16" ht="9.75" customHeight="1">
      <c r="A3098" s="89"/>
      <c r="B3098" s="46" t="s">
        <v>38</v>
      </c>
      <c r="C3098" s="199">
        <f t="shared" ref="C3098:M3098" si="558">SUM(C3082:C3097)</f>
        <v>85</v>
      </c>
      <c r="D3098" s="200">
        <f t="shared" si="558"/>
        <v>18</v>
      </c>
      <c r="E3098" s="200">
        <f t="shared" si="558"/>
        <v>6</v>
      </c>
      <c r="F3098" s="200">
        <f t="shared" si="558"/>
        <v>3</v>
      </c>
      <c r="G3098" s="200">
        <f t="shared" si="558"/>
        <v>2</v>
      </c>
      <c r="H3098" s="200">
        <f t="shared" si="558"/>
        <v>6</v>
      </c>
      <c r="I3098" s="200">
        <f t="shared" si="558"/>
        <v>18</v>
      </c>
      <c r="J3098" s="200">
        <f t="shared" si="558"/>
        <v>20</v>
      </c>
      <c r="K3098" s="200">
        <f t="shared" si="558"/>
        <v>24</v>
      </c>
      <c r="L3098" s="200">
        <f t="shared" si="558"/>
        <v>33</v>
      </c>
      <c r="M3098" s="199">
        <f t="shared" si="558"/>
        <v>46</v>
      </c>
      <c r="N3098" s="200">
        <f>MIN(D3098:M3098)</f>
        <v>2</v>
      </c>
      <c r="O3098" s="200">
        <f>C3098-N3098</f>
        <v>83</v>
      </c>
      <c r="P3098" s="201">
        <f>O3098/C3098</f>
        <v>0.97647058823529409</v>
      </c>
    </row>
    <row r="3099" spans="1:16" ht="9.75" customHeight="1">
      <c r="A3099" s="28" t="s">
        <v>396</v>
      </c>
      <c r="B3099" s="25" t="s">
        <v>23</v>
      </c>
      <c r="C3099" s="25"/>
      <c r="D3099" s="23"/>
      <c r="E3099" s="23"/>
      <c r="F3099" s="23"/>
      <c r="G3099" s="23"/>
      <c r="H3099" s="23"/>
      <c r="I3099" s="23"/>
      <c r="J3099" s="23"/>
      <c r="K3099" s="23"/>
      <c r="L3099" s="23"/>
      <c r="M3099" s="25"/>
      <c r="N3099" s="23"/>
      <c r="O3099" s="23"/>
      <c r="P3099" s="24"/>
    </row>
    <row r="3100" spans="1:16" ht="9.75" customHeight="1">
      <c r="A3100" s="57"/>
      <c r="B3100" s="25" t="s">
        <v>25</v>
      </c>
      <c r="C3100" s="87">
        <v>91</v>
      </c>
      <c r="D3100" s="137">
        <v>51</v>
      </c>
      <c r="E3100" s="137">
        <v>36</v>
      </c>
      <c r="F3100" s="137">
        <v>26</v>
      </c>
      <c r="G3100" s="137">
        <v>25</v>
      </c>
      <c r="H3100" s="137">
        <v>23</v>
      </c>
      <c r="I3100" s="137">
        <v>11</v>
      </c>
      <c r="J3100" s="137">
        <v>12</v>
      </c>
      <c r="K3100" s="137">
        <v>11</v>
      </c>
      <c r="L3100" s="137">
        <v>24</v>
      </c>
      <c r="M3100" s="138">
        <v>54</v>
      </c>
      <c r="N3100" s="52">
        <f>MIN(D3100:M3100)</f>
        <v>11</v>
      </c>
      <c r="O3100" s="52">
        <f>C3100-N3100</f>
        <v>80</v>
      </c>
      <c r="P3100" s="54">
        <f>O3100/C3100</f>
        <v>0.87912087912087911</v>
      </c>
    </row>
    <row r="3101" spans="1:16" ht="9.75" customHeight="1">
      <c r="A3101" s="57"/>
      <c r="B3101" s="25" t="s">
        <v>27</v>
      </c>
      <c r="C3101" s="25"/>
      <c r="D3101" s="23"/>
      <c r="E3101" s="23"/>
      <c r="F3101" s="23"/>
      <c r="G3101" s="23"/>
      <c r="H3101" s="23"/>
      <c r="I3101" s="23"/>
      <c r="J3101" s="23"/>
      <c r="K3101" s="23"/>
      <c r="L3101" s="23"/>
      <c r="M3101" s="25"/>
      <c r="N3101" s="23"/>
      <c r="O3101" s="23"/>
      <c r="P3101" s="24"/>
    </row>
    <row r="3102" spans="1:16" ht="9.75" customHeight="1">
      <c r="A3102" s="57"/>
      <c r="B3102" s="25" t="s">
        <v>99</v>
      </c>
      <c r="C3102" s="25"/>
      <c r="D3102" s="23"/>
      <c r="E3102" s="23"/>
      <c r="F3102" s="23"/>
      <c r="G3102" s="23"/>
      <c r="H3102" s="23"/>
      <c r="I3102" s="23"/>
      <c r="J3102" s="23"/>
      <c r="K3102" s="23"/>
      <c r="L3102" s="23"/>
      <c r="M3102" s="25"/>
      <c r="N3102" s="23"/>
      <c r="O3102" s="23"/>
      <c r="P3102" s="24"/>
    </row>
    <row r="3103" spans="1:16" ht="9.75" customHeight="1">
      <c r="A3103" s="28"/>
      <c r="B3103" s="25" t="s">
        <v>99</v>
      </c>
      <c r="C3103" s="25"/>
      <c r="D3103" s="23"/>
      <c r="E3103" s="23"/>
      <c r="F3103" s="23"/>
      <c r="G3103" s="23"/>
      <c r="H3103" s="23"/>
      <c r="I3103" s="23"/>
      <c r="J3103" s="23"/>
      <c r="K3103" s="23"/>
      <c r="L3103" s="23"/>
      <c r="M3103" s="25"/>
      <c r="N3103" s="23"/>
      <c r="O3103" s="23"/>
      <c r="P3103" s="24"/>
    </row>
    <row r="3104" spans="1:16" ht="9.75" customHeight="1">
      <c r="A3104" s="28"/>
      <c r="B3104" s="25" t="s">
        <v>32</v>
      </c>
      <c r="C3104" s="25"/>
      <c r="D3104" s="23"/>
      <c r="E3104" s="23"/>
      <c r="F3104" s="23"/>
      <c r="G3104" s="23"/>
      <c r="H3104" s="23"/>
      <c r="I3104" s="23"/>
      <c r="J3104" s="23"/>
      <c r="K3104" s="23"/>
      <c r="L3104" s="23"/>
      <c r="M3104" s="25"/>
      <c r="N3104" s="23"/>
      <c r="O3104" s="23"/>
      <c r="P3104" s="24"/>
    </row>
    <row r="3105" spans="1:16" ht="9.75" customHeight="1">
      <c r="A3105" s="28"/>
      <c r="B3105" s="25" t="s">
        <v>104</v>
      </c>
      <c r="C3105" s="25"/>
      <c r="D3105" s="23"/>
      <c r="E3105" s="23"/>
      <c r="F3105" s="23"/>
      <c r="G3105" s="23"/>
      <c r="H3105" s="23"/>
      <c r="I3105" s="23"/>
      <c r="J3105" s="23"/>
      <c r="K3105" s="23"/>
      <c r="L3105" s="23"/>
      <c r="M3105" s="25"/>
      <c r="N3105" s="23"/>
      <c r="O3105" s="23"/>
      <c r="P3105" s="24"/>
    </row>
    <row r="3106" spans="1:16" ht="9.75" customHeight="1">
      <c r="A3106" s="28"/>
      <c r="B3106" s="25" t="s">
        <v>104</v>
      </c>
      <c r="C3106" s="25"/>
      <c r="D3106" s="23"/>
      <c r="E3106" s="23"/>
      <c r="F3106" s="23"/>
      <c r="G3106" s="23"/>
      <c r="H3106" s="23"/>
      <c r="I3106" s="23"/>
      <c r="J3106" s="23"/>
      <c r="K3106" s="23"/>
      <c r="L3106" s="23"/>
      <c r="M3106" s="25"/>
      <c r="N3106" s="23"/>
      <c r="O3106" s="23"/>
      <c r="P3106" s="24"/>
    </row>
    <row r="3107" spans="1:16" ht="9.75" customHeight="1">
      <c r="A3107" s="28"/>
      <c r="B3107" s="25" t="s">
        <v>104</v>
      </c>
      <c r="C3107" s="25"/>
      <c r="D3107" s="23"/>
      <c r="E3107" s="23"/>
      <c r="F3107" s="23"/>
      <c r="G3107" s="23"/>
      <c r="H3107" s="23"/>
      <c r="I3107" s="23"/>
      <c r="J3107" s="23"/>
      <c r="K3107" s="23"/>
      <c r="L3107" s="23"/>
      <c r="M3107" s="25"/>
      <c r="N3107" s="23"/>
      <c r="O3107" s="23"/>
      <c r="P3107" s="24"/>
    </row>
    <row r="3108" spans="1:16" ht="9.75" customHeight="1">
      <c r="A3108" s="28"/>
      <c r="B3108" s="25" t="s">
        <v>104</v>
      </c>
      <c r="C3108" s="25"/>
      <c r="D3108" s="23"/>
      <c r="E3108" s="23"/>
      <c r="F3108" s="23"/>
      <c r="G3108" s="23"/>
      <c r="H3108" s="23"/>
      <c r="I3108" s="23"/>
      <c r="J3108" s="23"/>
      <c r="K3108" s="23"/>
      <c r="L3108" s="23"/>
      <c r="M3108" s="25"/>
      <c r="N3108" s="23"/>
      <c r="O3108" s="23"/>
      <c r="P3108" s="24"/>
    </row>
    <row r="3109" spans="1:16" ht="9.75" customHeight="1">
      <c r="A3109" s="28"/>
      <c r="B3109" s="25" t="s">
        <v>104</v>
      </c>
      <c r="C3109" s="25"/>
      <c r="D3109" s="23"/>
      <c r="E3109" s="23"/>
      <c r="F3109" s="23"/>
      <c r="G3109" s="23"/>
      <c r="H3109" s="23"/>
      <c r="I3109" s="23"/>
      <c r="J3109" s="23"/>
      <c r="K3109" s="23"/>
      <c r="L3109" s="23"/>
      <c r="M3109" s="25"/>
      <c r="N3109" s="23"/>
      <c r="O3109" s="23"/>
      <c r="P3109" s="24"/>
    </row>
    <row r="3110" spans="1:16" ht="9.75" customHeight="1">
      <c r="A3110" s="28"/>
      <c r="B3110" s="25" t="s">
        <v>104</v>
      </c>
      <c r="C3110" s="25"/>
      <c r="D3110" s="23"/>
      <c r="E3110" s="23"/>
      <c r="F3110" s="23"/>
      <c r="G3110" s="23"/>
      <c r="H3110" s="23"/>
      <c r="I3110" s="23"/>
      <c r="J3110" s="23"/>
      <c r="K3110" s="23"/>
      <c r="L3110" s="23"/>
      <c r="M3110" s="25"/>
      <c r="N3110" s="23"/>
      <c r="O3110" s="23"/>
      <c r="P3110" s="24"/>
    </row>
    <row r="3111" spans="1:16" ht="9.75" customHeight="1">
      <c r="A3111" s="28"/>
      <c r="B3111" s="25" t="s">
        <v>34</v>
      </c>
      <c r="C3111" s="25"/>
      <c r="D3111" s="23"/>
      <c r="E3111" s="23"/>
      <c r="F3111" s="23"/>
      <c r="G3111" s="23"/>
      <c r="H3111" s="23"/>
      <c r="I3111" s="23"/>
      <c r="J3111" s="23"/>
      <c r="K3111" s="23"/>
      <c r="L3111" s="23"/>
      <c r="M3111" s="25"/>
      <c r="N3111" s="23"/>
      <c r="O3111" s="23"/>
      <c r="P3111" s="24"/>
    </row>
    <row r="3112" spans="1:16" ht="9.75" customHeight="1">
      <c r="A3112" s="28"/>
      <c r="B3112" s="25" t="s">
        <v>35</v>
      </c>
      <c r="C3112" s="25"/>
      <c r="D3112" s="23"/>
      <c r="E3112" s="23"/>
      <c r="F3112" s="23"/>
      <c r="G3112" s="23"/>
      <c r="H3112" s="23"/>
      <c r="I3112" s="23"/>
      <c r="J3112" s="23"/>
      <c r="K3112" s="23"/>
      <c r="L3112" s="23"/>
      <c r="M3112" s="25"/>
      <c r="N3112" s="23"/>
      <c r="O3112" s="23"/>
      <c r="P3112" s="24"/>
    </row>
    <row r="3113" spans="1:16" ht="9.75" customHeight="1">
      <c r="A3113" s="28"/>
      <c r="B3113" s="25" t="s">
        <v>36</v>
      </c>
      <c r="C3113" s="25"/>
      <c r="D3113" s="23"/>
      <c r="E3113" s="23"/>
      <c r="F3113" s="23"/>
      <c r="G3113" s="23"/>
      <c r="H3113" s="23"/>
      <c r="I3113" s="23"/>
      <c r="J3113" s="23"/>
      <c r="K3113" s="23"/>
      <c r="L3113" s="23"/>
      <c r="M3113" s="25"/>
      <c r="N3113" s="23"/>
      <c r="O3113" s="23"/>
      <c r="P3113" s="24"/>
    </row>
    <row r="3114" spans="1:16" ht="9.75" customHeight="1">
      <c r="A3114" s="28"/>
      <c r="B3114" s="31" t="s">
        <v>37</v>
      </c>
      <c r="C3114" s="31"/>
      <c r="D3114" s="30"/>
      <c r="E3114" s="30"/>
      <c r="F3114" s="30"/>
      <c r="G3114" s="30"/>
      <c r="H3114" s="30"/>
      <c r="I3114" s="30"/>
      <c r="J3114" s="30"/>
      <c r="K3114" s="30"/>
      <c r="L3114" s="30"/>
      <c r="M3114" s="31"/>
      <c r="N3114" s="30"/>
      <c r="O3114" s="30"/>
      <c r="P3114" s="198"/>
    </row>
    <row r="3115" spans="1:16" ht="9.75" customHeight="1">
      <c r="A3115" s="89"/>
      <c r="B3115" s="46" t="s">
        <v>38</v>
      </c>
      <c r="C3115" s="199">
        <f t="shared" ref="C3115:M3115" si="559">SUM(C3099:C3114)</f>
        <v>91</v>
      </c>
      <c r="D3115" s="200">
        <f t="shared" si="559"/>
        <v>51</v>
      </c>
      <c r="E3115" s="200">
        <f t="shared" si="559"/>
        <v>36</v>
      </c>
      <c r="F3115" s="200">
        <f t="shared" si="559"/>
        <v>26</v>
      </c>
      <c r="G3115" s="200">
        <f t="shared" si="559"/>
        <v>25</v>
      </c>
      <c r="H3115" s="200">
        <f t="shared" si="559"/>
        <v>23</v>
      </c>
      <c r="I3115" s="200">
        <f t="shared" si="559"/>
        <v>11</v>
      </c>
      <c r="J3115" s="200">
        <f t="shared" si="559"/>
        <v>12</v>
      </c>
      <c r="K3115" s="200">
        <f t="shared" si="559"/>
        <v>11</v>
      </c>
      <c r="L3115" s="200">
        <f t="shared" si="559"/>
        <v>24</v>
      </c>
      <c r="M3115" s="199">
        <f t="shared" si="559"/>
        <v>54</v>
      </c>
      <c r="N3115" s="200">
        <f>MIN(D3115:M3115)</f>
        <v>11</v>
      </c>
      <c r="O3115" s="200">
        <f>C3115-N3115</f>
        <v>80</v>
      </c>
      <c r="P3115" s="201">
        <f>O3115/C3115</f>
        <v>0.87912087912087911</v>
      </c>
    </row>
    <row r="3116" spans="1:16" ht="9.75" customHeight="1">
      <c r="A3116" s="28" t="s">
        <v>397</v>
      </c>
      <c r="B3116" s="25" t="s">
        <v>23</v>
      </c>
      <c r="C3116" s="25"/>
      <c r="D3116" s="23"/>
      <c r="E3116" s="23"/>
      <c r="F3116" s="23"/>
      <c r="G3116" s="23"/>
      <c r="H3116" s="23"/>
      <c r="I3116" s="23"/>
      <c r="J3116" s="23"/>
      <c r="K3116" s="23"/>
      <c r="L3116" s="23"/>
      <c r="M3116" s="25"/>
      <c r="N3116" s="23"/>
      <c r="O3116" s="23"/>
      <c r="P3116" s="24"/>
    </row>
    <row r="3117" spans="1:16" ht="9.75" customHeight="1">
      <c r="A3117" s="57"/>
      <c r="B3117" s="25" t="s">
        <v>25</v>
      </c>
      <c r="C3117" s="87">
        <v>28</v>
      </c>
      <c r="D3117" s="137">
        <v>8</v>
      </c>
      <c r="E3117" s="137">
        <v>5</v>
      </c>
      <c r="F3117" s="137">
        <v>3</v>
      </c>
      <c r="G3117" s="137">
        <v>4</v>
      </c>
      <c r="H3117" s="137">
        <v>4</v>
      </c>
      <c r="I3117" s="137">
        <v>3</v>
      </c>
      <c r="J3117" s="137">
        <v>2</v>
      </c>
      <c r="K3117" s="137">
        <v>4</v>
      </c>
      <c r="L3117" s="137">
        <v>3</v>
      </c>
      <c r="M3117" s="138">
        <v>0</v>
      </c>
      <c r="N3117" s="52">
        <f>MIN(D3117:M3117)</f>
        <v>0</v>
      </c>
      <c r="O3117" s="52">
        <f>C3117-N3117</f>
        <v>28</v>
      </c>
      <c r="P3117" s="54">
        <f>O3117/C3117</f>
        <v>1</v>
      </c>
    </row>
    <row r="3118" spans="1:16" ht="9.75" customHeight="1">
      <c r="A3118" s="57"/>
      <c r="B3118" s="25" t="s">
        <v>27</v>
      </c>
      <c r="C3118" s="25"/>
      <c r="D3118" s="23"/>
      <c r="E3118" s="23"/>
      <c r="F3118" s="23"/>
      <c r="G3118" s="23"/>
      <c r="H3118" s="23"/>
      <c r="I3118" s="23"/>
      <c r="J3118" s="23"/>
      <c r="K3118" s="23"/>
      <c r="L3118" s="23"/>
      <c r="M3118" s="25"/>
      <c r="N3118" s="23"/>
      <c r="O3118" s="23"/>
      <c r="P3118" s="24"/>
    </row>
    <row r="3119" spans="1:16" ht="9.75" customHeight="1">
      <c r="A3119" s="57"/>
      <c r="B3119" s="25" t="s">
        <v>99</v>
      </c>
      <c r="C3119" s="25"/>
      <c r="D3119" s="23"/>
      <c r="E3119" s="23"/>
      <c r="F3119" s="23"/>
      <c r="G3119" s="23"/>
      <c r="H3119" s="23"/>
      <c r="I3119" s="23"/>
      <c r="J3119" s="23"/>
      <c r="K3119" s="23"/>
      <c r="L3119" s="23"/>
      <c r="M3119" s="25"/>
      <c r="N3119" s="23"/>
      <c r="O3119" s="23"/>
      <c r="P3119" s="24"/>
    </row>
    <row r="3120" spans="1:16" ht="9.75" customHeight="1">
      <c r="A3120" s="28"/>
      <c r="B3120" s="25" t="s">
        <v>99</v>
      </c>
      <c r="C3120" s="25"/>
      <c r="D3120" s="23"/>
      <c r="E3120" s="23"/>
      <c r="F3120" s="23"/>
      <c r="G3120" s="23"/>
      <c r="H3120" s="23"/>
      <c r="I3120" s="23"/>
      <c r="J3120" s="23"/>
      <c r="K3120" s="23"/>
      <c r="L3120" s="23"/>
      <c r="M3120" s="25"/>
      <c r="N3120" s="23"/>
      <c r="O3120" s="23"/>
      <c r="P3120" s="24"/>
    </row>
    <row r="3121" spans="1:16" ht="9.75" customHeight="1">
      <c r="A3121" s="28"/>
      <c r="B3121" s="25" t="s">
        <v>32</v>
      </c>
      <c r="C3121" s="25"/>
      <c r="D3121" s="23"/>
      <c r="E3121" s="23"/>
      <c r="F3121" s="23"/>
      <c r="G3121" s="23"/>
      <c r="H3121" s="23"/>
      <c r="I3121" s="23"/>
      <c r="J3121" s="23"/>
      <c r="K3121" s="23"/>
      <c r="L3121" s="23"/>
      <c r="M3121" s="25"/>
      <c r="N3121" s="23"/>
      <c r="O3121" s="23"/>
      <c r="P3121" s="24"/>
    </row>
    <row r="3122" spans="1:16" ht="9.75" customHeight="1">
      <c r="A3122" s="28"/>
      <c r="B3122" s="25" t="s">
        <v>104</v>
      </c>
      <c r="C3122" s="25"/>
      <c r="D3122" s="23"/>
      <c r="E3122" s="23"/>
      <c r="F3122" s="23"/>
      <c r="G3122" s="23"/>
      <c r="H3122" s="23"/>
      <c r="I3122" s="23"/>
      <c r="J3122" s="23"/>
      <c r="K3122" s="23"/>
      <c r="L3122" s="23"/>
      <c r="M3122" s="25"/>
      <c r="N3122" s="23"/>
      <c r="O3122" s="23"/>
      <c r="P3122" s="24"/>
    </row>
    <row r="3123" spans="1:16" ht="9.75" customHeight="1">
      <c r="A3123" s="28"/>
      <c r="B3123" s="25" t="s">
        <v>104</v>
      </c>
      <c r="C3123" s="25"/>
      <c r="D3123" s="23"/>
      <c r="E3123" s="23"/>
      <c r="F3123" s="23"/>
      <c r="G3123" s="23"/>
      <c r="H3123" s="23"/>
      <c r="I3123" s="23"/>
      <c r="J3123" s="23"/>
      <c r="K3123" s="23"/>
      <c r="L3123" s="23"/>
      <c r="M3123" s="25"/>
      <c r="N3123" s="23"/>
      <c r="O3123" s="23"/>
      <c r="P3123" s="24"/>
    </row>
    <row r="3124" spans="1:16" ht="9.75" customHeight="1">
      <c r="A3124" s="28"/>
      <c r="B3124" s="25" t="s">
        <v>104</v>
      </c>
      <c r="C3124" s="25"/>
      <c r="D3124" s="23"/>
      <c r="E3124" s="23"/>
      <c r="F3124" s="23"/>
      <c r="G3124" s="23"/>
      <c r="H3124" s="23"/>
      <c r="I3124" s="23"/>
      <c r="J3124" s="23"/>
      <c r="K3124" s="23"/>
      <c r="L3124" s="23"/>
      <c r="M3124" s="25"/>
      <c r="N3124" s="23"/>
      <c r="O3124" s="23"/>
      <c r="P3124" s="24"/>
    </row>
    <row r="3125" spans="1:16" ht="9.75" customHeight="1">
      <c r="A3125" s="28"/>
      <c r="B3125" s="25" t="s">
        <v>104</v>
      </c>
      <c r="C3125" s="25"/>
      <c r="D3125" s="23"/>
      <c r="E3125" s="23"/>
      <c r="F3125" s="23"/>
      <c r="G3125" s="23"/>
      <c r="H3125" s="23"/>
      <c r="I3125" s="23"/>
      <c r="J3125" s="23"/>
      <c r="K3125" s="23"/>
      <c r="L3125" s="23"/>
      <c r="M3125" s="25"/>
      <c r="N3125" s="23"/>
      <c r="O3125" s="23"/>
      <c r="P3125" s="24"/>
    </row>
    <row r="3126" spans="1:16" ht="9.75" customHeight="1">
      <c r="A3126" s="28"/>
      <c r="B3126" s="25" t="s">
        <v>104</v>
      </c>
      <c r="C3126" s="25"/>
      <c r="D3126" s="23"/>
      <c r="E3126" s="23"/>
      <c r="F3126" s="23"/>
      <c r="G3126" s="23"/>
      <c r="H3126" s="23"/>
      <c r="I3126" s="23"/>
      <c r="J3126" s="23"/>
      <c r="K3126" s="23"/>
      <c r="L3126" s="23"/>
      <c r="M3126" s="25"/>
      <c r="N3126" s="23"/>
      <c r="O3126" s="23"/>
      <c r="P3126" s="24"/>
    </row>
    <row r="3127" spans="1:16" ht="9.75" customHeight="1">
      <c r="A3127" s="28"/>
      <c r="B3127" s="25" t="s">
        <v>104</v>
      </c>
      <c r="C3127" s="25"/>
      <c r="D3127" s="23"/>
      <c r="E3127" s="23"/>
      <c r="F3127" s="23"/>
      <c r="G3127" s="23"/>
      <c r="H3127" s="23"/>
      <c r="I3127" s="23"/>
      <c r="J3127" s="23"/>
      <c r="K3127" s="23"/>
      <c r="L3127" s="23"/>
      <c r="M3127" s="25"/>
      <c r="N3127" s="23"/>
      <c r="O3127" s="23"/>
      <c r="P3127" s="24"/>
    </row>
    <row r="3128" spans="1:16" ht="9.75" customHeight="1">
      <c r="A3128" s="28"/>
      <c r="B3128" s="25" t="s">
        <v>34</v>
      </c>
      <c r="C3128" s="25"/>
      <c r="D3128" s="23"/>
      <c r="E3128" s="23"/>
      <c r="F3128" s="23"/>
      <c r="G3128" s="23"/>
      <c r="H3128" s="23"/>
      <c r="I3128" s="23"/>
      <c r="J3128" s="23"/>
      <c r="K3128" s="23"/>
      <c r="L3128" s="23"/>
      <c r="M3128" s="25"/>
      <c r="N3128" s="23"/>
      <c r="O3128" s="23"/>
      <c r="P3128" s="24"/>
    </row>
    <row r="3129" spans="1:16" ht="9.75" customHeight="1">
      <c r="A3129" s="28"/>
      <c r="B3129" s="25" t="s">
        <v>35</v>
      </c>
      <c r="C3129" s="25"/>
      <c r="D3129" s="23"/>
      <c r="E3129" s="23"/>
      <c r="F3129" s="23"/>
      <c r="G3129" s="23"/>
      <c r="H3129" s="23"/>
      <c r="I3129" s="23"/>
      <c r="J3129" s="23"/>
      <c r="K3129" s="23"/>
      <c r="L3129" s="23"/>
      <c r="M3129" s="25"/>
      <c r="N3129" s="23"/>
      <c r="O3129" s="23"/>
      <c r="P3129" s="24"/>
    </row>
    <row r="3130" spans="1:16" ht="9.75" customHeight="1">
      <c r="A3130" s="28"/>
      <c r="B3130" s="25" t="s">
        <v>36</v>
      </c>
      <c r="C3130" s="25"/>
      <c r="D3130" s="23"/>
      <c r="E3130" s="23"/>
      <c r="F3130" s="23"/>
      <c r="G3130" s="23"/>
      <c r="H3130" s="23"/>
      <c r="I3130" s="23"/>
      <c r="J3130" s="23"/>
      <c r="K3130" s="23"/>
      <c r="L3130" s="23"/>
      <c r="M3130" s="25"/>
      <c r="N3130" s="23"/>
      <c r="O3130" s="23"/>
      <c r="P3130" s="24"/>
    </row>
    <row r="3131" spans="1:16" ht="9.75" customHeight="1">
      <c r="A3131" s="28"/>
      <c r="B3131" s="31" t="s">
        <v>37</v>
      </c>
      <c r="C3131" s="31"/>
      <c r="D3131" s="30"/>
      <c r="E3131" s="30"/>
      <c r="F3131" s="30"/>
      <c r="G3131" s="30"/>
      <c r="H3131" s="30"/>
      <c r="I3131" s="30"/>
      <c r="J3131" s="30"/>
      <c r="K3131" s="30"/>
      <c r="L3131" s="30"/>
      <c r="M3131" s="31"/>
      <c r="N3131" s="30"/>
      <c r="O3131" s="30"/>
      <c r="P3131" s="198"/>
    </row>
    <row r="3132" spans="1:16" ht="9.75" customHeight="1">
      <c r="A3132" s="89"/>
      <c r="B3132" s="46" t="s">
        <v>38</v>
      </c>
      <c r="C3132" s="199">
        <f t="shared" ref="C3132:M3132" si="560">SUM(C3116:C3131)</f>
        <v>28</v>
      </c>
      <c r="D3132" s="200">
        <f t="shared" si="560"/>
        <v>8</v>
      </c>
      <c r="E3132" s="200">
        <f t="shared" si="560"/>
        <v>5</v>
      </c>
      <c r="F3132" s="200">
        <f t="shared" si="560"/>
        <v>3</v>
      </c>
      <c r="G3132" s="200">
        <f t="shared" si="560"/>
        <v>4</v>
      </c>
      <c r="H3132" s="200">
        <f t="shared" si="560"/>
        <v>4</v>
      </c>
      <c r="I3132" s="200">
        <f t="shared" si="560"/>
        <v>3</v>
      </c>
      <c r="J3132" s="200">
        <f t="shared" si="560"/>
        <v>2</v>
      </c>
      <c r="K3132" s="200">
        <f t="shared" si="560"/>
        <v>4</v>
      </c>
      <c r="L3132" s="200">
        <f t="shared" si="560"/>
        <v>3</v>
      </c>
      <c r="M3132" s="199">
        <f t="shared" si="560"/>
        <v>0</v>
      </c>
      <c r="N3132" s="200">
        <f>MIN(D3132:M3132)</f>
        <v>0</v>
      </c>
      <c r="O3132" s="200">
        <f>C3132-N3132</f>
        <v>28</v>
      </c>
      <c r="P3132" s="201">
        <f>O3132/C3132</f>
        <v>1</v>
      </c>
    </row>
    <row r="3133" spans="1:16" ht="9.75" customHeight="1">
      <c r="A3133" s="28" t="s">
        <v>398</v>
      </c>
      <c r="B3133" s="25" t="s">
        <v>23</v>
      </c>
      <c r="C3133" s="25"/>
      <c r="D3133" s="23"/>
      <c r="E3133" s="23"/>
      <c r="F3133" s="23"/>
      <c r="G3133" s="23"/>
      <c r="H3133" s="23"/>
      <c r="I3133" s="23"/>
      <c r="J3133" s="23"/>
      <c r="K3133" s="23"/>
      <c r="L3133" s="23"/>
      <c r="M3133" s="25"/>
      <c r="N3133" s="23"/>
      <c r="O3133" s="23"/>
      <c r="P3133" s="24"/>
    </row>
    <row r="3134" spans="1:16" ht="9.75" customHeight="1">
      <c r="A3134" s="57"/>
      <c r="B3134" s="25" t="s">
        <v>25</v>
      </c>
      <c r="C3134" s="25"/>
      <c r="D3134" s="23"/>
      <c r="E3134" s="23"/>
      <c r="F3134" s="23"/>
      <c r="G3134" s="23"/>
      <c r="H3134" s="23"/>
      <c r="I3134" s="23"/>
      <c r="J3134" s="23"/>
      <c r="K3134" s="23"/>
      <c r="L3134" s="23"/>
      <c r="M3134" s="25"/>
      <c r="N3134" s="23"/>
      <c r="O3134" s="23"/>
      <c r="P3134" s="24"/>
    </row>
    <row r="3135" spans="1:16" ht="9.75" customHeight="1">
      <c r="A3135" s="57"/>
      <c r="B3135" s="25" t="s">
        <v>27</v>
      </c>
      <c r="C3135" s="25"/>
      <c r="D3135" s="23"/>
      <c r="E3135" s="23"/>
      <c r="F3135" s="23"/>
      <c r="G3135" s="23"/>
      <c r="H3135" s="23"/>
      <c r="I3135" s="23"/>
      <c r="J3135" s="23"/>
      <c r="K3135" s="23"/>
      <c r="L3135" s="23"/>
      <c r="M3135" s="25"/>
      <c r="N3135" s="23"/>
      <c r="O3135" s="23"/>
      <c r="P3135" s="24"/>
    </row>
    <row r="3136" spans="1:16" ht="9.75" customHeight="1">
      <c r="A3136" s="57"/>
      <c r="B3136" s="25" t="s">
        <v>99</v>
      </c>
      <c r="C3136" s="25"/>
      <c r="D3136" s="23"/>
      <c r="E3136" s="23"/>
      <c r="F3136" s="23"/>
      <c r="G3136" s="23"/>
      <c r="H3136" s="23"/>
      <c r="I3136" s="23"/>
      <c r="J3136" s="23"/>
      <c r="K3136" s="23"/>
      <c r="L3136" s="23"/>
      <c r="M3136" s="25"/>
      <c r="N3136" s="23"/>
      <c r="O3136" s="23"/>
      <c r="P3136" s="24"/>
    </row>
    <row r="3137" spans="1:16" ht="9.75" customHeight="1">
      <c r="A3137" s="28"/>
      <c r="B3137" s="25" t="s">
        <v>99</v>
      </c>
      <c r="C3137" s="25"/>
      <c r="D3137" s="23"/>
      <c r="E3137" s="23"/>
      <c r="F3137" s="23"/>
      <c r="G3137" s="23"/>
      <c r="H3137" s="23"/>
      <c r="I3137" s="23"/>
      <c r="J3137" s="23"/>
      <c r="K3137" s="23"/>
      <c r="L3137" s="23"/>
      <c r="M3137" s="25"/>
      <c r="N3137" s="23"/>
      <c r="O3137" s="23"/>
      <c r="P3137" s="24"/>
    </row>
    <row r="3138" spans="1:16" ht="9.75" customHeight="1">
      <c r="A3138" s="28"/>
      <c r="B3138" s="25" t="s">
        <v>32</v>
      </c>
      <c r="C3138" s="25"/>
      <c r="D3138" s="23"/>
      <c r="E3138" s="23"/>
      <c r="F3138" s="23"/>
      <c r="G3138" s="23"/>
      <c r="H3138" s="23"/>
      <c r="I3138" s="23"/>
      <c r="J3138" s="23"/>
      <c r="K3138" s="23"/>
      <c r="L3138" s="23"/>
      <c r="M3138" s="25"/>
      <c r="N3138" s="23"/>
      <c r="O3138" s="23"/>
      <c r="P3138" s="24"/>
    </row>
    <row r="3139" spans="1:16" ht="9.75" customHeight="1">
      <c r="A3139" s="28"/>
      <c r="B3139" s="25" t="s">
        <v>399</v>
      </c>
      <c r="C3139" s="87">
        <v>32</v>
      </c>
      <c r="D3139" s="137">
        <v>32</v>
      </c>
      <c r="E3139" s="137">
        <v>30</v>
      </c>
      <c r="F3139" s="137">
        <v>29</v>
      </c>
      <c r="G3139" s="52">
        <f>C3139-6</f>
        <v>26</v>
      </c>
      <c r="H3139" s="52">
        <f>C3139-4</f>
        <v>28</v>
      </c>
      <c r="I3139" s="52">
        <f>32-3</f>
        <v>29</v>
      </c>
      <c r="J3139" s="137">
        <v>29</v>
      </c>
      <c r="K3139" s="137">
        <v>31</v>
      </c>
      <c r="L3139" s="137">
        <v>31</v>
      </c>
      <c r="M3139" s="138">
        <v>31</v>
      </c>
      <c r="N3139" s="52">
        <f>MIN(D3139:M3139)</f>
        <v>26</v>
      </c>
      <c r="O3139" s="52">
        <f>C3139-N3139</f>
        <v>6</v>
      </c>
      <c r="P3139" s="54">
        <f>O3139/C3139</f>
        <v>0.1875</v>
      </c>
    </row>
    <row r="3140" spans="1:16" ht="9.75" customHeight="1">
      <c r="A3140" s="28"/>
      <c r="B3140" s="25" t="s">
        <v>104</v>
      </c>
      <c r="C3140" s="25"/>
      <c r="D3140" s="23"/>
      <c r="E3140" s="23"/>
      <c r="F3140" s="23"/>
      <c r="G3140" s="23"/>
      <c r="H3140" s="23"/>
      <c r="I3140" s="23"/>
      <c r="J3140" s="23"/>
      <c r="K3140" s="23"/>
      <c r="L3140" s="23"/>
      <c r="M3140" s="25"/>
      <c r="N3140" s="23"/>
      <c r="O3140" s="23"/>
      <c r="P3140" s="24"/>
    </row>
    <row r="3141" spans="1:16" ht="9.75" customHeight="1">
      <c r="A3141" s="28"/>
      <c r="B3141" s="25" t="s">
        <v>104</v>
      </c>
      <c r="C3141" s="25"/>
      <c r="D3141" s="23"/>
      <c r="E3141" s="23"/>
      <c r="F3141" s="23"/>
      <c r="G3141" s="23"/>
      <c r="H3141" s="23"/>
      <c r="I3141" s="23"/>
      <c r="J3141" s="23"/>
      <c r="K3141" s="23"/>
      <c r="L3141" s="23"/>
      <c r="M3141" s="25"/>
      <c r="N3141" s="23"/>
      <c r="O3141" s="23"/>
      <c r="P3141" s="24"/>
    </row>
    <row r="3142" spans="1:16" ht="9.75" customHeight="1">
      <c r="A3142" s="28"/>
      <c r="B3142" s="25" t="s">
        <v>104</v>
      </c>
      <c r="C3142" s="25"/>
      <c r="D3142" s="23"/>
      <c r="E3142" s="23"/>
      <c r="F3142" s="23"/>
      <c r="G3142" s="23"/>
      <c r="H3142" s="23"/>
      <c r="I3142" s="23"/>
      <c r="J3142" s="23"/>
      <c r="K3142" s="23"/>
      <c r="L3142" s="23"/>
      <c r="M3142" s="25"/>
      <c r="N3142" s="23"/>
      <c r="O3142" s="23"/>
      <c r="P3142" s="24"/>
    </row>
    <row r="3143" spans="1:16" ht="9.75" customHeight="1">
      <c r="A3143" s="28"/>
      <c r="B3143" s="25" t="s">
        <v>104</v>
      </c>
      <c r="C3143" s="25"/>
      <c r="D3143" s="23"/>
      <c r="E3143" s="23"/>
      <c r="F3143" s="23"/>
      <c r="G3143" s="23"/>
      <c r="H3143" s="23"/>
      <c r="I3143" s="23"/>
      <c r="J3143" s="23"/>
      <c r="K3143" s="23"/>
      <c r="L3143" s="23"/>
      <c r="M3143" s="25"/>
      <c r="N3143" s="23"/>
      <c r="O3143" s="23"/>
      <c r="P3143" s="24"/>
    </row>
    <row r="3144" spans="1:16" ht="9.75" customHeight="1">
      <c r="A3144" s="28"/>
      <c r="B3144" s="25" t="s">
        <v>104</v>
      </c>
      <c r="C3144" s="25"/>
      <c r="D3144" s="23"/>
      <c r="E3144" s="23"/>
      <c r="F3144" s="23"/>
      <c r="G3144" s="23"/>
      <c r="H3144" s="23"/>
      <c r="I3144" s="23"/>
      <c r="J3144" s="23"/>
      <c r="K3144" s="23"/>
      <c r="L3144" s="23"/>
      <c r="M3144" s="25"/>
      <c r="N3144" s="23"/>
      <c r="O3144" s="23"/>
      <c r="P3144" s="24"/>
    </row>
    <row r="3145" spans="1:16" ht="9.75" customHeight="1">
      <c r="A3145" s="28"/>
      <c r="B3145" s="25" t="s">
        <v>34</v>
      </c>
      <c r="C3145" s="87">
        <v>3</v>
      </c>
      <c r="D3145" s="137">
        <v>3</v>
      </c>
      <c r="E3145" s="137">
        <v>3</v>
      </c>
      <c r="F3145" s="137">
        <v>3</v>
      </c>
      <c r="G3145" s="137">
        <v>3</v>
      </c>
      <c r="H3145" s="137">
        <v>3</v>
      </c>
      <c r="I3145" s="137">
        <v>3</v>
      </c>
      <c r="J3145" s="137">
        <v>2</v>
      </c>
      <c r="K3145" s="137">
        <v>3</v>
      </c>
      <c r="L3145" s="137">
        <v>3</v>
      </c>
      <c r="M3145" s="138">
        <v>3</v>
      </c>
      <c r="N3145" s="52">
        <f>MIN(D3145:M3145)</f>
        <v>2</v>
      </c>
      <c r="O3145" s="52">
        <f>C3145-N3145</f>
        <v>1</v>
      </c>
      <c r="P3145" s="54">
        <f>O3145/C3145</f>
        <v>0.33333333333333331</v>
      </c>
    </row>
    <row r="3146" spans="1:16" ht="9.75" customHeight="1">
      <c r="A3146" s="28"/>
      <c r="B3146" s="25" t="s">
        <v>35</v>
      </c>
      <c r="C3146" s="25"/>
      <c r="D3146" s="23"/>
      <c r="E3146" s="23"/>
      <c r="F3146" s="23"/>
      <c r="G3146" s="23"/>
      <c r="H3146" s="23"/>
      <c r="I3146" s="23"/>
      <c r="J3146" s="23"/>
      <c r="K3146" s="23"/>
      <c r="L3146" s="23"/>
      <c r="M3146" s="25"/>
      <c r="N3146" s="23"/>
      <c r="O3146" s="23"/>
      <c r="P3146" s="24"/>
    </row>
    <row r="3147" spans="1:16" ht="9.75" customHeight="1">
      <c r="A3147" s="28"/>
      <c r="B3147" s="25" t="s">
        <v>36</v>
      </c>
      <c r="C3147" s="25"/>
      <c r="D3147" s="23"/>
      <c r="E3147" s="23"/>
      <c r="F3147" s="23"/>
      <c r="G3147" s="23"/>
      <c r="H3147" s="23"/>
      <c r="I3147" s="23"/>
      <c r="J3147" s="23"/>
      <c r="K3147" s="23"/>
      <c r="L3147" s="23"/>
      <c r="M3147" s="25"/>
      <c r="N3147" s="23"/>
      <c r="O3147" s="23"/>
      <c r="P3147" s="24"/>
    </row>
    <row r="3148" spans="1:16" ht="9.75" customHeight="1">
      <c r="A3148" s="28"/>
      <c r="B3148" s="31" t="s">
        <v>37</v>
      </c>
      <c r="C3148" s="31"/>
      <c r="D3148" s="30"/>
      <c r="E3148" s="30"/>
      <c r="F3148" s="30"/>
      <c r="G3148" s="30"/>
      <c r="H3148" s="30"/>
      <c r="I3148" s="30"/>
      <c r="J3148" s="30"/>
      <c r="K3148" s="30"/>
      <c r="L3148" s="30"/>
      <c r="M3148" s="31"/>
      <c r="N3148" s="30"/>
      <c r="O3148" s="30"/>
      <c r="P3148" s="198"/>
    </row>
    <row r="3149" spans="1:16" ht="9.75" customHeight="1">
      <c r="A3149" s="89"/>
      <c r="B3149" s="46" t="s">
        <v>38</v>
      </c>
      <c r="C3149" s="199">
        <f t="shared" ref="C3149:M3149" si="561">SUM(C3133:C3148)</f>
        <v>35</v>
      </c>
      <c r="D3149" s="200">
        <f t="shared" si="561"/>
        <v>35</v>
      </c>
      <c r="E3149" s="200">
        <f t="shared" si="561"/>
        <v>33</v>
      </c>
      <c r="F3149" s="200">
        <f t="shared" si="561"/>
        <v>32</v>
      </c>
      <c r="G3149" s="200">
        <f t="shared" si="561"/>
        <v>29</v>
      </c>
      <c r="H3149" s="200">
        <f t="shared" si="561"/>
        <v>31</v>
      </c>
      <c r="I3149" s="200">
        <f t="shared" si="561"/>
        <v>32</v>
      </c>
      <c r="J3149" s="200">
        <f t="shared" si="561"/>
        <v>31</v>
      </c>
      <c r="K3149" s="200">
        <f t="shared" si="561"/>
        <v>34</v>
      </c>
      <c r="L3149" s="200">
        <f t="shared" si="561"/>
        <v>34</v>
      </c>
      <c r="M3149" s="199">
        <f t="shared" si="561"/>
        <v>34</v>
      </c>
      <c r="N3149" s="200">
        <f t="shared" ref="N3149:N3151" si="562">MIN(D3149:M3149)</f>
        <v>29</v>
      </c>
      <c r="O3149" s="200">
        <f t="shared" ref="O3149:O3151" si="563">C3149-N3149</f>
        <v>6</v>
      </c>
      <c r="P3149" s="201">
        <f t="shared" ref="P3149:P3151" si="564">O3149/C3149</f>
        <v>0.17142857142857143</v>
      </c>
    </row>
    <row r="3150" spans="1:16" ht="9.75" customHeight="1">
      <c r="A3150" s="28" t="s">
        <v>400</v>
      </c>
      <c r="B3150" s="25" t="s">
        <v>23</v>
      </c>
      <c r="C3150" s="87">
        <v>11</v>
      </c>
      <c r="D3150" s="137">
        <v>9</v>
      </c>
      <c r="E3150" s="137">
        <v>6</v>
      </c>
      <c r="F3150" s="137">
        <v>5</v>
      </c>
      <c r="G3150" s="137">
        <v>4</v>
      </c>
      <c r="H3150" s="137">
        <v>5</v>
      </c>
      <c r="I3150" s="137">
        <v>6</v>
      </c>
      <c r="J3150" s="52">
        <f>11-5</f>
        <v>6</v>
      </c>
      <c r="K3150" s="52">
        <f>11-6</f>
        <v>5</v>
      </c>
      <c r="L3150" s="137">
        <v>5</v>
      </c>
      <c r="M3150" s="87">
        <f>11-8</f>
        <v>3</v>
      </c>
      <c r="N3150" s="52">
        <f t="shared" si="562"/>
        <v>3</v>
      </c>
      <c r="O3150" s="52">
        <f t="shared" si="563"/>
        <v>8</v>
      </c>
      <c r="P3150" s="54">
        <f t="shared" si="564"/>
        <v>0.72727272727272729</v>
      </c>
    </row>
    <row r="3151" spans="1:16" ht="9.75" customHeight="1">
      <c r="A3151" s="57"/>
      <c r="B3151" s="25" t="s">
        <v>25</v>
      </c>
      <c r="C3151" s="87">
        <v>21</v>
      </c>
      <c r="D3151" s="52">
        <f>C3151-6</f>
        <v>15</v>
      </c>
      <c r="E3151" s="52">
        <f>C3151-12</f>
        <v>9</v>
      </c>
      <c r="F3151" s="137">
        <v>9</v>
      </c>
      <c r="G3151" s="137">
        <v>9</v>
      </c>
      <c r="H3151" s="137">
        <v>9</v>
      </c>
      <c r="I3151" s="137">
        <v>9</v>
      </c>
      <c r="J3151" s="52">
        <f>21-11</f>
        <v>10</v>
      </c>
      <c r="K3151" s="52">
        <f>C3151-12</f>
        <v>9</v>
      </c>
      <c r="L3151" s="52">
        <f>C3151-11</f>
        <v>10</v>
      </c>
      <c r="M3151" s="87">
        <f>C3151-14</f>
        <v>7</v>
      </c>
      <c r="N3151" s="52">
        <f t="shared" si="562"/>
        <v>7</v>
      </c>
      <c r="O3151" s="52">
        <f t="shared" si="563"/>
        <v>14</v>
      </c>
      <c r="P3151" s="54">
        <f t="shared" si="564"/>
        <v>0.66666666666666663</v>
      </c>
    </row>
    <row r="3152" spans="1:16" ht="9.75" customHeight="1">
      <c r="A3152" s="57"/>
      <c r="B3152" s="25" t="s">
        <v>27</v>
      </c>
      <c r="C3152" s="25"/>
      <c r="D3152" s="23"/>
      <c r="E3152" s="23"/>
      <c r="F3152" s="23"/>
      <c r="G3152" s="23"/>
      <c r="H3152" s="23"/>
      <c r="I3152" s="23"/>
      <c r="J3152" s="23"/>
      <c r="K3152" s="23"/>
      <c r="L3152" s="23"/>
      <c r="M3152" s="25"/>
      <c r="N3152" s="23"/>
      <c r="O3152" s="23"/>
      <c r="P3152" s="24"/>
    </row>
    <row r="3153" spans="1:16" ht="9.75" customHeight="1">
      <c r="A3153" s="57"/>
      <c r="B3153" s="25" t="s">
        <v>99</v>
      </c>
      <c r="C3153" s="25"/>
      <c r="D3153" s="23"/>
      <c r="E3153" s="23"/>
      <c r="F3153" s="23"/>
      <c r="G3153" s="23"/>
      <c r="H3153" s="23"/>
      <c r="I3153" s="23"/>
      <c r="J3153" s="23"/>
      <c r="K3153" s="23"/>
      <c r="L3153" s="23"/>
      <c r="M3153" s="25"/>
      <c r="N3153" s="23"/>
      <c r="O3153" s="23"/>
      <c r="P3153" s="24"/>
    </row>
    <row r="3154" spans="1:16" ht="9.75" customHeight="1">
      <c r="A3154" s="28"/>
      <c r="B3154" s="25" t="s">
        <v>99</v>
      </c>
      <c r="C3154" s="25"/>
      <c r="D3154" s="23"/>
      <c r="E3154" s="23"/>
      <c r="F3154" s="23"/>
      <c r="G3154" s="23"/>
      <c r="H3154" s="23"/>
      <c r="I3154" s="23"/>
      <c r="J3154" s="23"/>
      <c r="K3154" s="23"/>
      <c r="L3154" s="23"/>
      <c r="M3154" s="25"/>
      <c r="N3154" s="23"/>
      <c r="O3154" s="23"/>
      <c r="P3154" s="24"/>
    </row>
    <row r="3155" spans="1:16" ht="9.75" customHeight="1">
      <c r="A3155" s="28"/>
      <c r="B3155" s="25" t="s">
        <v>32</v>
      </c>
      <c r="C3155" s="87">
        <v>2</v>
      </c>
      <c r="D3155" s="137">
        <v>2</v>
      </c>
      <c r="E3155" s="137">
        <v>2</v>
      </c>
      <c r="F3155" s="137">
        <v>2</v>
      </c>
      <c r="G3155" s="137">
        <v>2</v>
      </c>
      <c r="H3155" s="137">
        <v>2</v>
      </c>
      <c r="I3155" s="137">
        <v>2</v>
      </c>
      <c r="J3155" s="137">
        <v>2</v>
      </c>
      <c r="K3155" s="137">
        <v>2</v>
      </c>
      <c r="L3155" s="137">
        <v>2</v>
      </c>
      <c r="M3155" s="138">
        <v>2</v>
      </c>
      <c r="N3155" s="52">
        <f t="shared" ref="N3155:N3157" si="565">MIN(D3155:M3155)</f>
        <v>2</v>
      </c>
      <c r="O3155" s="52">
        <f t="shared" ref="O3155:O3157" si="566">C3155-N3155</f>
        <v>0</v>
      </c>
      <c r="P3155" s="54">
        <f t="shared" ref="P3155:P3157" si="567">O3155/C3155</f>
        <v>0</v>
      </c>
    </row>
    <row r="3156" spans="1:16" ht="9.75" customHeight="1">
      <c r="A3156" s="28"/>
      <c r="B3156" s="25" t="s">
        <v>399</v>
      </c>
      <c r="C3156" s="87">
        <v>3</v>
      </c>
      <c r="D3156" s="137">
        <v>3</v>
      </c>
      <c r="E3156" s="137">
        <v>3</v>
      </c>
      <c r="F3156" s="137">
        <v>3</v>
      </c>
      <c r="G3156" s="137">
        <v>3</v>
      </c>
      <c r="H3156" s="137">
        <v>3</v>
      </c>
      <c r="I3156" s="137">
        <v>2</v>
      </c>
      <c r="J3156" s="137">
        <v>2</v>
      </c>
      <c r="K3156" s="137">
        <v>2</v>
      </c>
      <c r="L3156" s="137">
        <v>2</v>
      </c>
      <c r="M3156" s="138">
        <v>2</v>
      </c>
      <c r="N3156" s="52">
        <f t="shared" si="565"/>
        <v>2</v>
      </c>
      <c r="O3156" s="52">
        <f t="shared" si="566"/>
        <v>1</v>
      </c>
      <c r="P3156" s="54">
        <f t="shared" si="567"/>
        <v>0.33333333333333331</v>
      </c>
    </row>
    <row r="3157" spans="1:16" ht="9.75" customHeight="1">
      <c r="A3157" s="28"/>
      <c r="B3157" s="25" t="s">
        <v>401</v>
      </c>
      <c r="C3157" s="87">
        <v>7</v>
      </c>
      <c r="D3157" s="137">
        <v>7</v>
      </c>
      <c r="E3157" s="137">
        <v>6</v>
      </c>
      <c r="F3157" s="137">
        <v>6</v>
      </c>
      <c r="G3157" s="137">
        <v>6</v>
      </c>
      <c r="H3157" s="137">
        <v>6</v>
      </c>
      <c r="I3157" s="137">
        <v>7</v>
      </c>
      <c r="J3157" s="137">
        <v>7</v>
      </c>
      <c r="K3157" s="137">
        <v>7</v>
      </c>
      <c r="L3157" s="137">
        <v>7</v>
      </c>
      <c r="M3157" s="138">
        <v>7</v>
      </c>
      <c r="N3157" s="52">
        <f t="shared" si="565"/>
        <v>6</v>
      </c>
      <c r="O3157" s="52">
        <f t="shared" si="566"/>
        <v>1</v>
      </c>
      <c r="P3157" s="54">
        <f t="shared" si="567"/>
        <v>0.14285714285714285</v>
      </c>
    </row>
    <row r="3158" spans="1:16" ht="9.75" customHeight="1">
      <c r="A3158" s="28"/>
      <c r="B3158" s="25" t="s">
        <v>104</v>
      </c>
      <c r="C3158" s="25"/>
      <c r="D3158" s="23"/>
      <c r="E3158" s="23"/>
      <c r="F3158" s="23"/>
      <c r="G3158" s="23"/>
      <c r="H3158" s="23"/>
      <c r="I3158" s="23"/>
      <c r="J3158" s="23"/>
      <c r="K3158" s="23"/>
      <c r="L3158" s="23"/>
      <c r="M3158" s="25"/>
      <c r="N3158" s="23"/>
      <c r="O3158" s="23"/>
      <c r="P3158" s="24"/>
    </row>
    <row r="3159" spans="1:16" ht="9.75" customHeight="1">
      <c r="A3159" s="28"/>
      <c r="B3159" s="25" t="s">
        <v>104</v>
      </c>
      <c r="C3159" s="25"/>
      <c r="D3159" s="23"/>
      <c r="E3159" s="23"/>
      <c r="F3159" s="23"/>
      <c r="G3159" s="23"/>
      <c r="H3159" s="23"/>
      <c r="I3159" s="23"/>
      <c r="J3159" s="23"/>
      <c r="K3159" s="23"/>
      <c r="L3159" s="23"/>
      <c r="M3159" s="25"/>
      <c r="N3159" s="23"/>
      <c r="O3159" s="23"/>
      <c r="P3159" s="24"/>
    </row>
    <row r="3160" spans="1:16" ht="9.75" customHeight="1">
      <c r="A3160" s="28"/>
      <c r="B3160" s="25" t="s">
        <v>104</v>
      </c>
      <c r="C3160" s="25"/>
      <c r="D3160" s="23"/>
      <c r="E3160" s="23"/>
      <c r="F3160" s="23"/>
      <c r="G3160" s="23"/>
      <c r="H3160" s="23"/>
      <c r="I3160" s="23"/>
      <c r="J3160" s="23"/>
      <c r="K3160" s="23"/>
      <c r="L3160" s="23"/>
      <c r="M3160" s="25"/>
      <c r="N3160" s="23"/>
      <c r="O3160" s="23"/>
      <c r="P3160" s="24"/>
    </row>
    <row r="3161" spans="1:16" ht="9.75" customHeight="1">
      <c r="A3161" s="28"/>
      <c r="B3161" s="25" t="s">
        <v>104</v>
      </c>
      <c r="C3161" s="25"/>
      <c r="D3161" s="23"/>
      <c r="E3161" s="23"/>
      <c r="F3161" s="23"/>
      <c r="G3161" s="23"/>
      <c r="H3161" s="23"/>
      <c r="I3161" s="23"/>
      <c r="J3161" s="23"/>
      <c r="K3161" s="23"/>
      <c r="L3161" s="23"/>
      <c r="M3161" s="25"/>
      <c r="N3161" s="23"/>
      <c r="O3161" s="23"/>
      <c r="P3161" s="24"/>
    </row>
    <row r="3162" spans="1:16" ht="9.75" customHeight="1">
      <c r="A3162" s="28"/>
      <c r="B3162" s="25" t="s">
        <v>34</v>
      </c>
      <c r="C3162" s="87">
        <v>1</v>
      </c>
      <c r="D3162" s="52">
        <v>1</v>
      </c>
      <c r="E3162" s="52">
        <v>1</v>
      </c>
      <c r="F3162" s="52">
        <v>1</v>
      </c>
      <c r="G3162" s="52">
        <v>1</v>
      </c>
      <c r="H3162" s="52">
        <v>1</v>
      </c>
      <c r="I3162" s="137">
        <v>1</v>
      </c>
      <c r="J3162" s="137">
        <v>1</v>
      </c>
      <c r="K3162" s="137">
        <v>1</v>
      </c>
      <c r="L3162" s="137">
        <v>1</v>
      </c>
      <c r="M3162" s="138">
        <v>1</v>
      </c>
      <c r="N3162" s="52">
        <f>MIN(D3162:M3162)</f>
        <v>1</v>
      </c>
      <c r="O3162" s="52">
        <f>C3162-N3162</f>
        <v>0</v>
      </c>
      <c r="P3162" s="54">
        <f>O3162/C3162</f>
        <v>0</v>
      </c>
    </row>
    <row r="3163" spans="1:16" ht="9.75" customHeight="1">
      <c r="A3163" s="28"/>
      <c r="B3163" s="25" t="s">
        <v>35</v>
      </c>
      <c r="C3163" s="25"/>
      <c r="D3163" s="23"/>
      <c r="E3163" s="23"/>
      <c r="F3163" s="23"/>
      <c r="G3163" s="23"/>
      <c r="H3163" s="23"/>
      <c r="I3163" s="23"/>
      <c r="J3163" s="23"/>
      <c r="K3163" s="23"/>
      <c r="L3163" s="23"/>
      <c r="M3163" s="25"/>
      <c r="N3163" s="23"/>
      <c r="O3163" s="23"/>
      <c r="P3163" s="24"/>
    </row>
    <row r="3164" spans="1:16" ht="9.75" customHeight="1">
      <c r="A3164" s="28"/>
      <c r="B3164" s="25" t="s">
        <v>36</v>
      </c>
      <c r="C3164" s="25"/>
      <c r="D3164" s="23"/>
      <c r="E3164" s="23"/>
      <c r="F3164" s="23"/>
      <c r="G3164" s="23"/>
      <c r="H3164" s="23"/>
      <c r="I3164" s="23"/>
      <c r="J3164" s="23"/>
      <c r="K3164" s="23"/>
      <c r="L3164" s="23"/>
      <c r="M3164" s="25"/>
      <c r="N3164" s="23"/>
      <c r="O3164" s="23"/>
      <c r="P3164" s="24"/>
    </row>
    <row r="3165" spans="1:16" ht="9.75" customHeight="1">
      <c r="A3165" s="28"/>
      <c r="B3165" s="31" t="s">
        <v>37</v>
      </c>
      <c r="C3165" s="31"/>
      <c r="D3165" s="30"/>
      <c r="E3165" s="30"/>
      <c r="F3165" s="30"/>
      <c r="G3165" s="30"/>
      <c r="H3165" s="30"/>
      <c r="I3165" s="30"/>
      <c r="J3165" s="30"/>
      <c r="K3165" s="30"/>
      <c r="L3165" s="30"/>
      <c r="M3165" s="31"/>
      <c r="N3165" s="30"/>
      <c r="O3165" s="30"/>
      <c r="P3165" s="198"/>
    </row>
    <row r="3166" spans="1:16" ht="9.75" customHeight="1">
      <c r="A3166" s="89"/>
      <c r="B3166" s="46" t="s">
        <v>38</v>
      </c>
      <c r="C3166" s="199">
        <f t="shared" ref="C3166:M3166" si="568">SUM(C3150:C3165)</f>
        <v>45</v>
      </c>
      <c r="D3166" s="200">
        <f t="shared" si="568"/>
        <v>37</v>
      </c>
      <c r="E3166" s="200">
        <f t="shared" si="568"/>
        <v>27</v>
      </c>
      <c r="F3166" s="200">
        <f t="shared" si="568"/>
        <v>26</v>
      </c>
      <c r="G3166" s="200">
        <f t="shared" si="568"/>
        <v>25</v>
      </c>
      <c r="H3166" s="200">
        <f t="shared" si="568"/>
        <v>26</v>
      </c>
      <c r="I3166" s="200">
        <f t="shared" si="568"/>
        <v>27</v>
      </c>
      <c r="J3166" s="200">
        <f t="shared" si="568"/>
        <v>28</v>
      </c>
      <c r="K3166" s="200">
        <f t="shared" si="568"/>
        <v>26</v>
      </c>
      <c r="L3166" s="200">
        <f t="shared" si="568"/>
        <v>27</v>
      </c>
      <c r="M3166" s="199">
        <f t="shared" si="568"/>
        <v>22</v>
      </c>
      <c r="N3166" s="200">
        <f>MIN(D3166:M3166)</f>
        <v>22</v>
      </c>
      <c r="O3166" s="200">
        <f>C3166-N3166</f>
        <v>23</v>
      </c>
      <c r="P3166" s="201">
        <f>O3166/C3166</f>
        <v>0.51111111111111107</v>
      </c>
    </row>
    <row r="3167" spans="1:16" ht="9.75" customHeight="1">
      <c r="A3167" s="202" t="s">
        <v>402</v>
      </c>
      <c r="B3167" s="203" t="s">
        <v>23</v>
      </c>
      <c r="C3167" s="203"/>
      <c r="D3167" s="204"/>
      <c r="E3167" s="204"/>
      <c r="F3167" s="204"/>
      <c r="G3167" s="204"/>
      <c r="H3167" s="204"/>
      <c r="I3167" s="204"/>
      <c r="J3167" s="204"/>
      <c r="K3167" s="204"/>
      <c r="L3167" s="204"/>
      <c r="M3167" s="203"/>
      <c r="N3167" s="204"/>
      <c r="O3167" s="204"/>
      <c r="P3167" s="126"/>
    </row>
    <row r="3168" spans="1:16" ht="9.75" customHeight="1">
      <c r="A3168" s="205" t="s">
        <v>241</v>
      </c>
      <c r="B3168" s="203" t="s">
        <v>25</v>
      </c>
      <c r="C3168" s="203"/>
      <c r="D3168" s="204"/>
      <c r="E3168" s="204"/>
      <c r="F3168" s="204"/>
      <c r="G3168" s="204"/>
      <c r="H3168" s="204"/>
      <c r="I3168" s="204"/>
      <c r="J3168" s="204"/>
      <c r="K3168" s="204"/>
      <c r="L3168" s="204"/>
      <c r="M3168" s="203"/>
      <c r="N3168" s="204"/>
      <c r="O3168" s="204"/>
      <c r="P3168" s="126"/>
    </row>
    <row r="3169" spans="1:16" ht="9.75" customHeight="1">
      <c r="A3169" s="205"/>
      <c r="B3169" s="203" t="s">
        <v>27</v>
      </c>
      <c r="C3169" s="203"/>
      <c r="D3169" s="204"/>
      <c r="E3169" s="204"/>
      <c r="F3169" s="204"/>
      <c r="G3169" s="204"/>
      <c r="H3169" s="204"/>
      <c r="I3169" s="204"/>
      <c r="J3169" s="204"/>
      <c r="K3169" s="204"/>
      <c r="L3169" s="204"/>
      <c r="M3169" s="203"/>
      <c r="N3169" s="204"/>
      <c r="O3169" s="204"/>
      <c r="P3169" s="126"/>
    </row>
    <row r="3170" spans="1:16" ht="9.75" customHeight="1">
      <c r="A3170" s="205"/>
      <c r="B3170" s="203" t="s">
        <v>99</v>
      </c>
      <c r="C3170" s="203"/>
      <c r="D3170" s="204"/>
      <c r="E3170" s="204"/>
      <c r="F3170" s="204"/>
      <c r="G3170" s="204"/>
      <c r="H3170" s="204"/>
      <c r="I3170" s="204"/>
      <c r="J3170" s="204"/>
      <c r="K3170" s="204"/>
      <c r="L3170" s="204"/>
      <c r="M3170" s="203"/>
      <c r="N3170" s="204"/>
      <c r="O3170" s="204"/>
      <c r="P3170" s="126"/>
    </row>
    <row r="3171" spans="1:16" ht="9.75" customHeight="1">
      <c r="A3171" s="202"/>
      <c r="B3171" s="203" t="s">
        <v>99</v>
      </c>
      <c r="C3171" s="203"/>
      <c r="D3171" s="204"/>
      <c r="E3171" s="204"/>
      <c r="F3171" s="204"/>
      <c r="G3171" s="204"/>
      <c r="H3171" s="204"/>
      <c r="I3171" s="204"/>
      <c r="J3171" s="204"/>
      <c r="K3171" s="204"/>
      <c r="L3171" s="204"/>
      <c r="M3171" s="203"/>
      <c r="N3171" s="204"/>
      <c r="O3171" s="204"/>
      <c r="P3171" s="126"/>
    </row>
    <row r="3172" spans="1:16" ht="9.75" customHeight="1">
      <c r="A3172" s="202"/>
      <c r="B3172" s="203" t="s">
        <v>32</v>
      </c>
      <c r="C3172" s="203"/>
      <c r="D3172" s="204"/>
      <c r="E3172" s="204"/>
      <c r="F3172" s="204"/>
      <c r="G3172" s="204"/>
      <c r="H3172" s="204"/>
      <c r="I3172" s="204"/>
      <c r="J3172" s="204"/>
      <c r="K3172" s="204"/>
      <c r="L3172" s="204"/>
      <c r="M3172" s="203"/>
      <c r="N3172" s="204"/>
      <c r="O3172" s="204"/>
      <c r="P3172" s="126"/>
    </row>
    <row r="3173" spans="1:16" ht="9.75" customHeight="1">
      <c r="A3173" s="202"/>
      <c r="B3173" s="203" t="s">
        <v>403</v>
      </c>
      <c r="C3173" s="128"/>
      <c r="D3173" s="127"/>
      <c r="E3173" s="127"/>
      <c r="F3173" s="127"/>
      <c r="G3173" s="127"/>
      <c r="H3173" s="127"/>
      <c r="I3173" s="127"/>
      <c r="J3173" s="127"/>
      <c r="K3173" s="127"/>
      <c r="L3173" s="127"/>
      <c r="M3173" s="128"/>
      <c r="N3173" s="127"/>
      <c r="O3173" s="127"/>
      <c r="P3173" s="206"/>
    </row>
    <row r="3174" spans="1:16" ht="9.75" customHeight="1">
      <c r="A3174" s="202"/>
      <c r="B3174" s="203" t="s">
        <v>174</v>
      </c>
      <c r="C3174" s="203"/>
      <c r="D3174" s="204"/>
      <c r="E3174" s="204"/>
      <c r="F3174" s="204"/>
      <c r="G3174" s="204"/>
      <c r="H3174" s="204"/>
      <c r="I3174" s="204"/>
      <c r="J3174" s="204"/>
      <c r="K3174" s="204"/>
      <c r="L3174" s="204"/>
      <c r="M3174" s="203"/>
      <c r="N3174" s="204"/>
      <c r="O3174" s="204"/>
      <c r="P3174" s="126"/>
    </row>
    <row r="3175" spans="1:16" ht="9.75" customHeight="1">
      <c r="A3175" s="202"/>
      <c r="B3175" s="203" t="s">
        <v>104</v>
      </c>
      <c r="C3175" s="203"/>
      <c r="D3175" s="204"/>
      <c r="E3175" s="204"/>
      <c r="F3175" s="204"/>
      <c r="G3175" s="204"/>
      <c r="H3175" s="204"/>
      <c r="I3175" s="204"/>
      <c r="J3175" s="204"/>
      <c r="K3175" s="204"/>
      <c r="L3175" s="204"/>
      <c r="M3175" s="203"/>
      <c r="N3175" s="204"/>
      <c r="O3175" s="204"/>
      <c r="P3175" s="126"/>
    </row>
    <row r="3176" spans="1:16" ht="9.75" customHeight="1">
      <c r="A3176" s="202"/>
      <c r="B3176" s="203" t="s">
        <v>104</v>
      </c>
      <c r="C3176" s="203"/>
      <c r="D3176" s="204"/>
      <c r="E3176" s="204"/>
      <c r="F3176" s="204"/>
      <c r="G3176" s="204"/>
      <c r="H3176" s="204"/>
      <c r="I3176" s="204"/>
      <c r="J3176" s="204"/>
      <c r="K3176" s="204"/>
      <c r="L3176" s="204"/>
      <c r="M3176" s="203"/>
      <c r="N3176" s="204"/>
      <c r="O3176" s="204"/>
      <c r="P3176" s="126"/>
    </row>
    <row r="3177" spans="1:16" ht="9.75" customHeight="1">
      <c r="A3177" s="202"/>
      <c r="B3177" s="203" t="s">
        <v>104</v>
      </c>
      <c r="C3177" s="203"/>
      <c r="D3177" s="204"/>
      <c r="E3177" s="204"/>
      <c r="F3177" s="204"/>
      <c r="G3177" s="204"/>
      <c r="H3177" s="204"/>
      <c r="I3177" s="204"/>
      <c r="J3177" s="204"/>
      <c r="K3177" s="204"/>
      <c r="L3177" s="204"/>
      <c r="M3177" s="203"/>
      <c r="N3177" s="204"/>
      <c r="O3177" s="204"/>
      <c r="P3177" s="126"/>
    </row>
    <row r="3178" spans="1:16" ht="9.75" customHeight="1">
      <c r="A3178" s="202"/>
      <c r="B3178" s="203" t="s">
        <v>104</v>
      </c>
      <c r="C3178" s="203"/>
      <c r="D3178" s="204"/>
      <c r="E3178" s="204"/>
      <c r="F3178" s="204"/>
      <c r="G3178" s="204"/>
      <c r="H3178" s="204"/>
      <c r="I3178" s="204"/>
      <c r="J3178" s="204"/>
      <c r="K3178" s="204"/>
      <c r="L3178" s="204"/>
      <c r="M3178" s="203"/>
      <c r="N3178" s="204"/>
      <c r="O3178" s="204"/>
      <c r="P3178" s="126"/>
    </row>
    <row r="3179" spans="1:16" ht="9.75" customHeight="1">
      <c r="A3179" s="202"/>
      <c r="B3179" s="203" t="s">
        <v>34</v>
      </c>
      <c r="C3179" s="203"/>
      <c r="D3179" s="204"/>
      <c r="E3179" s="204"/>
      <c r="F3179" s="204"/>
      <c r="G3179" s="204"/>
      <c r="H3179" s="204"/>
      <c r="I3179" s="204"/>
      <c r="J3179" s="204"/>
      <c r="K3179" s="204"/>
      <c r="L3179" s="204"/>
      <c r="M3179" s="203"/>
      <c r="N3179" s="204"/>
      <c r="O3179" s="204"/>
      <c r="P3179" s="126"/>
    </row>
    <row r="3180" spans="1:16" ht="9.75" customHeight="1">
      <c r="A3180" s="202"/>
      <c r="B3180" s="203" t="s">
        <v>35</v>
      </c>
      <c r="C3180" s="128"/>
      <c r="D3180" s="127"/>
      <c r="E3180" s="127"/>
      <c r="F3180" s="127"/>
      <c r="G3180" s="127"/>
      <c r="H3180" s="127"/>
      <c r="I3180" s="127"/>
      <c r="J3180" s="127"/>
      <c r="K3180" s="127"/>
      <c r="L3180" s="127"/>
      <c r="M3180" s="128"/>
      <c r="N3180" s="127"/>
      <c r="O3180" s="127"/>
      <c r="P3180" s="206"/>
    </row>
    <row r="3181" spans="1:16" ht="9.75" customHeight="1">
      <c r="A3181" s="202"/>
      <c r="B3181" s="203" t="s">
        <v>36</v>
      </c>
      <c r="C3181" s="207"/>
      <c r="D3181" s="208"/>
      <c r="E3181" s="208"/>
      <c r="F3181" s="208"/>
      <c r="G3181" s="208"/>
      <c r="H3181" s="208"/>
      <c r="I3181" s="127"/>
      <c r="J3181" s="127"/>
      <c r="K3181" s="127"/>
      <c r="L3181" s="127"/>
      <c r="M3181" s="128"/>
      <c r="N3181" s="127"/>
      <c r="O3181" s="127"/>
      <c r="P3181" s="206"/>
    </row>
    <row r="3182" spans="1:16" ht="9.75" customHeight="1">
      <c r="A3182" s="202"/>
      <c r="B3182" s="209" t="s">
        <v>37</v>
      </c>
      <c r="C3182" s="210"/>
      <c r="D3182" s="211"/>
      <c r="E3182" s="211"/>
      <c r="F3182" s="211"/>
      <c r="G3182" s="211"/>
      <c r="H3182" s="211"/>
      <c r="I3182" s="212"/>
      <c r="J3182" s="212"/>
      <c r="K3182" s="212"/>
      <c r="L3182" s="212"/>
      <c r="M3182" s="213"/>
      <c r="N3182" s="212"/>
      <c r="O3182" s="212"/>
      <c r="P3182" s="214"/>
    </row>
    <row r="3183" spans="1:16" ht="9.75" customHeight="1">
      <c r="A3183" s="89"/>
      <c r="B3183" s="46" t="s">
        <v>38</v>
      </c>
      <c r="C3183" s="199"/>
      <c r="D3183" s="200"/>
      <c r="E3183" s="200"/>
      <c r="F3183" s="200"/>
      <c r="G3183" s="200"/>
      <c r="H3183" s="200"/>
      <c r="I3183" s="200"/>
      <c r="J3183" s="200"/>
      <c r="K3183" s="200"/>
      <c r="L3183" s="200"/>
      <c r="M3183" s="199"/>
      <c r="N3183" s="200"/>
      <c r="O3183" s="200"/>
      <c r="P3183" s="201"/>
    </row>
    <row r="3184" spans="1:16" ht="9.75" customHeight="1">
      <c r="A3184" s="28" t="s">
        <v>404</v>
      </c>
      <c r="B3184" s="25" t="s">
        <v>23</v>
      </c>
      <c r="C3184" s="25"/>
      <c r="D3184" s="23"/>
      <c r="E3184" s="23"/>
      <c r="F3184" s="23"/>
      <c r="G3184" s="23"/>
      <c r="H3184" s="23"/>
      <c r="I3184" s="23"/>
      <c r="J3184" s="23"/>
      <c r="K3184" s="23"/>
      <c r="L3184" s="23"/>
      <c r="M3184" s="25"/>
      <c r="N3184" s="23"/>
      <c r="O3184" s="23"/>
      <c r="P3184" s="24"/>
    </row>
    <row r="3185" spans="1:16" ht="9.75" customHeight="1">
      <c r="A3185" s="57"/>
      <c r="B3185" s="25" t="s">
        <v>25</v>
      </c>
      <c r="C3185" s="87">
        <v>7</v>
      </c>
      <c r="D3185" s="137">
        <v>0</v>
      </c>
      <c r="E3185" s="137">
        <v>0</v>
      </c>
      <c r="F3185" s="137">
        <v>0</v>
      </c>
      <c r="G3185" s="137">
        <v>0</v>
      </c>
      <c r="H3185" s="137">
        <v>0</v>
      </c>
      <c r="I3185" s="137">
        <v>0</v>
      </c>
      <c r="J3185" s="137">
        <v>0</v>
      </c>
      <c r="K3185" s="137">
        <v>0</v>
      </c>
      <c r="L3185" s="137">
        <v>0</v>
      </c>
      <c r="M3185" s="138">
        <v>0</v>
      </c>
      <c r="N3185" s="52">
        <f>MIN(D3185:M3185)</f>
        <v>0</v>
      </c>
      <c r="O3185" s="52">
        <f>C3185-N3185</f>
        <v>7</v>
      </c>
      <c r="P3185" s="54">
        <f>O3185/C3185</f>
        <v>1</v>
      </c>
    </row>
    <row r="3186" spans="1:16" ht="9.75" customHeight="1">
      <c r="A3186" s="57"/>
      <c r="B3186" s="25" t="s">
        <v>27</v>
      </c>
      <c r="C3186" s="25"/>
      <c r="D3186" s="23"/>
      <c r="E3186" s="23"/>
      <c r="F3186" s="23"/>
      <c r="G3186" s="23"/>
      <c r="H3186" s="23"/>
      <c r="I3186" s="23"/>
      <c r="J3186" s="23"/>
      <c r="K3186" s="23"/>
      <c r="L3186" s="23"/>
      <c r="M3186" s="25"/>
      <c r="N3186" s="23"/>
      <c r="O3186" s="23"/>
      <c r="P3186" s="24"/>
    </row>
    <row r="3187" spans="1:16" ht="9.75" customHeight="1">
      <c r="A3187" s="57"/>
      <c r="B3187" s="25" t="s">
        <v>99</v>
      </c>
      <c r="C3187" s="25"/>
      <c r="D3187" s="23"/>
      <c r="E3187" s="23"/>
      <c r="F3187" s="23"/>
      <c r="G3187" s="23"/>
      <c r="H3187" s="23"/>
      <c r="I3187" s="23"/>
      <c r="J3187" s="23"/>
      <c r="K3187" s="23"/>
      <c r="L3187" s="23"/>
      <c r="M3187" s="25"/>
      <c r="N3187" s="23"/>
      <c r="O3187" s="23"/>
      <c r="P3187" s="24"/>
    </row>
    <row r="3188" spans="1:16" ht="9.75" customHeight="1">
      <c r="A3188" s="28"/>
      <c r="B3188" s="25" t="s">
        <v>99</v>
      </c>
      <c r="C3188" s="25"/>
      <c r="D3188" s="23"/>
      <c r="E3188" s="23"/>
      <c r="F3188" s="23"/>
      <c r="G3188" s="23"/>
      <c r="H3188" s="23"/>
      <c r="I3188" s="23"/>
      <c r="J3188" s="23"/>
      <c r="K3188" s="23"/>
      <c r="L3188" s="23"/>
      <c r="M3188" s="25"/>
      <c r="N3188" s="23"/>
      <c r="O3188" s="23"/>
      <c r="P3188" s="24"/>
    </row>
    <row r="3189" spans="1:16" ht="9.75" customHeight="1">
      <c r="A3189" s="28"/>
      <c r="B3189" s="25" t="s">
        <v>32</v>
      </c>
      <c r="C3189" s="87">
        <v>4</v>
      </c>
      <c r="D3189" s="137">
        <v>2</v>
      </c>
      <c r="E3189" s="137">
        <v>2</v>
      </c>
      <c r="F3189" s="137">
        <v>3</v>
      </c>
      <c r="G3189" s="137">
        <v>3</v>
      </c>
      <c r="H3189" s="137">
        <v>3</v>
      </c>
      <c r="I3189" s="137">
        <v>1</v>
      </c>
      <c r="J3189" s="137">
        <v>1</v>
      </c>
      <c r="K3189" s="137">
        <v>1</v>
      </c>
      <c r="L3189" s="137">
        <v>2</v>
      </c>
      <c r="M3189" s="138">
        <v>2</v>
      </c>
      <c r="N3189" s="52">
        <f>MIN(D3189:M3189)</f>
        <v>1</v>
      </c>
      <c r="O3189" s="52">
        <f>C3189-N3189</f>
        <v>3</v>
      </c>
      <c r="P3189" s="54">
        <f>O3189/C3189</f>
        <v>0.75</v>
      </c>
    </row>
    <row r="3190" spans="1:16" ht="9.75" customHeight="1">
      <c r="A3190" s="28"/>
      <c r="B3190" s="25" t="s">
        <v>104</v>
      </c>
      <c r="C3190" s="25"/>
      <c r="D3190" s="23"/>
      <c r="E3190" s="23"/>
      <c r="F3190" s="23"/>
      <c r="G3190" s="23"/>
      <c r="H3190" s="23"/>
      <c r="I3190" s="23"/>
      <c r="J3190" s="23"/>
      <c r="K3190" s="23"/>
      <c r="L3190" s="23"/>
      <c r="M3190" s="25"/>
      <c r="N3190" s="23"/>
      <c r="O3190" s="23"/>
      <c r="P3190" s="24"/>
    </row>
    <row r="3191" spans="1:16" ht="9.75" customHeight="1">
      <c r="A3191" s="28"/>
      <c r="B3191" s="25" t="s">
        <v>104</v>
      </c>
      <c r="C3191" s="25"/>
      <c r="D3191" s="23"/>
      <c r="E3191" s="23"/>
      <c r="F3191" s="23"/>
      <c r="G3191" s="23"/>
      <c r="H3191" s="23"/>
      <c r="I3191" s="23"/>
      <c r="J3191" s="23"/>
      <c r="K3191" s="23"/>
      <c r="L3191" s="23"/>
      <c r="M3191" s="25"/>
      <c r="N3191" s="23"/>
      <c r="O3191" s="23"/>
      <c r="P3191" s="24"/>
    </row>
    <row r="3192" spans="1:16" ht="9.75" customHeight="1">
      <c r="A3192" s="28"/>
      <c r="B3192" s="25" t="s">
        <v>104</v>
      </c>
      <c r="C3192" s="25"/>
      <c r="D3192" s="23"/>
      <c r="E3192" s="23"/>
      <c r="F3192" s="23"/>
      <c r="G3192" s="23"/>
      <c r="H3192" s="23"/>
      <c r="I3192" s="23"/>
      <c r="J3192" s="23"/>
      <c r="K3192" s="23"/>
      <c r="L3192" s="23"/>
      <c r="M3192" s="25"/>
      <c r="N3192" s="23"/>
      <c r="O3192" s="23"/>
      <c r="P3192" s="24"/>
    </row>
    <row r="3193" spans="1:16" ht="9.75" customHeight="1">
      <c r="A3193" s="28"/>
      <c r="B3193" s="25" t="s">
        <v>104</v>
      </c>
      <c r="C3193" s="25"/>
      <c r="D3193" s="23"/>
      <c r="E3193" s="23"/>
      <c r="F3193" s="23"/>
      <c r="G3193" s="23"/>
      <c r="H3193" s="23"/>
      <c r="I3193" s="23"/>
      <c r="J3193" s="23"/>
      <c r="K3193" s="23"/>
      <c r="L3193" s="23"/>
      <c r="M3193" s="25"/>
      <c r="N3193" s="23"/>
      <c r="O3193" s="23"/>
      <c r="P3193" s="24"/>
    </row>
    <row r="3194" spans="1:16" ht="9.75" customHeight="1">
      <c r="A3194" s="28"/>
      <c r="B3194" s="25" t="s">
        <v>104</v>
      </c>
      <c r="C3194" s="25"/>
      <c r="D3194" s="23"/>
      <c r="E3194" s="23"/>
      <c r="F3194" s="23"/>
      <c r="G3194" s="23"/>
      <c r="H3194" s="23"/>
      <c r="I3194" s="23"/>
      <c r="J3194" s="23"/>
      <c r="K3194" s="23"/>
      <c r="L3194" s="23"/>
      <c r="M3194" s="25"/>
      <c r="N3194" s="23"/>
      <c r="O3194" s="23"/>
      <c r="P3194" s="24"/>
    </row>
    <row r="3195" spans="1:16" ht="9.75" customHeight="1">
      <c r="A3195" s="28"/>
      <c r="B3195" s="25" t="s">
        <v>104</v>
      </c>
      <c r="C3195" s="25"/>
      <c r="D3195" s="23"/>
      <c r="E3195" s="23"/>
      <c r="F3195" s="23"/>
      <c r="G3195" s="23"/>
      <c r="H3195" s="23"/>
      <c r="I3195" s="23"/>
      <c r="J3195" s="23"/>
      <c r="K3195" s="23"/>
      <c r="L3195" s="23"/>
      <c r="M3195" s="25"/>
      <c r="N3195" s="23"/>
      <c r="O3195" s="23"/>
      <c r="P3195" s="24"/>
    </row>
    <row r="3196" spans="1:16" ht="9.75" customHeight="1">
      <c r="A3196" s="28"/>
      <c r="B3196" s="25" t="s">
        <v>34</v>
      </c>
      <c r="C3196" s="87">
        <v>3</v>
      </c>
      <c r="D3196" s="137">
        <v>0</v>
      </c>
      <c r="E3196" s="137">
        <v>0</v>
      </c>
      <c r="F3196" s="137">
        <v>0</v>
      </c>
      <c r="G3196" s="137">
        <v>0</v>
      </c>
      <c r="H3196" s="137">
        <v>0</v>
      </c>
      <c r="I3196" s="137">
        <v>0</v>
      </c>
      <c r="J3196" s="137">
        <v>0</v>
      </c>
      <c r="K3196" s="137">
        <v>0</v>
      </c>
      <c r="L3196" s="137">
        <v>1</v>
      </c>
      <c r="M3196" s="138">
        <v>1</v>
      </c>
      <c r="N3196" s="52">
        <f t="shared" ref="N3196:N3197" si="569">MIN(D3196:M3196)</f>
        <v>0</v>
      </c>
      <c r="O3196" s="52">
        <f t="shared" ref="O3196:O3197" si="570">C3196-N3196</f>
        <v>3</v>
      </c>
      <c r="P3196" s="54">
        <f t="shared" ref="P3196:P3197" si="571">O3196/C3196</f>
        <v>1</v>
      </c>
    </row>
    <row r="3197" spans="1:16" ht="9.75" customHeight="1">
      <c r="A3197" s="28"/>
      <c r="B3197" s="25" t="s">
        <v>35</v>
      </c>
      <c r="C3197" s="87">
        <v>3</v>
      </c>
      <c r="D3197" s="137">
        <v>0</v>
      </c>
      <c r="E3197" s="137">
        <v>0</v>
      </c>
      <c r="F3197" s="137">
        <v>0</v>
      </c>
      <c r="G3197" s="137">
        <v>0</v>
      </c>
      <c r="H3197" s="137">
        <v>0</v>
      </c>
      <c r="I3197" s="137">
        <v>1</v>
      </c>
      <c r="J3197" s="137">
        <v>1</v>
      </c>
      <c r="K3197" s="137">
        <v>1</v>
      </c>
      <c r="L3197" s="137">
        <v>1</v>
      </c>
      <c r="M3197" s="138">
        <v>1</v>
      </c>
      <c r="N3197" s="52">
        <f t="shared" si="569"/>
        <v>0</v>
      </c>
      <c r="O3197" s="52">
        <f t="shared" si="570"/>
        <v>3</v>
      </c>
      <c r="P3197" s="54">
        <f t="shared" si="571"/>
        <v>1</v>
      </c>
    </row>
    <row r="3198" spans="1:16" ht="9.75" customHeight="1">
      <c r="A3198" s="28"/>
      <c r="B3198" s="25" t="s">
        <v>36</v>
      </c>
      <c r="C3198" s="25"/>
      <c r="D3198" s="23"/>
      <c r="E3198" s="23"/>
      <c r="F3198" s="23"/>
      <c r="G3198" s="23"/>
      <c r="H3198" s="23"/>
      <c r="I3198" s="23"/>
      <c r="J3198" s="23"/>
      <c r="K3198" s="23"/>
      <c r="L3198" s="23"/>
      <c r="M3198" s="25"/>
      <c r="N3198" s="23"/>
      <c r="O3198" s="23"/>
      <c r="P3198" s="24"/>
    </row>
    <row r="3199" spans="1:16" ht="9.75" customHeight="1">
      <c r="A3199" s="28"/>
      <c r="B3199" s="31" t="s">
        <v>37</v>
      </c>
      <c r="C3199" s="31"/>
      <c r="D3199" s="30"/>
      <c r="E3199" s="30"/>
      <c r="F3199" s="30"/>
      <c r="G3199" s="30"/>
      <c r="H3199" s="30"/>
      <c r="I3199" s="30"/>
      <c r="J3199" s="30"/>
      <c r="K3199" s="30"/>
      <c r="L3199" s="30"/>
      <c r="M3199" s="31"/>
      <c r="N3199" s="30"/>
      <c r="O3199" s="30"/>
      <c r="P3199" s="198"/>
    </row>
    <row r="3200" spans="1:16" ht="9.75" customHeight="1">
      <c r="A3200" s="89"/>
      <c r="B3200" s="46" t="s">
        <v>38</v>
      </c>
      <c r="C3200" s="199">
        <f t="shared" ref="C3200:M3200" si="572">SUM(C3184:C3199)</f>
        <v>17</v>
      </c>
      <c r="D3200" s="200">
        <f t="shared" si="572"/>
        <v>2</v>
      </c>
      <c r="E3200" s="200">
        <f t="shared" si="572"/>
        <v>2</v>
      </c>
      <c r="F3200" s="200">
        <f t="shared" si="572"/>
        <v>3</v>
      </c>
      <c r="G3200" s="200">
        <f t="shared" si="572"/>
        <v>3</v>
      </c>
      <c r="H3200" s="200">
        <f t="shared" si="572"/>
        <v>3</v>
      </c>
      <c r="I3200" s="200">
        <f t="shared" si="572"/>
        <v>2</v>
      </c>
      <c r="J3200" s="200">
        <f t="shared" si="572"/>
        <v>2</v>
      </c>
      <c r="K3200" s="200">
        <f t="shared" si="572"/>
        <v>2</v>
      </c>
      <c r="L3200" s="200">
        <f t="shared" si="572"/>
        <v>4</v>
      </c>
      <c r="M3200" s="199">
        <f t="shared" si="572"/>
        <v>4</v>
      </c>
      <c r="N3200" s="200">
        <f>MIN(D3200:M3200)</f>
        <v>2</v>
      </c>
      <c r="O3200" s="200">
        <f>C3200-N3200</f>
        <v>15</v>
      </c>
      <c r="P3200" s="201">
        <f>O3200/C3200</f>
        <v>0.88235294117647056</v>
      </c>
    </row>
    <row r="3201" spans="1:16" ht="9.75" customHeight="1">
      <c r="A3201" s="28" t="s">
        <v>405</v>
      </c>
      <c r="B3201" s="25" t="s">
        <v>23</v>
      </c>
      <c r="C3201" s="25"/>
      <c r="D3201" s="23"/>
      <c r="E3201" s="23"/>
      <c r="F3201" s="23"/>
      <c r="G3201" s="23"/>
      <c r="H3201" s="23"/>
      <c r="I3201" s="23"/>
      <c r="J3201" s="23"/>
      <c r="K3201" s="23"/>
      <c r="L3201" s="23"/>
      <c r="M3201" s="25"/>
      <c r="N3201" s="23"/>
      <c r="O3201" s="23"/>
      <c r="P3201" s="24"/>
    </row>
    <row r="3202" spans="1:16" ht="9.75" customHeight="1">
      <c r="A3202" s="57"/>
      <c r="B3202" s="25" t="s">
        <v>25</v>
      </c>
      <c r="C3202" s="25"/>
      <c r="D3202" s="23"/>
      <c r="E3202" s="23"/>
      <c r="F3202" s="23"/>
      <c r="G3202" s="23"/>
      <c r="H3202" s="23"/>
      <c r="I3202" s="23"/>
      <c r="J3202" s="23"/>
      <c r="K3202" s="23"/>
      <c r="L3202" s="23"/>
      <c r="M3202" s="25"/>
      <c r="N3202" s="23"/>
      <c r="O3202" s="23"/>
      <c r="P3202" s="24"/>
    </row>
    <row r="3203" spans="1:16" ht="9.75" customHeight="1">
      <c r="A3203" s="57"/>
      <c r="B3203" s="25" t="s">
        <v>27</v>
      </c>
      <c r="C3203" s="25"/>
      <c r="D3203" s="23"/>
      <c r="E3203" s="23"/>
      <c r="F3203" s="23"/>
      <c r="G3203" s="23"/>
      <c r="H3203" s="23"/>
      <c r="I3203" s="23"/>
      <c r="J3203" s="23"/>
      <c r="K3203" s="23"/>
      <c r="L3203" s="23"/>
      <c r="M3203" s="25"/>
      <c r="N3203" s="23"/>
      <c r="O3203" s="23"/>
      <c r="P3203" s="24"/>
    </row>
    <row r="3204" spans="1:16" ht="9.75" customHeight="1">
      <c r="A3204" s="57"/>
      <c r="B3204" s="25" t="s">
        <v>99</v>
      </c>
      <c r="C3204" s="25"/>
      <c r="D3204" s="23"/>
      <c r="E3204" s="23"/>
      <c r="F3204" s="23"/>
      <c r="G3204" s="23"/>
      <c r="H3204" s="23"/>
      <c r="I3204" s="23"/>
      <c r="J3204" s="23"/>
      <c r="K3204" s="23"/>
      <c r="L3204" s="23"/>
      <c r="M3204" s="25"/>
      <c r="N3204" s="23"/>
      <c r="O3204" s="23"/>
      <c r="P3204" s="24"/>
    </row>
    <row r="3205" spans="1:16" ht="9.75" customHeight="1">
      <c r="A3205" s="28"/>
      <c r="B3205" s="25" t="s">
        <v>99</v>
      </c>
      <c r="C3205" s="25"/>
      <c r="D3205" s="23"/>
      <c r="E3205" s="23"/>
      <c r="F3205" s="23"/>
      <c r="G3205" s="23"/>
      <c r="H3205" s="23"/>
      <c r="I3205" s="23"/>
      <c r="J3205" s="23"/>
      <c r="K3205" s="23"/>
      <c r="L3205" s="23"/>
      <c r="M3205" s="25"/>
      <c r="N3205" s="23"/>
      <c r="O3205" s="23"/>
      <c r="P3205" s="24"/>
    </row>
    <row r="3206" spans="1:16" ht="9.75" customHeight="1">
      <c r="A3206" s="28"/>
      <c r="B3206" s="25" t="s">
        <v>32</v>
      </c>
      <c r="C3206" s="138">
        <v>25</v>
      </c>
      <c r="D3206" s="137">
        <v>23</v>
      </c>
      <c r="E3206" s="137">
        <v>19</v>
      </c>
      <c r="F3206" s="137">
        <v>19</v>
      </c>
      <c r="G3206" s="137">
        <v>19</v>
      </c>
      <c r="H3206" s="52">
        <f>C3206-7</f>
        <v>18</v>
      </c>
      <c r="I3206" s="137">
        <v>21</v>
      </c>
      <c r="J3206" s="52">
        <f>C3206-9</f>
        <v>16</v>
      </c>
      <c r="K3206" s="52">
        <f>C3206-8</f>
        <v>17</v>
      </c>
      <c r="L3206" s="52">
        <f>C3206-7</f>
        <v>18</v>
      </c>
      <c r="M3206" s="138">
        <v>18</v>
      </c>
      <c r="N3206" s="52">
        <f>MIN(D3206:M3206)</f>
        <v>16</v>
      </c>
      <c r="O3206" s="52">
        <f>C3206-N3206</f>
        <v>9</v>
      </c>
      <c r="P3206" s="54">
        <f>O3206/C3206</f>
        <v>0.36</v>
      </c>
    </row>
    <row r="3207" spans="1:16" ht="9.75" customHeight="1">
      <c r="A3207" s="28"/>
      <c r="B3207" s="25" t="s">
        <v>104</v>
      </c>
      <c r="C3207" s="87"/>
      <c r="D3207" s="23"/>
      <c r="E3207" s="23"/>
      <c r="F3207" s="23"/>
      <c r="G3207" s="23"/>
      <c r="H3207" s="23"/>
      <c r="I3207" s="23"/>
      <c r="J3207" s="23"/>
      <c r="K3207" s="23"/>
      <c r="L3207" s="23"/>
      <c r="M3207" s="25"/>
      <c r="N3207" s="23"/>
      <c r="O3207" s="23"/>
      <c r="P3207" s="24"/>
    </row>
    <row r="3208" spans="1:16" ht="9.75" customHeight="1">
      <c r="A3208" s="28"/>
      <c r="B3208" s="25" t="s">
        <v>406</v>
      </c>
      <c r="C3208" s="87">
        <v>12</v>
      </c>
      <c r="D3208" s="137">
        <v>4</v>
      </c>
      <c r="E3208" s="137">
        <v>5</v>
      </c>
      <c r="F3208" s="137">
        <v>4</v>
      </c>
      <c r="G3208" s="137">
        <v>6</v>
      </c>
      <c r="H3208" s="137">
        <v>6</v>
      </c>
      <c r="I3208" s="137">
        <v>8</v>
      </c>
      <c r="J3208" s="137">
        <v>5</v>
      </c>
      <c r="K3208" s="137">
        <v>4</v>
      </c>
      <c r="L3208" s="137">
        <v>6</v>
      </c>
      <c r="M3208" s="138">
        <v>6</v>
      </c>
      <c r="N3208" s="52">
        <f>MIN(D3208:M3208)</f>
        <v>4</v>
      </c>
      <c r="O3208" s="52">
        <f>C3208-N3208</f>
        <v>8</v>
      </c>
      <c r="P3208" s="54">
        <f>O3208/C3208</f>
        <v>0.66666666666666663</v>
      </c>
    </row>
    <row r="3209" spans="1:16" ht="9.75" customHeight="1">
      <c r="A3209" s="28"/>
      <c r="B3209" s="25" t="s">
        <v>104</v>
      </c>
      <c r="C3209" s="25"/>
      <c r="D3209" s="23"/>
      <c r="E3209" s="23"/>
      <c r="F3209" s="23"/>
      <c r="G3209" s="23"/>
      <c r="H3209" s="23"/>
      <c r="I3209" s="23"/>
      <c r="J3209" s="23"/>
      <c r="K3209" s="23"/>
      <c r="L3209" s="23"/>
      <c r="M3209" s="25"/>
      <c r="N3209" s="23"/>
      <c r="O3209" s="23"/>
      <c r="P3209" s="24"/>
    </row>
    <row r="3210" spans="1:16" ht="9.75" customHeight="1">
      <c r="A3210" s="28"/>
      <c r="B3210" s="25" t="s">
        <v>104</v>
      </c>
      <c r="C3210" s="25"/>
      <c r="D3210" s="23"/>
      <c r="E3210" s="23"/>
      <c r="F3210" s="23"/>
      <c r="G3210" s="23"/>
      <c r="H3210" s="23"/>
      <c r="I3210" s="23"/>
      <c r="J3210" s="23"/>
      <c r="K3210" s="23"/>
      <c r="L3210" s="23"/>
      <c r="M3210" s="25"/>
      <c r="N3210" s="23"/>
      <c r="O3210" s="23"/>
      <c r="P3210" s="24"/>
    </row>
    <row r="3211" spans="1:16" ht="9.75" customHeight="1">
      <c r="A3211" s="28"/>
      <c r="B3211" s="25" t="s">
        <v>104</v>
      </c>
      <c r="C3211" s="25"/>
      <c r="D3211" s="23"/>
      <c r="E3211" s="23"/>
      <c r="F3211" s="23"/>
      <c r="G3211" s="23"/>
      <c r="H3211" s="23"/>
      <c r="I3211" s="23"/>
      <c r="J3211" s="23"/>
      <c r="K3211" s="23"/>
      <c r="L3211" s="23"/>
      <c r="M3211" s="25"/>
      <c r="N3211" s="23"/>
      <c r="O3211" s="23"/>
      <c r="P3211" s="24"/>
    </row>
    <row r="3212" spans="1:16" ht="9.75" customHeight="1">
      <c r="A3212" s="28"/>
      <c r="B3212" s="25" t="s">
        <v>104</v>
      </c>
      <c r="C3212" s="25"/>
      <c r="D3212" s="23"/>
      <c r="E3212" s="23"/>
      <c r="F3212" s="23"/>
      <c r="G3212" s="23"/>
      <c r="H3212" s="23"/>
      <c r="I3212" s="23"/>
      <c r="J3212" s="23"/>
      <c r="K3212" s="23"/>
      <c r="L3212" s="23"/>
      <c r="M3212" s="25"/>
      <c r="N3212" s="23"/>
      <c r="O3212" s="23"/>
      <c r="P3212" s="24"/>
    </row>
    <row r="3213" spans="1:16" ht="9.75" customHeight="1">
      <c r="A3213" s="28"/>
      <c r="B3213" s="25" t="s">
        <v>34</v>
      </c>
      <c r="C3213" s="87">
        <v>3</v>
      </c>
      <c r="D3213" s="137">
        <v>1</v>
      </c>
      <c r="E3213" s="137">
        <v>0</v>
      </c>
      <c r="F3213" s="137">
        <v>0</v>
      </c>
      <c r="G3213" s="137">
        <v>0</v>
      </c>
      <c r="H3213" s="137">
        <v>0</v>
      </c>
      <c r="I3213" s="137">
        <v>0</v>
      </c>
      <c r="J3213" s="137">
        <v>0</v>
      </c>
      <c r="K3213" s="137">
        <v>0</v>
      </c>
      <c r="L3213" s="137">
        <v>1</v>
      </c>
      <c r="M3213" s="138">
        <v>1</v>
      </c>
      <c r="N3213" s="52">
        <f>MIN(D3213:M3213)</f>
        <v>0</v>
      </c>
      <c r="O3213" s="52">
        <f>C3213-N3213</f>
        <v>3</v>
      </c>
      <c r="P3213" s="54">
        <f>O3213/C3213</f>
        <v>1</v>
      </c>
    </row>
    <row r="3214" spans="1:16" ht="9.75" customHeight="1">
      <c r="A3214" s="28"/>
      <c r="B3214" s="25" t="s">
        <v>35</v>
      </c>
      <c r="C3214" s="25"/>
      <c r="D3214" s="23"/>
      <c r="E3214" s="23"/>
      <c r="F3214" s="23"/>
      <c r="G3214" s="23"/>
      <c r="H3214" s="23"/>
      <c r="I3214" s="23"/>
      <c r="J3214" s="23"/>
      <c r="K3214" s="23"/>
      <c r="L3214" s="23"/>
      <c r="M3214" s="25"/>
      <c r="N3214" s="23"/>
      <c r="O3214" s="23"/>
      <c r="P3214" s="24"/>
    </row>
    <row r="3215" spans="1:16" ht="9.75" customHeight="1">
      <c r="A3215" s="28"/>
      <c r="B3215" s="25" t="s">
        <v>36</v>
      </c>
      <c r="C3215" s="25"/>
      <c r="D3215" s="23"/>
      <c r="E3215" s="23"/>
      <c r="F3215" s="23"/>
      <c r="G3215" s="23"/>
      <c r="H3215" s="23"/>
      <c r="I3215" s="23"/>
      <c r="J3215" s="23"/>
      <c r="K3215" s="23"/>
      <c r="L3215" s="23"/>
      <c r="M3215" s="25"/>
      <c r="N3215" s="23"/>
      <c r="O3215" s="23"/>
      <c r="P3215" s="24"/>
    </row>
    <row r="3216" spans="1:16" ht="9.75" customHeight="1">
      <c r="A3216" s="28"/>
      <c r="B3216" s="31" t="s">
        <v>37</v>
      </c>
      <c r="C3216" s="31"/>
      <c r="D3216" s="30"/>
      <c r="E3216" s="30"/>
      <c r="F3216" s="30"/>
      <c r="G3216" s="30"/>
      <c r="H3216" s="30"/>
      <c r="I3216" s="30"/>
      <c r="J3216" s="30"/>
      <c r="K3216" s="30"/>
      <c r="L3216" s="30"/>
      <c r="M3216" s="31"/>
      <c r="N3216" s="30"/>
      <c r="O3216" s="30"/>
      <c r="P3216" s="198"/>
    </row>
    <row r="3217" spans="1:16" ht="9.75" customHeight="1">
      <c r="A3217" s="89"/>
      <c r="B3217" s="46" t="s">
        <v>38</v>
      </c>
      <c r="C3217" s="199">
        <f t="shared" ref="C3217:M3217" si="573">SUM(C3201:C3216)</f>
        <v>40</v>
      </c>
      <c r="D3217" s="200">
        <f t="shared" si="573"/>
        <v>28</v>
      </c>
      <c r="E3217" s="200">
        <f t="shared" si="573"/>
        <v>24</v>
      </c>
      <c r="F3217" s="200">
        <f t="shared" si="573"/>
        <v>23</v>
      </c>
      <c r="G3217" s="200">
        <f t="shared" si="573"/>
        <v>25</v>
      </c>
      <c r="H3217" s="200">
        <f t="shared" si="573"/>
        <v>24</v>
      </c>
      <c r="I3217" s="200">
        <f t="shared" si="573"/>
        <v>29</v>
      </c>
      <c r="J3217" s="200">
        <f t="shared" si="573"/>
        <v>21</v>
      </c>
      <c r="K3217" s="200">
        <f t="shared" si="573"/>
        <v>21</v>
      </c>
      <c r="L3217" s="200">
        <f t="shared" si="573"/>
        <v>25</v>
      </c>
      <c r="M3217" s="199">
        <f t="shared" si="573"/>
        <v>25</v>
      </c>
      <c r="N3217" s="200">
        <f t="shared" ref="N3217:N3218" si="574">MIN(D3217:M3217)</f>
        <v>21</v>
      </c>
      <c r="O3217" s="200">
        <f t="shared" ref="O3217:O3218" si="575">C3217-N3217</f>
        <v>19</v>
      </c>
      <c r="P3217" s="201">
        <f t="shared" ref="P3217:P3218" si="576">O3217/C3217</f>
        <v>0.47499999999999998</v>
      </c>
    </row>
    <row r="3218" spans="1:16" ht="9.75" customHeight="1">
      <c r="A3218" s="28" t="s">
        <v>407</v>
      </c>
      <c r="B3218" s="25" t="s">
        <v>23</v>
      </c>
      <c r="C3218" s="87">
        <v>12</v>
      </c>
      <c r="D3218" s="137">
        <v>2</v>
      </c>
      <c r="E3218" s="137">
        <v>0</v>
      </c>
      <c r="F3218" s="137">
        <v>0</v>
      </c>
      <c r="G3218" s="137">
        <v>0</v>
      </c>
      <c r="H3218" s="137">
        <v>0</v>
      </c>
      <c r="I3218" s="137">
        <v>1</v>
      </c>
      <c r="J3218" s="137">
        <v>1</v>
      </c>
      <c r="K3218" s="137">
        <v>1</v>
      </c>
      <c r="L3218" s="137">
        <v>1</v>
      </c>
      <c r="M3218" s="138">
        <v>1</v>
      </c>
      <c r="N3218" s="52">
        <f t="shared" si="574"/>
        <v>0</v>
      </c>
      <c r="O3218" s="52">
        <f t="shared" si="575"/>
        <v>12</v>
      </c>
      <c r="P3218" s="54">
        <f t="shared" si="576"/>
        <v>1</v>
      </c>
    </row>
    <row r="3219" spans="1:16" ht="9.75" customHeight="1">
      <c r="A3219" s="57"/>
      <c r="B3219" s="25" t="s">
        <v>25</v>
      </c>
      <c r="C3219" s="25"/>
      <c r="D3219" s="23"/>
      <c r="E3219" s="23"/>
      <c r="F3219" s="23"/>
      <c r="G3219" s="23"/>
      <c r="H3219" s="23"/>
      <c r="I3219" s="23"/>
      <c r="J3219" s="23"/>
      <c r="K3219" s="23"/>
      <c r="L3219" s="23"/>
      <c r="M3219" s="25"/>
      <c r="N3219" s="23"/>
      <c r="O3219" s="23"/>
      <c r="P3219" s="24"/>
    </row>
    <row r="3220" spans="1:16" ht="9.75" customHeight="1">
      <c r="A3220" s="57"/>
      <c r="B3220" s="25" t="s">
        <v>27</v>
      </c>
      <c r="C3220" s="25"/>
      <c r="D3220" s="23"/>
      <c r="E3220" s="23"/>
      <c r="F3220" s="23"/>
      <c r="G3220" s="23"/>
      <c r="H3220" s="23"/>
      <c r="I3220" s="23"/>
      <c r="J3220" s="23"/>
      <c r="K3220" s="23"/>
      <c r="L3220" s="23"/>
      <c r="M3220" s="25"/>
      <c r="N3220" s="23"/>
      <c r="O3220" s="23"/>
      <c r="P3220" s="24"/>
    </row>
    <row r="3221" spans="1:16" ht="9.75" customHeight="1">
      <c r="A3221" s="57"/>
      <c r="B3221" s="25" t="s">
        <v>99</v>
      </c>
      <c r="C3221" s="25"/>
      <c r="D3221" s="23"/>
      <c r="E3221" s="23"/>
      <c r="F3221" s="23"/>
      <c r="G3221" s="23"/>
      <c r="H3221" s="23"/>
      <c r="I3221" s="23"/>
      <c r="J3221" s="23"/>
      <c r="K3221" s="23"/>
      <c r="L3221" s="23"/>
      <c r="M3221" s="25"/>
      <c r="N3221" s="23"/>
      <c r="O3221" s="23"/>
      <c r="P3221" s="24"/>
    </row>
    <row r="3222" spans="1:16" ht="9.75" customHeight="1">
      <c r="A3222" s="28"/>
      <c r="B3222" s="25" t="s">
        <v>99</v>
      </c>
      <c r="C3222" s="25"/>
      <c r="D3222" s="23"/>
      <c r="E3222" s="23"/>
      <c r="F3222" s="23"/>
      <c r="G3222" s="23"/>
      <c r="H3222" s="23"/>
      <c r="I3222" s="23"/>
      <c r="J3222" s="23"/>
      <c r="K3222" s="23"/>
      <c r="L3222" s="23"/>
      <c r="M3222" s="25"/>
      <c r="N3222" s="23"/>
      <c r="O3222" s="23"/>
      <c r="P3222" s="24"/>
    </row>
    <row r="3223" spans="1:16" ht="9.75" customHeight="1">
      <c r="A3223" s="28"/>
      <c r="B3223" s="25" t="s">
        <v>32</v>
      </c>
      <c r="C3223" s="87">
        <v>20</v>
      </c>
      <c r="D3223" s="137">
        <v>17</v>
      </c>
      <c r="E3223" s="137">
        <v>16</v>
      </c>
      <c r="F3223" s="137">
        <v>14</v>
      </c>
      <c r="G3223" s="137">
        <v>13</v>
      </c>
      <c r="H3223" s="137">
        <v>12</v>
      </c>
      <c r="I3223" s="52">
        <f>C3223-5</f>
        <v>15</v>
      </c>
      <c r="J3223" s="52">
        <f>C3223-7</f>
        <v>13</v>
      </c>
      <c r="K3223" s="52">
        <f>C3223-5</f>
        <v>15</v>
      </c>
      <c r="L3223" s="52">
        <f>C3223-4</f>
        <v>16</v>
      </c>
      <c r="M3223" s="138">
        <v>16</v>
      </c>
      <c r="N3223" s="52">
        <f t="shared" ref="N3223:N3224" si="577">MIN(D3223:M3223)</f>
        <v>12</v>
      </c>
      <c r="O3223" s="52">
        <f t="shared" ref="O3223:O3224" si="578">C3223-N3223</f>
        <v>8</v>
      </c>
      <c r="P3223" s="54">
        <f t="shared" ref="P3223:P3224" si="579">O3223/C3223</f>
        <v>0.4</v>
      </c>
    </row>
    <row r="3224" spans="1:16" ht="9.75" customHeight="1">
      <c r="A3224" s="28"/>
      <c r="B3224" s="25" t="s">
        <v>408</v>
      </c>
      <c r="C3224" s="87">
        <v>1</v>
      </c>
      <c r="D3224" s="137">
        <v>0</v>
      </c>
      <c r="E3224" s="137">
        <v>0</v>
      </c>
      <c r="F3224" s="137">
        <v>0</v>
      </c>
      <c r="G3224" s="137">
        <v>1</v>
      </c>
      <c r="H3224" s="137">
        <v>0</v>
      </c>
      <c r="I3224" s="137">
        <v>0</v>
      </c>
      <c r="J3224" s="137">
        <v>0</v>
      </c>
      <c r="K3224" s="137">
        <v>0</v>
      </c>
      <c r="L3224" s="137">
        <v>0</v>
      </c>
      <c r="M3224" s="138">
        <v>0</v>
      </c>
      <c r="N3224" s="52">
        <f t="shared" si="577"/>
        <v>0</v>
      </c>
      <c r="O3224" s="52">
        <f t="shared" si="578"/>
        <v>1</v>
      </c>
      <c r="P3224" s="54">
        <f t="shared" si="579"/>
        <v>1</v>
      </c>
    </row>
    <row r="3225" spans="1:16" ht="9.75" customHeight="1">
      <c r="A3225" s="28"/>
      <c r="B3225" s="25" t="s">
        <v>104</v>
      </c>
      <c r="C3225" s="25"/>
      <c r="D3225" s="23"/>
      <c r="E3225" s="23"/>
      <c r="F3225" s="23"/>
      <c r="G3225" s="23"/>
      <c r="H3225" s="23"/>
      <c r="I3225" s="23"/>
      <c r="J3225" s="23"/>
      <c r="K3225" s="23"/>
      <c r="L3225" s="23"/>
      <c r="M3225" s="25"/>
      <c r="N3225" s="23"/>
      <c r="O3225" s="23"/>
      <c r="P3225" s="24"/>
    </row>
    <row r="3226" spans="1:16" ht="9.75" customHeight="1">
      <c r="A3226" s="28"/>
      <c r="B3226" s="25" t="s">
        <v>104</v>
      </c>
      <c r="C3226" s="25"/>
      <c r="D3226" s="23"/>
      <c r="E3226" s="23"/>
      <c r="F3226" s="23"/>
      <c r="G3226" s="23"/>
      <c r="H3226" s="23"/>
      <c r="I3226" s="23"/>
      <c r="J3226" s="23"/>
      <c r="K3226" s="23"/>
      <c r="L3226" s="23"/>
      <c r="M3226" s="25"/>
      <c r="N3226" s="23"/>
      <c r="O3226" s="23"/>
      <c r="P3226" s="24"/>
    </row>
    <row r="3227" spans="1:16" ht="9.75" customHeight="1">
      <c r="A3227" s="28"/>
      <c r="B3227" s="25" t="s">
        <v>104</v>
      </c>
      <c r="C3227" s="25"/>
      <c r="D3227" s="23"/>
      <c r="E3227" s="23"/>
      <c r="F3227" s="23"/>
      <c r="G3227" s="23"/>
      <c r="H3227" s="23"/>
      <c r="I3227" s="23"/>
      <c r="J3227" s="23"/>
      <c r="K3227" s="23"/>
      <c r="L3227" s="23"/>
      <c r="M3227" s="25"/>
      <c r="N3227" s="23"/>
      <c r="O3227" s="23"/>
      <c r="P3227" s="24"/>
    </row>
    <row r="3228" spans="1:16" ht="9.75" customHeight="1">
      <c r="A3228" s="28"/>
      <c r="B3228" s="25" t="s">
        <v>104</v>
      </c>
      <c r="C3228" s="25"/>
      <c r="D3228" s="23"/>
      <c r="E3228" s="23"/>
      <c r="F3228" s="23"/>
      <c r="G3228" s="23"/>
      <c r="H3228" s="23"/>
      <c r="I3228" s="23"/>
      <c r="J3228" s="23"/>
      <c r="K3228" s="23"/>
      <c r="L3228" s="23"/>
      <c r="M3228" s="25"/>
      <c r="N3228" s="23"/>
      <c r="O3228" s="23"/>
      <c r="P3228" s="24"/>
    </row>
    <row r="3229" spans="1:16" ht="9.75" customHeight="1">
      <c r="A3229" s="28"/>
      <c r="B3229" s="25" t="s">
        <v>104</v>
      </c>
      <c r="C3229" s="25"/>
      <c r="D3229" s="23"/>
      <c r="E3229" s="23"/>
      <c r="F3229" s="23"/>
      <c r="G3229" s="23"/>
      <c r="H3229" s="23"/>
      <c r="I3229" s="23"/>
      <c r="J3229" s="23"/>
      <c r="K3229" s="23"/>
      <c r="L3229" s="23"/>
      <c r="M3229" s="25"/>
      <c r="N3229" s="23"/>
      <c r="O3229" s="23"/>
      <c r="P3229" s="24"/>
    </row>
    <row r="3230" spans="1:16" ht="9.75" customHeight="1">
      <c r="A3230" s="28"/>
      <c r="B3230" s="25" t="s">
        <v>34</v>
      </c>
      <c r="C3230" s="87">
        <v>1</v>
      </c>
      <c r="D3230" s="137">
        <v>0</v>
      </c>
      <c r="E3230" s="137">
        <v>0</v>
      </c>
      <c r="F3230" s="137">
        <v>0</v>
      </c>
      <c r="G3230" s="137">
        <v>0</v>
      </c>
      <c r="H3230" s="137">
        <v>0</v>
      </c>
      <c r="I3230" s="137">
        <v>0</v>
      </c>
      <c r="J3230" s="137">
        <v>0</v>
      </c>
      <c r="K3230" s="137">
        <v>0</v>
      </c>
      <c r="L3230" s="137">
        <v>0</v>
      </c>
      <c r="M3230" s="138">
        <v>0</v>
      </c>
      <c r="N3230" s="52">
        <f t="shared" ref="N3230:N3235" si="580">MIN(D3230:M3230)</f>
        <v>0</v>
      </c>
      <c r="O3230" s="52">
        <f t="shared" ref="O3230:O3235" si="581">C3230-N3230</f>
        <v>1</v>
      </c>
      <c r="P3230" s="54">
        <f t="shared" ref="P3230:P3235" si="582">O3230/C3230</f>
        <v>1</v>
      </c>
    </row>
    <row r="3231" spans="1:16" ht="9.75" customHeight="1">
      <c r="A3231" s="28"/>
      <c r="B3231" s="215" t="s">
        <v>268</v>
      </c>
      <c r="C3231" s="138">
        <v>7</v>
      </c>
      <c r="D3231" s="137">
        <v>4</v>
      </c>
      <c r="E3231" s="137">
        <v>3</v>
      </c>
      <c r="F3231" s="137">
        <v>3</v>
      </c>
      <c r="G3231" s="137">
        <v>3</v>
      </c>
      <c r="H3231" s="137">
        <v>3</v>
      </c>
      <c r="I3231" s="137">
        <v>4</v>
      </c>
      <c r="J3231" s="137">
        <v>4</v>
      </c>
      <c r="K3231" s="137">
        <v>3</v>
      </c>
      <c r="L3231" s="137">
        <v>3</v>
      </c>
      <c r="M3231" s="138">
        <v>2</v>
      </c>
      <c r="N3231" s="52">
        <f t="shared" si="580"/>
        <v>2</v>
      </c>
      <c r="O3231" s="52">
        <f t="shared" si="581"/>
        <v>5</v>
      </c>
      <c r="P3231" s="54">
        <f t="shared" si="582"/>
        <v>0.7142857142857143</v>
      </c>
    </row>
    <row r="3232" spans="1:16" ht="9.75" customHeight="1">
      <c r="A3232" s="28"/>
      <c r="B3232" s="25" t="s">
        <v>36</v>
      </c>
      <c r="C3232" s="87">
        <v>6</v>
      </c>
      <c r="D3232" s="137">
        <v>3</v>
      </c>
      <c r="E3232" s="137">
        <v>2</v>
      </c>
      <c r="F3232" s="137">
        <v>2</v>
      </c>
      <c r="G3232" s="137">
        <v>4</v>
      </c>
      <c r="H3232" s="137">
        <v>5</v>
      </c>
      <c r="I3232" s="137">
        <v>2</v>
      </c>
      <c r="J3232" s="137">
        <v>4</v>
      </c>
      <c r="K3232" s="137">
        <v>4</v>
      </c>
      <c r="L3232" s="137">
        <v>3</v>
      </c>
      <c r="M3232" s="138">
        <v>3</v>
      </c>
      <c r="N3232" s="52">
        <f t="shared" si="580"/>
        <v>2</v>
      </c>
      <c r="O3232" s="52">
        <f t="shared" si="581"/>
        <v>4</v>
      </c>
      <c r="P3232" s="54">
        <f t="shared" si="582"/>
        <v>0.66666666666666663</v>
      </c>
    </row>
    <row r="3233" spans="1:16" ht="9.75" customHeight="1">
      <c r="A3233" s="28"/>
      <c r="B3233" s="31" t="s">
        <v>37</v>
      </c>
      <c r="C3233" s="114">
        <v>2</v>
      </c>
      <c r="D3233" s="142">
        <v>1</v>
      </c>
      <c r="E3233" s="142">
        <v>0</v>
      </c>
      <c r="F3233" s="142">
        <v>1</v>
      </c>
      <c r="G3233" s="142">
        <v>1</v>
      </c>
      <c r="H3233" s="142">
        <v>1</v>
      </c>
      <c r="I3233" s="142">
        <v>1</v>
      </c>
      <c r="J3233" s="142">
        <v>1</v>
      </c>
      <c r="K3233" s="142">
        <v>1</v>
      </c>
      <c r="L3233" s="142">
        <v>1</v>
      </c>
      <c r="M3233" s="143">
        <v>1</v>
      </c>
      <c r="N3233" s="113">
        <f t="shared" si="580"/>
        <v>0</v>
      </c>
      <c r="O3233" s="113">
        <f t="shared" si="581"/>
        <v>2</v>
      </c>
      <c r="P3233" s="216">
        <f t="shared" si="582"/>
        <v>1</v>
      </c>
    </row>
    <row r="3234" spans="1:16" ht="9.75" customHeight="1">
      <c r="A3234" s="89"/>
      <c r="B3234" s="46" t="s">
        <v>38</v>
      </c>
      <c r="C3234" s="199">
        <f t="shared" ref="C3234:M3234" si="583">SUM(C3218:C3233)</f>
        <v>49</v>
      </c>
      <c r="D3234" s="200">
        <f t="shared" si="583"/>
        <v>27</v>
      </c>
      <c r="E3234" s="200">
        <f t="shared" si="583"/>
        <v>21</v>
      </c>
      <c r="F3234" s="200">
        <f t="shared" si="583"/>
        <v>20</v>
      </c>
      <c r="G3234" s="200">
        <f t="shared" si="583"/>
        <v>22</v>
      </c>
      <c r="H3234" s="200">
        <f t="shared" si="583"/>
        <v>21</v>
      </c>
      <c r="I3234" s="200">
        <f t="shared" si="583"/>
        <v>23</v>
      </c>
      <c r="J3234" s="200">
        <f t="shared" si="583"/>
        <v>23</v>
      </c>
      <c r="K3234" s="200">
        <f t="shared" si="583"/>
        <v>24</v>
      </c>
      <c r="L3234" s="200">
        <f t="shared" si="583"/>
        <v>24</v>
      </c>
      <c r="M3234" s="199">
        <f t="shared" si="583"/>
        <v>23</v>
      </c>
      <c r="N3234" s="200">
        <f t="shared" si="580"/>
        <v>20</v>
      </c>
      <c r="O3234" s="200">
        <f t="shared" si="581"/>
        <v>29</v>
      </c>
      <c r="P3234" s="201">
        <f t="shared" si="582"/>
        <v>0.59183673469387754</v>
      </c>
    </row>
    <row r="3235" spans="1:16" ht="9.75" customHeight="1">
      <c r="A3235" s="28" t="s">
        <v>409</v>
      </c>
      <c r="B3235" s="25" t="s">
        <v>23</v>
      </c>
      <c r="C3235" s="87">
        <v>2</v>
      </c>
      <c r="D3235" s="137">
        <v>1</v>
      </c>
      <c r="E3235" s="137">
        <v>0</v>
      </c>
      <c r="F3235" s="137">
        <v>0</v>
      </c>
      <c r="G3235" s="137">
        <v>0</v>
      </c>
      <c r="H3235" s="137">
        <v>0</v>
      </c>
      <c r="I3235" s="137">
        <v>0</v>
      </c>
      <c r="J3235" s="137">
        <v>0</v>
      </c>
      <c r="K3235" s="137">
        <v>0</v>
      </c>
      <c r="L3235" s="137">
        <v>0</v>
      </c>
      <c r="M3235" s="138">
        <v>0</v>
      </c>
      <c r="N3235" s="52">
        <f t="shared" si="580"/>
        <v>0</v>
      </c>
      <c r="O3235" s="52">
        <f t="shared" si="581"/>
        <v>2</v>
      </c>
      <c r="P3235" s="54">
        <f t="shared" si="582"/>
        <v>1</v>
      </c>
    </row>
    <row r="3236" spans="1:16" ht="9.75" customHeight="1">
      <c r="A3236" s="57"/>
      <c r="B3236" s="25" t="s">
        <v>25</v>
      </c>
      <c r="C3236" s="25"/>
      <c r="D3236" s="23"/>
      <c r="E3236" s="23"/>
      <c r="F3236" s="23"/>
      <c r="G3236" s="23"/>
      <c r="H3236" s="23"/>
      <c r="I3236" s="23"/>
      <c r="J3236" s="23"/>
      <c r="K3236" s="23"/>
      <c r="L3236" s="23"/>
      <c r="M3236" s="25"/>
      <c r="N3236" s="23"/>
      <c r="O3236" s="23"/>
      <c r="P3236" s="24"/>
    </row>
    <row r="3237" spans="1:16" ht="9.75" customHeight="1">
      <c r="A3237" s="57"/>
      <c r="B3237" s="25" t="s">
        <v>27</v>
      </c>
      <c r="C3237" s="25"/>
      <c r="D3237" s="23"/>
      <c r="E3237" s="23"/>
      <c r="F3237" s="23"/>
      <c r="G3237" s="23"/>
      <c r="H3237" s="23"/>
      <c r="I3237" s="23"/>
      <c r="J3237" s="23"/>
      <c r="K3237" s="23"/>
      <c r="L3237" s="23"/>
      <c r="M3237" s="25"/>
      <c r="N3237" s="23"/>
      <c r="O3237" s="23"/>
      <c r="P3237" s="24"/>
    </row>
    <row r="3238" spans="1:16" ht="9.75" customHeight="1">
      <c r="A3238" s="57"/>
      <c r="B3238" s="25" t="s">
        <v>99</v>
      </c>
      <c r="C3238" s="25"/>
      <c r="D3238" s="23"/>
      <c r="E3238" s="23"/>
      <c r="F3238" s="23"/>
      <c r="G3238" s="23"/>
      <c r="H3238" s="23"/>
      <c r="I3238" s="23"/>
      <c r="J3238" s="23"/>
      <c r="K3238" s="23"/>
      <c r="L3238" s="23"/>
      <c r="M3238" s="25"/>
      <c r="N3238" s="23"/>
      <c r="O3238" s="23"/>
      <c r="P3238" s="24"/>
    </row>
    <row r="3239" spans="1:16" ht="9.75" customHeight="1">
      <c r="A3239" s="28"/>
      <c r="B3239" s="25" t="s">
        <v>99</v>
      </c>
      <c r="C3239" s="25"/>
      <c r="D3239" s="23"/>
      <c r="E3239" s="23"/>
      <c r="F3239" s="23"/>
      <c r="G3239" s="23"/>
      <c r="H3239" s="23"/>
      <c r="I3239" s="23"/>
      <c r="J3239" s="23"/>
      <c r="K3239" s="23"/>
      <c r="L3239" s="23"/>
      <c r="M3239" s="25"/>
      <c r="N3239" s="23"/>
      <c r="O3239" s="23"/>
      <c r="P3239" s="24"/>
    </row>
    <row r="3240" spans="1:16" ht="9.75" customHeight="1">
      <c r="A3240" s="28"/>
      <c r="B3240" s="25" t="s">
        <v>32</v>
      </c>
      <c r="C3240" s="25"/>
      <c r="D3240" s="23"/>
      <c r="E3240" s="23"/>
      <c r="F3240" s="23"/>
      <c r="G3240" s="23"/>
      <c r="H3240" s="23"/>
      <c r="I3240" s="23"/>
      <c r="J3240" s="23"/>
      <c r="K3240" s="23"/>
      <c r="L3240" s="23"/>
      <c r="M3240" s="25"/>
      <c r="N3240" s="23"/>
      <c r="O3240" s="23"/>
      <c r="P3240" s="24"/>
    </row>
    <row r="3241" spans="1:16" ht="9.75" customHeight="1">
      <c r="A3241" s="28"/>
      <c r="B3241" s="25" t="s">
        <v>104</v>
      </c>
      <c r="C3241" s="25"/>
      <c r="D3241" s="23"/>
      <c r="E3241" s="23"/>
      <c r="F3241" s="23"/>
      <c r="G3241" s="23"/>
      <c r="H3241" s="23"/>
      <c r="I3241" s="23"/>
      <c r="J3241" s="23"/>
      <c r="K3241" s="23"/>
      <c r="L3241" s="23"/>
      <c r="M3241" s="25"/>
      <c r="N3241" s="23"/>
      <c r="O3241" s="23"/>
      <c r="P3241" s="24"/>
    </row>
    <row r="3242" spans="1:16" ht="9.75" customHeight="1">
      <c r="A3242" s="28"/>
      <c r="B3242" s="25" t="s">
        <v>104</v>
      </c>
      <c r="C3242" s="25"/>
      <c r="D3242" s="23"/>
      <c r="E3242" s="23"/>
      <c r="F3242" s="23"/>
      <c r="G3242" s="23"/>
      <c r="H3242" s="23"/>
      <c r="I3242" s="23"/>
      <c r="J3242" s="23"/>
      <c r="K3242" s="23"/>
      <c r="L3242" s="23"/>
      <c r="M3242" s="25"/>
      <c r="N3242" s="23"/>
      <c r="O3242" s="23"/>
      <c r="P3242" s="24"/>
    </row>
    <row r="3243" spans="1:16" ht="9.75" customHeight="1">
      <c r="A3243" s="28"/>
      <c r="B3243" s="25" t="s">
        <v>104</v>
      </c>
      <c r="C3243" s="25"/>
      <c r="D3243" s="23"/>
      <c r="E3243" s="23"/>
      <c r="F3243" s="23"/>
      <c r="G3243" s="23"/>
      <c r="H3243" s="23"/>
      <c r="I3243" s="23"/>
      <c r="J3243" s="23"/>
      <c r="K3243" s="23"/>
      <c r="L3243" s="23"/>
      <c r="M3243" s="25"/>
      <c r="N3243" s="23"/>
      <c r="O3243" s="23"/>
      <c r="P3243" s="24"/>
    </row>
    <row r="3244" spans="1:16" ht="9.75" customHeight="1">
      <c r="A3244" s="28"/>
      <c r="B3244" s="25" t="s">
        <v>104</v>
      </c>
      <c r="C3244" s="25"/>
      <c r="D3244" s="23"/>
      <c r="E3244" s="23"/>
      <c r="F3244" s="23"/>
      <c r="G3244" s="23"/>
      <c r="H3244" s="23"/>
      <c r="I3244" s="23"/>
      <c r="J3244" s="23"/>
      <c r="K3244" s="23"/>
      <c r="L3244" s="23"/>
      <c r="M3244" s="25"/>
      <c r="N3244" s="23"/>
      <c r="O3244" s="23"/>
      <c r="P3244" s="24"/>
    </row>
    <row r="3245" spans="1:16" ht="9.75" customHeight="1">
      <c r="A3245" s="28"/>
      <c r="B3245" s="25" t="s">
        <v>104</v>
      </c>
      <c r="C3245" s="25"/>
      <c r="D3245" s="23"/>
      <c r="E3245" s="23"/>
      <c r="F3245" s="23"/>
      <c r="G3245" s="23"/>
      <c r="H3245" s="23"/>
      <c r="I3245" s="23"/>
      <c r="J3245" s="23"/>
      <c r="K3245" s="23"/>
      <c r="L3245" s="23"/>
      <c r="M3245" s="25"/>
      <c r="N3245" s="23"/>
      <c r="O3245" s="23"/>
      <c r="P3245" s="24"/>
    </row>
    <row r="3246" spans="1:16" ht="9.75" customHeight="1">
      <c r="A3246" s="28"/>
      <c r="B3246" s="25" t="s">
        <v>104</v>
      </c>
      <c r="C3246" s="25"/>
      <c r="D3246" s="23"/>
      <c r="E3246" s="23"/>
      <c r="F3246" s="23"/>
      <c r="G3246" s="23"/>
      <c r="H3246" s="23"/>
      <c r="I3246" s="23"/>
      <c r="J3246" s="23"/>
      <c r="K3246" s="23"/>
      <c r="L3246" s="23"/>
      <c r="M3246" s="25"/>
      <c r="N3246" s="23"/>
      <c r="O3246" s="23"/>
      <c r="P3246" s="24"/>
    </row>
    <row r="3247" spans="1:16" ht="9.75" customHeight="1">
      <c r="A3247" s="28"/>
      <c r="B3247" s="25" t="s">
        <v>34</v>
      </c>
      <c r="C3247" s="25"/>
      <c r="D3247" s="23"/>
      <c r="E3247" s="23"/>
      <c r="F3247" s="23"/>
      <c r="G3247" s="23"/>
      <c r="H3247" s="23"/>
      <c r="I3247" s="23"/>
      <c r="J3247" s="23"/>
      <c r="K3247" s="23"/>
      <c r="L3247" s="23"/>
      <c r="M3247" s="25"/>
      <c r="N3247" s="23"/>
      <c r="O3247" s="23"/>
      <c r="P3247" s="24"/>
    </row>
    <row r="3248" spans="1:16" ht="9.75" customHeight="1">
      <c r="A3248" s="28"/>
      <c r="B3248" s="25" t="s">
        <v>35</v>
      </c>
      <c r="C3248" s="25"/>
      <c r="D3248" s="23"/>
      <c r="E3248" s="23"/>
      <c r="F3248" s="23"/>
      <c r="G3248" s="23"/>
      <c r="H3248" s="23"/>
      <c r="I3248" s="23"/>
      <c r="J3248" s="23"/>
      <c r="K3248" s="23"/>
      <c r="L3248" s="23"/>
      <c r="M3248" s="25"/>
      <c r="N3248" s="23"/>
      <c r="O3248" s="23"/>
      <c r="P3248" s="24"/>
    </row>
    <row r="3249" spans="1:16" ht="9.75" customHeight="1">
      <c r="A3249" s="28"/>
      <c r="B3249" s="25" t="s">
        <v>36</v>
      </c>
      <c r="C3249" s="87">
        <v>6</v>
      </c>
      <c r="D3249" s="137">
        <v>0</v>
      </c>
      <c r="E3249" s="137">
        <v>3</v>
      </c>
      <c r="F3249" s="137">
        <v>2</v>
      </c>
      <c r="G3249" s="137">
        <v>2</v>
      </c>
      <c r="H3249" s="137">
        <v>2</v>
      </c>
      <c r="I3249" s="137">
        <v>3</v>
      </c>
      <c r="J3249" s="137">
        <v>0</v>
      </c>
      <c r="K3249" s="137">
        <v>1</v>
      </c>
      <c r="L3249" s="137">
        <v>0</v>
      </c>
      <c r="M3249" s="138">
        <v>0</v>
      </c>
      <c r="N3249" s="52">
        <f>MIN(D3249:M3249)</f>
        <v>0</v>
      </c>
      <c r="O3249" s="52">
        <f>C3249-N3249</f>
        <v>6</v>
      </c>
      <c r="P3249" s="54">
        <f>O3249/C3249</f>
        <v>1</v>
      </c>
    </row>
    <row r="3250" spans="1:16" ht="9.75" customHeight="1">
      <c r="A3250" s="28"/>
      <c r="B3250" s="31" t="s">
        <v>37</v>
      </c>
      <c r="C3250" s="114"/>
      <c r="D3250" s="113"/>
      <c r="E3250" s="113"/>
      <c r="F3250" s="113"/>
      <c r="G3250" s="113"/>
      <c r="H3250" s="113"/>
      <c r="I3250" s="113"/>
      <c r="J3250" s="113"/>
      <c r="K3250" s="113"/>
      <c r="L3250" s="113"/>
      <c r="M3250" s="114"/>
      <c r="N3250" s="113"/>
      <c r="O3250" s="113"/>
      <c r="P3250" s="216"/>
    </row>
    <row r="3251" spans="1:16" ht="9.75" customHeight="1">
      <c r="A3251" s="89"/>
      <c r="B3251" s="46" t="s">
        <v>38</v>
      </c>
      <c r="C3251" s="199">
        <f t="shared" ref="C3251:M3251" si="584">SUM(C3235:C3250)</f>
        <v>8</v>
      </c>
      <c r="D3251" s="200">
        <f t="shared" si="584"/>
        <v>1</v>
      </c>
      <c r="E3251" s="200">
        <f t="shared" si="584"/>
        <v>3</v>
      </c>
      <c r="F3251" s="200">
        <f t="shared" si="584"/>
        <v>2</v>
      </c>
      <c r="G3251" s="200">
        <f t="shared" si="584"/>
        <v>2</v>
      </c>
      <c r="H3251" s="200">
        <f t="shared" si="584"/>
        <v>2</v>
      </c>
      <c r="I3251" s="200">
        <f t="shared" si="584"/>
        <v>3</v>
      </c>
      <c r="J3251" s="200">
        <f t="shared" si="584"/>
        <v>0</v>
      </c>
      <c r="K3251" s="200">
        <f t="shared" si="584"/>
        <v>1</v>
      </c>
      <c r="L3251" s="200">
        <f t="shared" si="584"/>
        <v>0</v>
      </c>
      <c r="M3251" s="199">
        <f t="shared" si="584"/>
        <v>0</v>
      </c>
      <c r="N3251" s="200">
        <f t="shared" ref="N3251:N3253" si="585">MIN(D3251:M3251)</f>
        <v>0</v>
      </c>
      <c r="O3251" s="200">
        <f t="shared" ref="O3251:O3253" si="586">C3251-N3251</f>
        <v>8</v>
      </c>
      <c r="P3251" s="201">
        <f t="shared" ref="P3251:P3253" si="587">O3251/C3251</f>
        <v>1</v>
      </c>
    </row>
    <row r="3252" spans="1:16" ht="9.75" customHeight="1">
      <c r="A3252" s="28" t="s">
        <v>410</v>
      </c>
      <c r="B3252" s="25" t="s">
        <v>23</v>
      </c>
      <c r="C3252" s="87">
        <v>12</v>
      </c>
      <c r="D3252" s="137">
        <v>0</v>
      </c>
      <c r="E3252" s="137">
        <v>2</v>
      </c>
      <c r="F3252" s="137">
        <v>1</v>
      </c>
      <c r="G3252" s="137">
        <v>1</v>
      </c>
      <c r="H3252" s="137">
        <v>1</v>
      </c>
      <c r="I3252" s="137">
        <v>0</v>
      </c>
      <c r="J3252" s="137">
        <v>0</v>
      </c>
      <c r="K3252" s="137">
        <v>0</v>
      </c>
      <c r="L3252" s="137">
        <v>0</v>
      </c>
      <c r="M3252" s="138">
        <v>0</v>
      </c>
      <c r="N3252" s="52">
        <f t="shared" si="585"/>
        <v>0</v>
      </c>
      <c r="O3252" s="52">
        <f t="shared" si="586"/>
        <v>12</v>
      </c>
      <c r="P3252" s="54">
        <f t="shared" si="587"/>
        <v>1</v>
      </c>
    </row>
    <row r="3253" spans="1:16" ht="9.75" customHeight="1">
      <c r="A3253" s="57"/>
      <c r="B3253" s="25" t="s">
        <v>25</v>
      </c>
      <c r="C3253" s="87">
        <v>5</v>
      </c>
      <c r="D3253" s="137">
        <v>0</v>
      </c>
      <c r="E3253" s="137">
        <v>0</v>
      </c>
      <c r="F3253" s="137">
        <v>0</v>
      </c>
      <c r="G3253" s="137">
        <v>0</v>
      </c>
      <c r="H3253" s="137">
        <v>0</v>
      </c>
      <c r="I3253" s="137">
        <v>1</v>
      </c>
      <c r="J3253" s="137">
        <v>0</v>
      </c>
      <c r="K3253" s="137">
        <v>1</v>
      </c>
      <c r="L3253" s="137">
        <v>0</v>
      </c>
      <c r="M3253" s="138">
        <v>0</v>
      </c>
      <c r="N3253" s="52">
        <f t="shared" si="585"/>
        <v>0</v>
      </c>
      <c r="O3253" s="52">
        <f t="shared" si="586"/>
        <v>5</v>
      </c>
      <c r="P3253" s="54">
        <f t="shared" si="587"/>
        <v>1</v>
      </c>
    </row>
    <row r="3254" spans="1:16" ht="9.75" customHeight="1">
      <c r="A3254" s="57"/>
      <c r="B3254" s="25" t="s">
        <v>27</v>
      </c>
      <c r="C3254" s="25"/>
      <c r="D3254" s="23"/>
      <c r="E3254" s="23"/>
      <c r="F3254" s="23"/>
      <c r="G3254" s="23"/>
      <c r="H3254" s="23"/>
      <c r="I3254" s="23"/>
      <c r="J3254" s="23"/>
      <c r="K3254" s="23"/>
      <c r="L3254" s="23"/>
      <c r="M3254" s="25"/>
      <c r="N3254" s="23"/>
      <c r="O3254" s="23"/>
      <c r="P3254" s="24"/>
    </row>
    <row r="3255" spans="1:16" ht="9.75" customHeight="1">
      <c r="A3255" s="57"/>
      <c r="B3255" s="25" t="s">
        <v>99</v>
      </c>
      <c r="C3255" s="25"/>
      <c r="D3255" s="23"/>
      <c r="E3255" s="23"/>
      <c r="F3255" s="23"/>
      <c r="G3255" s="23"/>
      <c r="H3255" s="23"/>
      <c r="I3255" s="23"/>
      <c r="J3255" s="23"/>
      <c r="K3255" s="23"/>
      <c r="L3255" s="23"/>
      <c r="M3255" s="25"/>
      <c r="N3255" s="23"/>
      <c r="O3255" s="23"/>
      <c r="P3255" s="24"/>
    </row>
    <row r="3256" spans="1:16" ht="9.75" customHeight="1">
      <c r="A3256" s="28"/>
      <c r="B3256" s="25" t="s">
        <v>99</v>
      </c>
      <c r="C3256" s="25"/>
      <c r="D3256" s="23"/>
      <c r="E3256" s="23"/>
      <c r="F3256" s="23"/>
      <c r="G3256" s="23"/>
      <c r="H3256" s="23"/>
      <c r="I3256" s="23"/>
      <c r="J3256" s="23"/>
      <c r="K3256" s="23"/>
      <c r="L3256" s="23"/>
      <c r="M3256" s="25"/>
      <c r="N3256" s="23"/>
      <c r="O3256" s="23"/>
      <c r="P3256" s="24"/>
    </row>
    <row r="3257" spans="1:16" ht="9.75" customHeight="1">
      <c r="A3257" s="28"/>
      <c r="B3257" s="25" t="s">
        <v>32</v>
      </c>
      <c r="C3257" s="87">
        <v>22</v>
      </c>
      <c r="D3257" s="137">
        <v>20</v>
      </c>
      <c r="E3257" s="137">
        <v>16</v>
      </c>
      <c r="F3257" s="137">
        <v>17</v>
      </c>
      <c r="G3257" s="52">
        <f>C3257-7</f>
        <v>15</v>
      </c>
      <c r="H3257" s="137">
        <v>15</v>
      </c>
      <c r="I3257" s="52">
        <f>C3257-9</f>
        <v>13</v>
      </c>
      <c r="J3257" s="52">
        <f>C3257-7</f>
        <v>15</v>
      </c>
      <c r="K3257" s="52">
        <f>C3257-11</f>
        <v>11</v>
      </c>
      <c r="L3257" s="137">
        <v>11</v>
      </c>
      <c r="M3257" s="138">
        <v>12</v>
      </c>
      <c r="N3257" s="52">
        <f t="shared" ref="N3257:N3262" si="588">MIN(D3257:M3257)</f>
        <v>11</v>
      </c>
      <c r="O3257" s="52">
        <f t="shared" ref="O3257:O3262" si="589">C3257-N3257</f>
        <v>11</v>
      </c>
      <c r="P3257" s="54">
        <f t="shared" ref="P3257:P3262" si="590">O3257/C3257</f>
        <v>0.5</v>
      </c>
    </row>
    <row r="3258" spans="1:16" ht="9.75" customHeight="1">
      <c r="A3258" s="28"/>
      <c r="B3258" s="25" t="s">
        <v>411</v>
      </c>
      <c r="C3258" s="87">
        <v>16</v>
      </c>
      <c r="D3258" s="137">
        <v>12</v>
      </c>
      <c r="E3258" s="137">
        <v>9</v>
      </c>
      <c r="F3258" s="137">
        <v>5</v>
      </c>
      <c r="G3258" s="137">
        <v>5</v>
      </c>
      <c r="H3258" s="137">
        <v>3</v>
      </c>
      <c r="I3258" s="137">
        <v>6</v>
      </c>
      <c r="J3258" s="137">
        <v>9</v>
      </c>
      <c r="K3258" s="52">
        <f>C3258-9</f>
        <v>7</v>
      </c>
      <c r="L3258" s="52">
        <f>C3258-7</f>
        <v>9</v>
      </c>
      <c r="M3258" s="87">
        <f>C3258-8</f>
        <v>8</v>
      </c>
      <c r="N3258" s="52">
        <f t="shared" si="588"/>
        <v>3</v>
      </c>
      <c r="O3258" s="52">
        <f t="shared" si="589"/>
        <v>13</v>
      </c>
      <c r="P3258" s="54">
        <f t="shared" si="590"/>
        <v>0.8125</v>
      </c>
    </row>
    <row r="3259" spans="1:16" ht="9.75" customHeight="1">
      <c r="A3259" s="28"/>
      <c r="B3259" s="25" t="s">
        <v>412</v>
      </c>
      <c r="C3259" s="87">
        <v>3</v>
      </c>
      <c r="D3259" s="137">
        <v>3</v>
      </c>
      <c r="E3259" s="137">
        <v>2</v>
      </c>
      <c r="F3259" s="137">
        <v>1</v>
      </c>
      <c r="G3259" s="137">
        <v>2</v>
      </c>
      <c r="H3259" s="137">
        <v>2</v>
      </c>
      <c r="I3259" s="137">
        <v>3</v>
      </c>
      <c r="J3259" s="137">
        <v>2</v>
      </c>
      <c r="K3259" s="137">
        <v>2</v>
      </c>
      <c r="L3259" s="137">
        <v>2</v>
      </c>
      <c r="M3259" s="138">
        <v>2</v>
      </c>
      <c r="N3259" s="52">
        <f t="shared" si="588"/>
        <v>1</v>
      </c>
      <c r="O3259" s="52">
        <f t="shared" si="589"/>
        <v>2</v>
      </c>
      <c r="P3259" s="54">
        <f t="shared" si="590"/>
        <v>0.66666666666666663</v>
      </c>
    </row>
    <row r="3260" spans="1:16" ht="9.75" customHeight="1">
      <c r="A3260" s="28"/>
      <c r="B3260" s="25" t="s">
        <v>413</v>
      </c>
      <c r="C3260" s="87">
        <v>1</v>
      </c>
      <c r="D3260" s="137">
        <v>0</v>
      </c>
      <c r="E3260" s="137">
        <v>0</v>
      </c>
      <c r="F3260" s="137">
        <v>0</v>
      </c>
      <c r="G3260" s="137">
        <v>0</v>
      </c>
      <c r="H3260" s="137">
        <v>0</v>
      </c>
      <c r="I3260" s="137">
        <v>0</v>
      </c>
      <c r="J3260" s="137">
        <v>0</v>
      </c>
      <c r="K3260" s="137">
        <v>0</v>
      </c>
      <c r="L3260" s="137">
        <v>1</v>
      </c>
      <c r="M3260" s="138">
        <v>1</v>
      </c>
      <c r="N3260" s="52">
        <f t="shared" si="588"/>
        <v>0</v>
      </c>
      <c r="O3260" s="52">
        <f t="shared" si="589"/>
        <v>1</v>
      </c>
      <c r="P3260" s="54">
        <f t="shared" si="590"/>
        <v>1</v>
      </c>
    </row>
    <row r="3261" spans="1:16" ht="9.75" customHeight="1">
      <c r="A3261" s="28"/>
      <c r="B3261" s="25" t="s">
        <v>214</v>
      </c>
      <c r="C3261" s="87">
        <v>1</v>
      </c>
      <c r="D3261" s="137">
        <v>0</v>
      </c>
      <c r="E3261" s="137">
        <v>1</v>
      </c>
      <c r="F3261" s="137">
        <v>1</v>
      </c>
      <c r="G3261" s="137">
        <v>0</v>
      </c>
      <c r="H3261" s="137">
        <v>1</v>
      </c>
      <c r="I3261" s="137">
        <v>1</v>
      </c>
      <c r="J3261" s="137">
        <v>1</v>
      </c>
      <c r="K3261" s="137">
        <v>1</v>
      </c>
      <c r="L3261" s="137">
        <v>1</v>
      </c>
      <c r="M3261" s="138">
        <v>1</v>
      </c>
      <c r="N3261" s="52">
        <f t="shared" si="588"/>
        <v>0</v>
      </c>
      <c r="O3261" s="52">
        <f t="shared" si="589"/>
        <v>1</v>
      </c>
      <c r="P3261" s="54">
        <f t="shared" si="590"/>
        <v>1</v>
      </c>
    </row>
    <row r="3262" spans="1:16" ht="9.75" customHeight="1">
      <c r="A3262" s="28"/>
      <c r="B3262" s="25" t="s">
        <v>414</v>
      </c>
      <c r="C3262" s="87">
        <v>1</v>
      </c>
      <c r="D3262" s="137">
        <v>1</v>
      </c>
      <c r="E3262" s="137">
        <v>1</v>
      </c>
      <c r="F3262" s="137">
        <v>1</v>
      </c>
      <c r="G3262" s="137">
        <v>1</v>
      </c>
      <c r="H3262" s="137">
        <v>1</v>
      </c>
      <c r="I3262" s="137">
        <v>0</v>
      </c>
      <c r="J3262" s="137">
        <v>0</v>
      </c>
      <c r="K3262" s="137">
        <v>0</v>
      </c>
      <c r="L3262" s="137">
        <v>0</v>
      </c>
      <c r="M3262" s="138">
        <v>0</v>
      </c>
      <c r="N3262" s="52">
        <f t="shared" si="588"/>
        <v>0</v>
      </c>
      <c r="O3262" s="52">
        <f t="shared" si="589"/>
        <v>1</v>
      </c>
      <c r="P3262" s="54">
        <f t="shared" si="590"/>
        <v>1</v>
      </c>
    </row>
    <row r="3263" spans="1:16" ht="9.75" customHeight="1">
      <c r="A3263" s="28"/>
      <c r="B3263" s="25" t="s">
        <v>104</v>
      </c>
      <c r="C3263" s="25"/>
      <c r="D3263" s="23"/>
      <c r="E3263" s="23"/>
      <c r="F3263" s="23"/>
      <c r="G3263" s="23"/>
      <c r="H3263" s="23"/>
      <c r="I3263" s="23"/>
      <c r="J3263" s="23"/>
      <c r="K3263" s="23"/>
      <c r="L3263" s="23"/>
      <c r="M3263" s="25"/>
      <c r="N3263" s="23"/>
      <c r="O3263" s="23"/>
      <c r="P3263" s="24"/>
    </row>
    <row r="3264" spans="1:16" ht="9.75" customHeight="1">
      <c r="A3264" s="28"/>
      <c r="B3264" s="25" t="s">
        <v>34</v>
      </c>
      <c r="C3264" s="87">
        <v>11</v>
      </c>
      <c r="D3264" s="137">
        <v>0</v>
      </c>
      <c r="E3264" s="137">
        <v>0</v>
      </c>
      <c r="F3264" s="137">
        <v>0</v>
      </c>
      <c r="G3264" s="137">
        <v>0</v>
      </c>
      <c r="H3264" s="137">
        <v>0</v>
      </c>
      <c r="I3264" s="137">
        <v>0</v>
      </c>
      <c r="J3264" s="137">
        <v>0</v>
      </c>
      <c r="K3264" s="137">
        <v>0</v>
      </c>
      <c r="L3264" s="137">
        <v>2</v>
      </c>
      <c r="M3264" s="138">
        <v>2</v>
      </c>
      <c r="N3264" s="52">
        <f t="shared" ref="N3264:N3265" si="591">MIN(D3264:M3264)</f>
        <v>0</v>
      </c>
      <c r="O3264" s="52">
        <f t="shared" ref="O3264:O3265" si="592">C3264-N3264</f>
        <v>11</v>
      </c>
      <c r="P3264" s="54">
        <f t="shared" ref="P3264:P3265" si="593">O3264/C3264</f>
        <v>1</v>
      </c>
    </row>
    <row r="3265" spans="1:16" ht="9.75" customHeight="1">
      <c r="A3265" s="28"/>
      <c r="B3265" s="25" t="s">
        <v>35</v>
      </c>
      <c r="C3265" s="87">
        <v>2</v>
      </c>
      <c r="D3265" s="137">
        <v>2</v>
      </c>
      <c r="E3265" s="137">
        <v>0</v>
      </c>
      <c r="F3265" s="137">
        <v>2</v>
      </c>
      <c r="G3265" s="137">
        <v>2</v>
      </c>
      <c r="H3265" s="137">
        <v>2</v>
      </c>
      <c r="I3265" s="137">
        <v>2</v>
      </c>
      <c r="J3265" s="137">
        <v>1</v>
      </c>
      <c r="K3265" s="137">
        <v>1</v>
      </c>
      <c r="L3265" s="137">
        <v>2</v>
      </c>
      <c r="M3265" s="138">
        <v>2</v>
      </c>
      <c r="N3265" s="52">
        <f t="shared" si="591"/>
        <v>0</v>
      </c>
      <c r="O3265" s="52">
        <f t="shared" si="592"/>
        <v>2</v>
      </c>
      <c r="P3265" s="54">
        <f t="shared" si="593"/>
        <v>1</v>
      </c>
    </row>
    <row r="3266" spans="1:16" ht="9.75" customHeight="1">
      <c r="A3266" s="28"/>
      <c r="B3266" s="25" t="s">
        <v>36</v>
      </c>
      <c r="C3266" s="25"/>
      <c r="D3266" s="23"/>
      <c r="E3266" s="23"/>
      <c r="F3266" s="23"/>
      <c r="G3266" s="23"/>
      <c r="H3266" s="23"/>
      <c r="I3266" s="23"/>
      <c r="J3266" s="23"/>
      <c r="K3266" s="23"/>
      <c r="L3266" s="23"/>
      <c r="M3266" s="25"/>
      <c r="N3266" s="23"/>
      <c r="O3266" s="23"/>
      <c r="P3266" s="24"/>
    </row>
    <row r="3267" spans="1:16" ht="9.75" customHeight="1">
      <c r="A3267" s="28"/>
      <c r="B3267" s="31" t="s">
        <v>37</v>
      </c>
      <c r="C3267" s="114">
        <v>2</v>
      </c>
      <c r="D3267" s="142">
        <v>2</v>
      </c>
      <c r="E3267" s="142">
        <v>1</v>
      </c>
      <c r="F3267" s="142">
        <v>0</v>
      </c>
      <c r="G3267" s="142">
        <v>2</v>
      </c>
      <c r="H3267" s="142">
        <v>2</v>
      </c>
      <c r="I3267" s="142">
        <v>1</v>
      </c>
      <c r="J3267" s="142">
        <v>1</v>
      </c>
      <c r="K3267" s="142">
        <v>0</v>
      </c>
      <c r="L3267" s="142">
        <v>1</v>
      </c>
      <c r="M3267" s="143">
        <v>0</v>
      </c>
      <c r="N3267" s="113">
        <f t="shared" ref="N3267:N3268" si="594">MIN(D3267:M3267)</f>
        <v>0</v>
      </c>
      <c r="O3267" s="113">
        <f t="shared" ref="O3267:O3268" si="595">C3267-N3267</f>
        <v>2</v>
      </c>
      <c r="P3267" s="216">
        <f t="shared" ref="P3267:P3268" si="596">O3267/C3267</f>
        <v>1</v>
      </c>
    </row>
    <row r="3268" spans="1:16" ht="9.75" customHeight="1">
      <c r="A3268" s="89"/>
      <c r="B3268" s="46" t="s">
        <v>38</v>
      </c>
      <c r="C3268" s="199">
        <f t="shared" ref="C3268:M3268" si="597">SUM(C3252:C3267)</f>
        <v>76</v>
      </c>
      <c r="D3268" s="200">
        <f t="shared" si="597"/>
        <v>40</v>
      </c>
      <c r="E3268" s="200">
        <f t="shared" si="597"/>
        <v>32</v>
      </c>
      <c r="F3268" s="200">
        <f t="shared" si="597"/>
        <v>28</v>
      </c>
      <c r="G3268" s="200">
        <f t="shared" si="597"/>
        <v>28</v>
      </c>
      <c r="H3268" s="200">
        <f t="shared" si="597"/>
        <v>27</v>
      </c>
      <c r="I3268" s="200">
        <f t="shared" si="597"/>
        <v>27</v>
      </c>
      <c r="J3268" s="200">
        <f t="shared" si="597"/>
        <v>29</v>
      </c>
      <c r="K3268" s="200">
        <f t="shared" si="597"/>
        <v>23</v>
      </c>
      <c r="L3268" s="200">
        <f t="shared" si="597"/>
        <v>29</v>
      </c>
      <c r="M3268" s="199">
        <f t="shared" si="597"/>
        <v>28</v>
      </c>
      <c r="N3268" s="200">
        <f t="shared" si="594"/>
        <v>23</v>
      </c>
      <c r="O3268" s="200">
        <f t="shared" si="595"/>
        <v>53</v>
      </c>
      <c r="P3268" s="201">
        <f t="shared" si="596"/>
        <v>0.69736842105263153</v>
      </c>
    </row>
    <row r="3269" spans="1:16" ht="9.75" customHeight="1">
      <c r="A3269" s="28" t="s">
        <v>415</v>
      </c>
      <c r="B3269" s="25" t="s">
        <v>23</v>
      </c>
      <c r="C3269" s="25"/>
      <c r="D3269" s="23"/>
      <c r="E3269" s="23"/>
      <c r="F3269" s="23"/>
      <c r="G3269" s="23"/>
      <c r="H3269" s="23"/>
      <c r="I3269" s="23"/>
      <c r="J3269" s="23"/>
      <c r="K3269" s="23"/>
      <c r="L3269" s="23"/>
      <c r="M3269" s="25"/>
      <c r="N3269" s="23"/>
      <c r="O3269" s="23"/>
      <c r="P3269" s="24"/>
    </row>
    <row r="3270" spans="1:16" ht="9.75" customHeight="1">
      <c r="A3270" s="57"/>
      <c r="B3270" s="25" t="s">
        <v>25</v>
      </c>
      <c r="C3270" s="25"/>
      <c r="D3270" s="23"/>
      <c r="E3270" s="23"/>
      <c r="F3270" s="23"/>
      <c r="G3270" s="23"/>
      <c r="H3270" s="23"/>
      <c r="I3270" s="23"/>
      <c r="J3270" s="23"/>
      <c r="K3270" s="23"/>
      <c r="L3270" s="23"/>
      <c r="M3270" s="25"/>
      <c r="N3270" s="23"/>
      <c r="O3270" s="23"/>
      <c r="P3270" s="24"/>
    </row>
    <row r="3271" spans="1:16" ht="9.75" customHeight="1">
      <c r="A3271" s="57"/>
      <c r="B3271" s="25" t="s">
        <v>27</v>
      </c>
      <c r="C3271" s="25"/>
      <c r="D3271" s="23"/>
      <c r="E3271" s="23"/>
      <c r="F3271" s="23"/>
      <c r="G3271" s="23"/>
      <c r="H3271" s="23"/>
      <c r="I3271" s="23"/>
      <c r="J3271" s="23"/>
      <c r="K3271" s="23"/>
      <c r="L3271" s="23"/>
      <c r="M3271" s="25"/>
      <c r="N3271" s="23"/>
      <c r="O3271" s="23"/>
      <c r="P3271" s="24"/>
    </row>
    <row r="3272" spans="1:16" ht="9.75" customHeight="1">
      <c r="A3272" s="57"/>
      <c r="B3272" s="25" t="s">
        <v>99</v>
      </c>
      <c r="C3272" s="25"/>
      <c r="D3272" s="23"/>
      <c r="E3272" s="23"/>
      <c r="F3272" s="23"/>
      <c r="G3272" s="23"/>
      <c r="H3272" s="23"/>
      <c r="I3272" s="23"/>
      <c r="J3272" s="23"/>
      <c r="K3272" s="23"/>
      <c r="L3272" s="23"/>
      <c r="M3272" s="25"/>
      <c r="N3272" s="23"/>
      <c r="O3272" s="23"/>
      <c r="P3272" s="24"/>
    </row>
    <row r="3273" spans="1:16" ht="9.75" customHeight="1">
      <c r="A3273" s="28"/>
      <c r="B3273" s="25" t="s">
        <v>99</v>
      </c>
      <c r="C3273" s="25"/>
      <c r="D3273" s="23"/>
      <c r="E3273" s="23"/>
      <c r="F3273" s="23"/>
      <c r="G3273" s="23"/>
      <c r="H3273" s="23"/>
      <c r="I3273" s="23"/>
      <c r="J3273" s="23"/>
      <c r="K3273" s="23"/>
      <c r="L3273" s="23"/>
      <c r="M3273" s="25"/>
      <c r="N3273" s="23"/>
      <c r="O3273" s="23"/>
      <c r="P3273" s="24"/>
    </row>
    <row r="3274" spans="1:16" ht="9.75" customHeight="1">
      <c r="A3274" s="28"/>
      <c r="B3274" s="25" t="s">
        <v>32</v>
      </c>
      <c r="C3274" s="87">
        <v>2</v>
      </c>
      <c r="D3274" s="137">
        <v>2</v>
      </c>
      <c r="E3274" s="137">
        <v>2</v>
      </c>
      <c r="F3274" s="137">
        <v>2</v>
      </c>
      <c r="G3274" s="137">
        <v>2</v>
      </c>
      <c r="H3274" s="137">
        <v>2</v>
      </c>
      <c r="I3274" s="137">
        <v>2</v>
      </c>
      <c r="J3274" s="137">
        <v>1</v>
      </c>
      <c r="K3274" s="137">
        <v>1</v>
      </c>
      <c r="L3274" s="137">
        <v>1</v>
      </c>
      <c r="M3274" s="138">
        <v>1</v>
      </c>
      <c r="N3274" s="52">
        <f t="shared" ref="N3274:N3275" si="598">MIN(D3274:M3274)</f>
        <v>1</v>
      </c>
      <c r="O3274" s="52">
        <f t="shared" ref="O3274:O3275" si="599">C3274-N3274</f>
        <v>1</v>
      </c>
      <c r="P3274" s="54">
        <f t="shared" ref="P3274:P3275" si="600">O3274/C3274</f>
        <v>0.5</v>
      </c>
    </row>
    <row r="3275" spans="1:16" ht="9.75" customHeight="1">
      <c r="A3275" s="28"/>
      <c r="B3275" s="25" t="s">
        <v>416</v>
      </c>
      <c r="C3275" s="138">
        <v>5</v>
      </c>
      <c r="D3275" s="137">
        <v>0</v>
      </c>
      <c r="E3275" s="137">
        <v>1</v>
      </c>
      <c r="F3275" s="137">
        <v>0</v>
      </c>
      <c r="G3275" s="137">
        <v>0</v>
      </c>
      <c r="H3275" s="137">
        <v>0</v>
      </c>
      <c r="I3275" s="137">
        <v>0</v>
      </c>
      <c r="J3275" s="137">
        <v>0</v>
      </c>
      <c r="K3275" s="137">
        <v>0</v>
      </c>
      <c r="L3275" s="137">
        <v>0</v>
      </c>
      <c r="M3275" s="138">
        <v>0</v>
      </c>
      <c r="N3275" s="52">
        <f t="shared" si="598"/>
        <v>0</v>
      </c>
      <c r="O3275" s="52">
        <f t="shared" si="599"/>
        <v>5</v>
      </c>
      <c r="P3275" s="54">
        <f t="shared" si="600"/>
        <v>1</v>
      </c>
    </row>
    <row r="3276" spans="1:16" ht="9.75" customHeight="1">
      <c r="A3276" s="28"/>
      <c r="B3276" s="25" t="s">
        <v>104</v>
      </c>
      <c r="C3276" s="25"/>
      <c r="D3276" s="23"/>
      <c r="E3276" s="23"/>
      <c r="F3276" s="23"/>
      <c r="G3276" s="23"/>
      <c r="H3276" s="23"/>
      <c r="I3276" s="23"/>
      <c r="J3276" s="23"/>
      <c r="K3276" s="23"/>
      <c r="L3276" s="23"/>
      <c r="M3276" s="25"/>
      <c r="N3276" s="23"/>
      <c r="O3276" s="23"/>
      <c r="P3276" s="24"/>
    </row>
    <row r="3277" spans="1:16" ht="9.75" customHeight="1">
      <c r="A3277" s="28"/>
      <c r="B3277" s="25" t="s">
        <v>104</v>
      </c>
      <c r="C3277" s="25"/>
      <c r="D3277" s="23"/>
      <c r="E3277" s="23"/>
      <c r="F3277" s="23"/>
      <c r="G3277" s="23"/>
      <c r="H3277" s="23"/>
      <c r="I3277" s="23"/>
      <c r="J3277" s="23"/>
      <c r="K3277" s="23"/>
      <c r="L3277" s="23"/>
      <c r="M3277" s="25"/>
      <c r="N3277" s="23"/>
      <c r="O3277" s="23"/>
      <c r="P3277" s="24"/>
    </row>
    <row r="3278" spans="1:16" ht="9.75" customHeight="1">
      <c r="A3278" s="28"/>
      <c r="B3278" s="25" t="s">
        <v>104</v>
      </c>
      <c r="C3278" s="25"/>
      <c r="D3278" s="23"/>
      <c r="E3278" s="23"/>
      <c r="F3278" s="23"/>
      <c r="G3278" s="23"/>
      <c r="H3278" s="23"/>
      <c r="I3278" s="23"/>
      <c r="J3278" s="23"/>
      <c r="K3278" s="23"/>
      <c r="L3278" s="23"/>
      <c r="M3278" s="25"/>
      <c r="N3278" s="23"/>
      <c r="O3278" s="23"/>
      <c r="P3278" s="24"/>
    </row>
    <row r="3279" spans="1:16" ht="9.75" customHeight="1">
      <c r="A3279" s="28"/>
      <c r="B3279" s="25" t="s">
        <v>104</v>
      </c>
      <c r="C3279" s="25"/>
      <c r="D3279" s="23"/>
      <c r="E3279" s="23"/>
      <c r="F3279" s="23"/>
      <c r="G3279" s="23"/>
      <c r="H3279" s="23"/>
      <c r="I3279" s="23"/>
      <c r="J3279" s="23"/>
      <c r="K3279" s="23"/>
      <c r="L3279" s="23"/>
      <c r="M3279" s="25"/>
      <c r="N3279" s="23"/>
      <c r="O3279" s="23"/>
      <c r="P3279" s="24"/>
    </row>
    <row r="3280" spans="1:16" ht="9.75" customHeight="1">
      <c r="A3280" s="28"/>
      <c r="B3280" s="25" t="s">
        <v>104</v>
      </c>
      <c r="C3280" s="25"/>
      <c r="D3280" s="23"/>
      <c r="E3280" s="23"/>
      <c r="F3280" s="23"/>
      <c r="G3280" s="23"/>
      <c r="H3280" s="23"/>
      <c r="I3280" s="23"/>
      <c r="J3280" s="23"/>
      <c r="K3280" s="23"/>
      <c r="L3280" s="23"/>
      <c r="M3280" s="25"/>
      <c r="N3280" s="23"/>
      <c r="O3280" s="23"/>
      <c r="P3280" s="24"/>
    </row>
    <row r="3281" spans="1:16" ht="9.75" customHeight="1">
      <c r="A3281" s="28"/>
      <c r="B3281" s="25" t="s">
        <v>34</v>
      </c>
      <c r="C3281" s="25"/>
      <c r="D3281" s="23"/>
      <c r="E3281" s="23"/>
      <c r="F3281" s="23"/>
      <c r="G3281" s="23"/>
      <c r="H3281" s="23"/>
      <c r="I3281" s="23"/>
      <c r="J3281" s="23"/>
      <c r="K3281" s="23"/>
      <c r="L3281" s="23"/>
      <c r="M3281" s="25"/>
      <c r="N3281" s="23"/>
      <c r="O3281" s="23"/>
      <c r="P3281" s="24"/>
    </row>
    <row r="3282" spans="1:16" ht="9.75" customHeight="1">
      <c r="A3282" s="28"/>
      <c r="B3282" s="25" t="s">
        <v>35</v>
      </c>
      <c r="C3282" s="25"/>
      <c r="D3282" s="23"/>
      <c r="E3282" s="23"/>
      <c r="F3282" s="23"/>
      <c r="G3282" s="23"/>
      <c r="H3282" s="23"/>
      <c r="I3282" s="23"/>
      <c r="J3282" s="23"/>
      <c r="K3282" s="23"/>
      <c r="L3282" s="23"/>
      <c r="M3282" s="25"/>
      <c r="N3282" s="23"/>
      <c r="O3282" s="23"/>
      <c r="P3282" s="24"/>
    </row>
    <row r="3283" spans="1:16" ht="9.75" customHeight="1">
      <c r="A3283" s="28"/>
      <c r="B3283" s="25" t="s">
        <v>36</v>
      </c>
      <c r="C3283" s="25"/>
      <c r="D3283" s="23"/>
      <c r="E3283" s="23"/>
      <c r="F3283" s="23"/>
      <c r="G3283" s="23"/>
      <c r="H3283" s="23"/>
      <c r="I3283" s="23"/>
      <c r="J3283" s="23"/>
      <c r="K3283" s="23"/>
      <c r="L3283" s="23"/>
      <c r="M3283" s="25"/>
      <c r="N3283" s="23"/>
      <c r="O3283" s="23"/>
      <c r="P3283" s="24"/>
    </row>
    <row r="3284" spans="1:16" ht="9.75" customHeight="1">
      <c r="A3284" s="28"/>
      <c r="B3284" s="31" t="s">
        <v>37</v>
      </c>
      <c r="C3284" s="31"/>
      <c r="D3284" s="30"/>
      <c r="E3284" s="30"/>
      <c r="F3284" s="30"/>
      <c r="G3284" s="30"/>
      <c r="H3284" s="30"/>
      <c r="I3284" s="30"/>
      <c r="J3284" s="30"/>
      <c r="K3284" s="30"/>
      <c r="L3284" s="30"/>
      <c r="M3284" s="31"/>
      <c r="N3284" s="30"/>
      <c r="O3284" s="30"/>
      <c r="P3284" s="198"/>
    </row>
    <row r="3285" spans="1:16" ht="9.75" customHeight="1">
      <c r="A3285" s="89"/>
      <c r="B3285" s="46" t="s">
        <v>38</v>
      </c>
      <c r="C3285" s="199">
        <f t="shared" ref="C3285:M3285" si="601">SUM(C3269:C3284)</f>
        <v>7</v>
      </c>
      <c r="D3285" s="200">
        <f t="shared" si="601"/>
        <v>2</v>
      </c>
      <c r="E3285" s="200">
        <f t="shared" si="601"/>
        <v>3</v>
      </c>
      <c r="F3285" s="200">
        <f t="shared" si="601"/>
        <v>2</v>
      </c>
      <c r="G3285" s="200">
        <f t="shared" si="601"/>
        <v>2</v>
      </c>
      <c r="H3285" s="200">
        <f t="shared" si="601"/>
        <v>2</v>
      </c>
      <c r="I3285" s="200">
        <f t="shared" si="601"/>
        <v>2</v>
      </c>
      <c r="J3285" s="200">
        <f t="shared" si="601"/>
        <v>1</v>
      </c>
      <c r="K3285" s="200">
        <f t="shared" si="601"/>
        <v>1</v>
      </c>
      <c r="L3285" s="200">
        <f t="shared" si="601"/>
        <v>1</v>
      </c>
      <c r="M3285" s="199">
        <f t="shared" si="601"/>
        <v>1</v>
      </c>
      <c r="N3285" s="200">
        <f>MIN(D3285:M3285)</f>
        <v>1</v>
      </c>
      <c r="O3285" s="200">
        <f>C3285-N3285</f>
        <v>6</v>
      </c>
      <c r="P3285" s="201">
        <f>O3285/C3285</f>
        <v>0.8571428571428571</v>
      </c>
    </row>
    <row r="3286" spans="1:16" ht="9.75" customHeight="1">
      <c r="A3286" s="28" t="s">
        <v>417</v>
      </c>
      <c r="B3286" s="25" t="s">
        <v>23</v>
      </c>
      <c r="C3286" s="25"/>
      <c r="D3286" s="23"/>
      <c r="E3286" s="23"/>
      <c r="F3286" s="23"/>
      <c r="G3286" s="23"/>
      <c r="H3286" s="23"/>
      <c r="I3286" s="23"/>
      <c r="J3286" s="23"/>
      <c r="K3286" s="23"/>
      <c r="L3286" s="23"/>
      <c r="M3286" s="25"/>
      <c r="N3286" s="23"/>
      <c r="O3286" s="23"/>
      <c r="P3286" s="24"/>
    </row>
    <row r="3287" spans="1:16" ht="9.75" customHeight="1">
      <c r="A3287" s="57"/>
      <c r="B3287" s="25" t="s">
        <v>25</v>
      </c>
      <c r="C3287" s="87">
        <v>118</v>
      </c>
      <c r="D3287" s="52">
        <f>C3287-35</f>
        <v>83</v>
      </c>
      <c r="E3287" s="52">
        <f>C3287-44</f>
        <v>74</v>
      </c>
      <c r="F3287" s="52">
        <f>C3287-45</f>
        <v>73</v>
      </c>
      <c r="G3287" s="52">
        <f>C3287-45</f>
        <v>73</v>
      </c>
      <c r="H3287" s="52">
        <f>C3287-45</f>
        <v>73</v>
      </c>
      <c r="I3287" s="52">
        <f>C3287-50</f>
        <v>68</v>
      </c>
      <c r="J3287" s="52">
        <f>C3287-57</f>
        <v>61</v>
      </c>
      <c r="K3287" s="52">
        <f>C3287-54</f>
        <v>64</v>
      </c>
      <c r="L3287" s="52">
        <f>C3287-40</f>
        <v>78</v>
      </c>
      <c r="M3287" s="87">
        <f>C3287-34</f>
        <v>84</v>
      </c>
      <c r="N3287" s="52">
        <f>MIN(D3287:M3287)</f>
        <v>61</v>
      </c>
      <c r="O3287" s="52">
        <f>C3287-N3287</f>
        <v>57</v>
      </c>
      <c r="P3287" s="54">
        <f>O3287/C3287</f>
        <v>0.48305084745762711</v>
      </c>
    </row>
    <row r="3288" spans="1:16" ht="9.75" customHeight="1">
      <c r="A3288" s="57"/>
      <c r="B3288" s="25" t="s">
        <v>27</v>
      </c>
      <c r="C3288" s="25"/>
      <c r="D3288" s="23"/>
      <c r="E3288" s="23"/>
      <c r="F3288" s="23"/>
      <c r="G3288" s="23"/>
      <c r="H3288" s="23"/>
      <c r="I3288" s="23"/>
      <c r="J3288" s="23"/>
      <c r="K3288" s="23"/>
      <c r="L3288" s="23"/>
      <c r="M3288" s="25"/>
      <c r="N3288" s="23"/>
      <c r="O3288" s="23"/>
      <c r="P3288" s="24"/>
    </row>
    <row r="3289" spans="1:16" ht="9.75" customHeight="1">
      <c r="A3289" s="57"/>
      <c r="B3289" s="25" t="s">
        <v>99</v>
      </c>
      <c r="C3289" s="25"/>
      <c r="D3289" s="23"/>
      <c r="E3289" s="23"/>
      <c r="F3289" s="23"/>
      <c r="G3289" s="23"/>
      <c r="H3289" s="23"/>
      <c r="I3289" s="23"/>
      <c r="J3289" s="23"/>
      <c r="K3289" s="23"/>
      <c r="L3289" s="23"/>
      <c r="M3289" s="25"/>
      <c r="N3289" s="23"/>
      <c r="O3289" s="23"/>
      <c r="P3289" s="24"/>
    </row>
    <row r="3290" spans="1:16" ht="9.75" customHeight="1">
      <c r="A3290" s="28"/>
      <c r="B3290" s="25" t="s">
        <v>99</v>
      </c>
      <c r="C3290" s="25"/>
      <c r="D3290" s="23"/>
      <c r="E3290" s="23"/>
      <c r="F3290" s="23"/>
      <c r="G3290" s="23"/>
      <c r="H3290" s="23"/>
      <c r="I3290" s="23"/>
      <c r="J3290" s="23"/>
      <c r="K3290" s="23"/>
      <c r="L3290" s="23"/>
      <c r="M3290" s="25"/>
      <c r="N3290" s="23"/>
      <c r="O3290" s="23"/>
      <c r="P3290" s="24"/>
    </row>
    <row r="3291" spans="1:16" ht="9.75" customHeight="1">
      <c r="A3291" s="28"/>
      <c r="B3291" s="25" t="s">
        <v>32</v>
      </c>
      <c r="C3291" s="25"/>
      <c r="D3291" s="23"/>
      <c r="E3291" s="23"/>
      <c r="F3291" s="23"/>
      <c r="G3291" s="23"/>
      <c r="H3291" s="23"/>
      <c r="I3291" s="23"/>
      <c r="J3291" s="23"/>
      <c r="K3291" s="23"/>
      <c r="L3291" s="23"/>
      <c r="M3291" s="25"/>
      <c r="N3291" s="23"/>
      <c r="O3291" s="23"/>
      <c r="P3291" s="24"/>
    </row>
    <row r="3292" spans="1:16" ht="9.75" customHeight="1">
      <c r="A3292" s="28"/>
      <c r="B3292" s="25" t="s">
        <v>104</v>
      </c>
      <c r="C3292" s="25"/>
      <c r="D3292" s="23"/>
      <c r="E3292" s="23"/>
      <c r="F3292" s="23"/>
      <c r="G3292" s="23"/>
      <c r="H3292" s="23"/>
      <c r="I3292" s="23"/>
      <c r="J3292" s="23"/>
      <c r="K3292" s="23"/>
      <c r="L3292" s="23"/>
      <c r="M3292" s="25"/>
      <c r="N3292" s="23"/>
      <c r="O3292" s="23"/>
      <c r="P3292" s="24"/>
    </row>
    <row r="3293" spans="1:16" ht="9.75" customHeight="1">
      <c r="A3293" s="28"/>
      <c r="B3293" s="25" t="s">
        <v>104</v>
      </c>
      <c r="C3293" s="25"/>
      <c r="D3293" s="23"/>
      <c r="E3293" s="23"/>
      <c r="F3293" s="23"/>
      <c r="G3293" s="23"/>
      <c r="H3293" s="23"/>
      <c r="I3293" s="23"/>
      <c r="J3293" s="23"/>
      <c r="K3293" s="23"/>
      <c r="L3293" s="23"/>
      <c r="M3293" s="25"/>
      <c r="N3293" s="23"/>
      <c r="O3293" s="23"/>
      <c r="P3293" s="24"/>
    </row>
    <row r="3294" spans="1:16" ht="9.75" customHeight="1">
      <c r="A3294" s="28"/>
      <c r="B3294" s="25" t="s">
        <v>104</v>
      </c>
      <c r="C3294" s="25"/>
      <c r="D3294" s="23"/>
      <c r="E3294" s="23"/>
      <c r="F3294" s="23"/>
      <c r="G3294" s="23"/>
      <c r="H3294" s="23"/>
      <c r="I3294" s="23"/>
      <c r="J3294" s="23"/>
      <c r="K3294" s="23"/>
      <c r="L3294" s="23"/>
      <c r="M3294" s="25"/>
      <c r="N3294" s="23"/>
      <c r="O3294" s="23"/>
      <c r="P3294" s="24"/>
    </row>
    <row r="3295" spans="1:16" ht="9.75" customHeight="1">
      <c r="A3295" s="28"/>
      <c r="B3295" s="25" t="s">
        <v>104</v>
      </c>
      <c r="C3295" s="25"/>
      <c r="D3295" s="23"/>
      <c r="E3295" s="23"/>
      <c r="F3295" s="23"/>
      <c r="G3295" s="23"/>
      <c r="H3295" s="23"/>
      <c r="I3295" s="23"/>
      <c r="J3295" s="23"/>
      <c r="K3295" s="23"/>
      <c r="L3295" s="23"/>
      <c r="M3295" s="25"/>
      <c r="N3295" s="23"/>
      <c r="O3295" s="23"/>
      <c r="P3295" s="24"/>
    </row>
    <row r="3296" spans="1:16" ht="9.75" customHeight="1">
      <c r="A3296" s="28"/>
      <c r="B3296" s="25" t="s">
        <v>104</v>
      </c>
      <c r="C3296" s="25"/>
      <c r="D3296" s="23"/>
      <c r="E3296" s="23"/>
      <c r="F3296" s="23"/>
      <c r="G3296" s="23"/>
      <c r="H3296" s="23"/>
      <c r="I3296" s="23"/>
      <c r="J3296" s="23"/>
      <c r="K3296" s="23"/>
      <c r="L3296" s="23"/>
      <c r="M3296" s="25"/>
      <c r="N3296" s="23"/>
      <c r="O3296" s="23"/>
      <c r="P3296" s="24"/>
    </row>
    <row r="3297" spans="1:16" ht="9.75" customHeight="1">
      <c r="A3297" s="28"/>
      <c r="B3297" s="25" t="s">
        <v>104</v>
      </c>
      <c r="C3297" s="25"/>
      <c r="D3297" s="23"/>
      <c r="E3297" s="23"/>
      <c r="F3297" s="23"/>
      <c r="G3297" s="23"/>
      <c r="H3297" s="23"/>
      <c r="I3297" s="23"/>
      <c r="J3297" s="23"/>
      <c r="K3297" s="23"/>
      <c r="L3297" s="23"/>
      <c r="M3297" s="25"/>
      <c r="N3297" s="23"/>
      <c r="O3297" s="23"/>
      <c r="P3297" s="24"/>
    </row>
    <row r="3298" spans="1:16" ht="9.75" customHeight="1">
      <c r="A3298" s="28"/>
      <c r="B3298" s="25" t="s">
        <v>34</v>
      </c>
      <c r="C3298" s="25"/>
      <c r="D3298" s="23"/>
      <c r="E3298" s="23"/>
      <c r="F3298" s="23"/>
      <c r="G3298" s="23"/>
      <c r="H3298" s="23"/>
      <c r="I3298" s="23"/>
      <c r="J3298" s="23"/>
      <c r="K3298" s="23"/>
      <c r="L3298" s="23"/>
      <c r="M3298" s="25"/>
      <c r="N3298" s="23"/>
      <c r="O3298" s="23"/>
      <c r="P3298" s="24"/>
    </row>
    <row r="3299" spans="1:16" ht="9.75" customHeight="1">
      <c r="A3299" s="28"/>
      <c r="B3299" s="25" t="s">
        <v>35</v>
      </c>
      <c r="C3299" s="25"/>
      <c r="D3299" s="23"/>
      <c r="E3299" s="23"/>
      <c r="F3299" s="23"/>
      <c r="G3299" s="23"/>
      <c r="H3299" s="23"/>
      <c r="I3299" s="23"/>
      <c r="J3299" s="23"/>
      <c r="K3299" s="23"/>
      <c r="L3299" s="23"/>
      <c r="M3299" s="25"/>
      <c r="N3299" s="23"/>
      <c r="O3299" s="23"/>
      <c r="P3299" s="24"/>
    </row>
    <row r="3300" spans="1:16" ht="9.75" customHeight="1">
      <c r="A3300" s="28"/>
      <c r="B3300" s="25" t="s">
        <v>36</v>
      </c>
      <c r="C3300" s="25"/>
      <c r="D3300" s="23"/>
      <c r="E3300" s="23"/>
      <c r="F3300" s="23"/>
      <c r="G3300" s="23"/>
      <c r="H3300" s="23"/>
      <c r="I3300" s="23"/>
      <c r="J3300" s="23"/>
      <c r="K3300" s="23"/>
      <c r="L3300" s="23"/>
      <c r="M3300" s="25"/>
      <c r="N3300" s="23"/>
      <c r="O3300" s="23"/>
      <c r="P3300" s="24"/>
    </row>
    <row r="3301" spans="1:16" ht="9.75" customHeight="1">
      <c r="A3301" s="28"/>
      <c r="B3301" s="31" t="s">
        <v>37</v>
      </c>
      <c r="C3301" s="31"/>
      <c r="D3301" s="30"/>
      <c r="E3301" s="30"/>
      <c r="F3301" s="30"/>
      <c r="G3301" s="30"/>
      <c r="H3301" s="30"/>
      <c r="I3301" s="30"/>
      <c r="J3301" s="30"/>
      <c r="K3301" s="30"/>
      <c r="L3301" s="30"/>
      <c r="M3301" s="31"/>
      <c r="N3301" s="30"/>
      <c r="O3301" s="30"/>
      <c r="P3301" s="198"/>
    </row>
    <row r="3302" spans="1:16" ht="9.75" customHeight="1">
      <c r="A3302" s="89"/>
      <c r="B3302" s="46" t="s">
        <v>38</v>
      </c>
      <c r="C3302" s="199">
        <f t="shared" ref="C3302:M3302" si="602">SUM(C3286:C3301)</f>
        <v>118</v>
      </c>
      <c r="D3302" s="200">
        <f t="shared" si="602"/>
        <v>83</v>
      </c>
      <c r="E3302" s="200">
        <f t="shared" si="602"/>
        <v>74</v>
      </c>
      <c r="F3302" s="200">
        <f t="shared" si="602"/>
        <v>73</v>
      </c>
      <c r="G3302" s="200">
        <f t="shared" si="602"/>
        <v>73</v>
      </c>
      <c r="H3302" s="200">
        <f t="shared" si="602"/>
        <v>73</v>
      </c>
      <c r="I3302" s="200">
        <f t="shared" si="602"/>
        <v>68</v>
      </c>
      <c r="J3302" s="200">
        <f t="shared" si="602"/>
        <v>61</v>
      </c>
      <c r="K3302" s="200">
        <f t="shared" si="602"/>
        <v>64</v>
      </c>
      <c r="L3302" s="200">
        <f t="shared" si="602"/>
        <v>78</v>
      </c>
      <c r="M3302" s="199">
        <f t="shared" si="602"/>
        <v>84</v>
      </c>
      <c r="N3302" s="200">
        <f>MIN(D3302:M3302)</f>
        <v>61</v>
      </c>
      <c r="O3302" s="200">
        <f>C3302-N3302</f>
        <v>57</v>
      </c>
      <c r="P3302" s="201">
        <f>O3302/C3302</f>
        <v>0.48305084745762711</v>
      </c>
    </row>
    <row r="3303" spans="1:16" ht="9.75" customHeight="1">
      <c r="A3303" s="28" t="s">
        <v>418</v>
      </c>
      <c r="B3303" s="25" t="s">
        <v>23</v>
      </c>
      <c r="C3303" s="25"/>
      <c r="D3303" s="23"/>
      <c r="E3303" s="23"/>
      <c r="F3303" s="23"/>
      <c r="G3303" s="23"/>
      <c r="H3303" s="23"/>
      <c r="I3303" s="23"/>
      <c r="J3303" s="23"/>
      <c r="K3303" s="23"/>
      <c r="L3303" s="23"/>
      <c r="M3303" s="25"/>
      <c r="N3303" s="23"/>
      <c r="O3303" s="23"/>
      <c r="P3303" s="24"/>
    </row>
    <row r="3304" spans="1:16" ht="9.75" customHeight="1">
      <c r="A3304" s="57"/>
      <c r="B3304" s="25" t="s">
        <v>25</v>
      </c>
      <c r="C3304" s="87">
        <v>60</v>
      </c>
      <c r="D3304" s="52">
        <f>C3304-8</f>
        <v>52</v>
      </c>
      <c r="E3304" s="137">
        <v>52</v>
      </c>
      <c r="F3304" s="52">
        <f>C3304-10</f>
        <v>50</v>
      </c>
      <c r="G3304" s="52">
        <f>C3304-12</f>
        <v>48</v>
      </c>
      <c r="H3304" s="52">
        <f>C3304-12</f>
        <v>48</v>
      </c>
      <c r="I3304" s="137">
        <v>0</v>
      </c>
      <c r="J3304" s="137">
        <v>0</v>
      </c>
      <c r="K3304" s="137">
        <v>8</v>
      </c>
      <c r="L3304" s="137">
        <v>8</v>
      </c>
      <c r="M3304" s="138">
        <v>12</v>
      </c>
      <c r="N3304" s="52">
        <f>MIN(D3304:M3304)</f>
        <v>0</v>
      </c>
      <c r="O3304" s="52">
        <f>C3304-N3304</f>
        <v>60</v>
      </c>
      <c r="P3304" s="54">
        <f>O3304/C3304</f>
        <v>1</v>
      </c>
    </row>
    <row r="3305" spans="1:16" ht="9.75" customHeight="1">
      <c r="A3305" s="57"/>
      <c r="B3305" s="25" t="s">
        <v>27</v>
      </c>
      <c r="C3305" s="25"/>
      <c r="D3305" s="23"/>
      <c r="E3305" s="23"/>
      <c r="F3305" s="23"/>
      <c r="G3305" s="23"/>
      <c r="H3305" s="23"/>
      <c r="I3305" s="23"/>
      <c r="J3305" s="23"/>
      <c r="K3305" s="23"/>
      <c r="L3305" s="23"/>
      <c r="M3305" s="25"/>
      <c r="N3305" s="23"/>
      <c r="O3305" s="23"/>
      <c r="P3305" s="24"/>
    </row>
    <row r="3306" spans="1:16" ht="9.75" customHeight="1">
      <c r="A3306" s="57"/>
      <c r="B3306" s="25" t="s">
        <v>99</v>
      </c>
      <c r="C3306" s="25"/>
      <c r="D3306" s="23"/>
      <c r="E3306" s="23"/>
      <c r="F3306" s="23"/>
      <c r="G3306" s="23"/>
      <c r="H3306" s="23"/>
      <c r="I3306" s="23"/>
      <c r="J3306" s="23"/>
      <c r="K3306" s="23"/>
      <c r="L3306" s="23"/>
      <c r="M3306" s="25"/>
      <c r="N3306" s="23"/>
      <c r="O3306" s="23"/>
      <c r="P3306" s="24"/>
    </row>
    <row r="3307" spans="1:16" ht="9.75" customHeight="1">
      <c r="A3307" s="28"/>
      <c r="B3307" s="25" t="s">
        <v>99</v>
      </c>
      <c r="C3307" s="25"/>
      <c r="D3307" s="23"/>
      <c r="E3307" s="23"/>
      <c r="F3307" s="23"/>
      <c r="G3307" s="23"/>
      <c r="H3307" s="23"/>
      <c r="I3307" s="23"/>
      <c r="J3307" s="23"/>
      <c r="K3307" s="23"/>
      <c r="L3307" s="23"/>
      <c r="M3307" s="25"/>
      <c r="N3307" s="23"/>
      <c r="O3307" s="23"/>
      <c r="P3307" s="24"/>
    </row>
    <row r="3308" spans="1:16" ht="9.75" customHeight="1">
      <c r="A3308" s="28"/>
      <c r="B3308" s="25" t="s">
        <v>32</v>
      </c>
      <c r="C3308" s="25"/>
      <c r="D3308" s="23"/>
      <c r="E3308" s="23"/>
      <c r="F3308" s="23"/>
      <c r="G3308" s="23"/>
      <c r="H3308" s="23"/>
      <c r="I3308" s="23"/>
      <c r="J3308" s="23"/>
      <c r="K3308" s="23"/>
      <c r="L3308" s="23"/>
      <c r="M3308" s="25"/>
      <c r="N3308" s="23"/>
      <c r="O3308" s="23"/>
      <c r="P3308" s="24"/>
    </row>
    <row r="3309" spans="1:16" ht="9.75" customHeight="1">
      <c r="A3309" s="28"/>
      <c r="B3309" s="25" t="s">
        <v>104</v>
      </c>
      <c r="C3309" s="25"/>
      <c r="D3309" s="23"/>
      <c r="E3309" s="23"/>
      <c r="F3309" s="23"/>
      <c r="G3309" s="23"/>
      <c r="H3309" s="23"/>
      <c r="I3309" s="23"/>
      <c r="J3309" s="23"/>
      <c r="K3309" s="23"/>
      <c r="L3309" s="23"/>
      <c r="M3309" s="25"/>
      <c r="N3309" s="23"/>
      <c r="O3309" s="23"/>
      <c r="P3309" s="24"/>
    </row>
    <row r="3310" spans="1:16" ht="9.75" customHeight="1">
      <c r="A3310" s="28"/>
      <c r="B3310" s="25" t="s">
        <v>104</v>
      </c>
      <c r="C3310" s="25"/>
      <c r="D3310" s="23"/>
      <c r="E3310" s="23"/>
      <c r="F3310" s="23"/>
      <c r="G3310" s="23"/>
      <c r="H3310" s="23"/>
      <c r="I3310" s="23"/>
      <c r="J3310" s="23"/>
      <c r="K3310" s="23"/>
      <c r="L3310" s="23"/>
      <c r="M3310" s="25"/>
      <c r="N3310" s="23"/>
      <c r="O3310" s="23"/>
      <c r="P3310" s="24"/>
    </row>
    <row r="3311" spans="1:16" ht="9.75" customHeight="1">
      <c r="A3311" s="28"/>
      <c r="B3311" s="25" t="s">
        <v>104</v>
      </c>
      <c r="C3311" s="25"/>
      <c r="D3311" s="23"/>
      <c r="E3311" s="23"/>
      <c r="F3311" s="23"/>
      <c r="G3311" s="23"/>
      <c r="H3311" s="23"/>
      <c r="I3311" s="23"/>
      <c r="J3311" s="23"/>
      <c r="K3311" s="23"/>
      <c r="L3311" s="23"/>
      <c r="M3311" s="25"/>
      <c r="N3311" s="23"/>
      <c r="O3311" s="23"/>
      <c r="P3311" s="24"/>
    </row>
    <row r="3312" spans="1:16" ht="9.75" customHeight="1">
      <c r="A3312" s="28"/>
      <c r="B3312" s="25" t="s">
        <v>104</v>
      </c>
      <c r="C3312" s="25"/>
      <c r="D3312" s="23"/>
      <c r="E3312" s="23"/>
      <c r="F3312" s="23"/>
      <c r="G3312" s="23"/>
      <c r="H3312" s="23"/>
      <c r="I3312" s="23"/>
      <c r="J3312" s="23"/>
      <c r="K3312" s="23"/>
      <c r="L3312" s="23"/>
      <c r="M3312" s="25"/>
      <c r="N3312" s="23"/>
      <c r="O3312" s="23"/>
      <c r="P3312" s="24"/>
    </row>
    <row r="3313" spans="1:16" ht="9.75" customHeight="1">
      <c r="A3313" s="28"/>
      <c r="B3313" s="25" t="s">
        <v>104</v>
      </c>
      <c r="C3313" s="25"/>
      <c r="D3313" s="23"/>
      <c r="E3313" s="23"/>
      <c r="F3313" s="23"/>
      <c r="G3313" s="23"/>
      <c r="H3313" s="23"/>
      <c r="I3313" s="23"/>
      <c r="J3313" s="23"/>
      <c r="K3313" s="23"/>
      <c r="L3313" s="23"/>
      <c r="M3313" s="25"/>
      <c r="N3313" s="23"/>
      <c r="O3313" s="23"/>
      <c r="P3313" s="24"/>
    </row>
    <row r="3314" spans="1:16" ht="9.75" customHeight="1">
      <c r="A3314" s="28"/>
      <c r="B3314" s="25" t="s">
        <v>104</v>
      </c>
      <c r="C3314" s="25"/>
      <c r="D3314" s="23"/>
      <c r="E3314" s="23"/>
      <c r="F3314" s="23"/>
      <c r="G3314" s="23"/>
      <c r="H3314" s="23"/>
      <c r="I3314" s="23"/>
      <c r="J3314" s="23"/>
      <c r="K3314" s="23"/>
      <c r="L3314" s="23"/>
      <c r="M3314" s="25"/>
      <c r="N3314" s="23"/>
      <c r="O3314" s="23"/>
      <c r="P3314" s="24"/>
    </row>
    <row r="3315" spans="1:16" ht="9.75" customHeight="1">
      <c r="A3315" s="28"/>
      <c r="B3315" s="25" t="s">
        <v>34</v>
      </c>
      <c r="C3315" s="25"/>
      <c r="D3315" s="23"/>
      <c r="E3315" s="23"/>
      <c r="F3315" s="23"/>
      <c r="G3315" s="23"/>
      <c r="H3315" s="23"/>
      <c r="I3315" s="23"/>
      <c r="J3315" s="23"/>
      <c r="K3315" s="23"/>
      <c r="L3315" s="23"/>
      <c r="M3315" s="25"/>
      <c r="N3315" s="23"/>
      <c r="O3315" s="23"/>
      <c r="P3315" s="24"/>
    </row>
    <row r="3316" spans="1:16" ht="9.75" customHeight="1">
      <c r="A3316" s="28"/>
      <c r="B3316" s="25" t="s">
        <v>35</v>
      </c>
      <c r="C3316" s="25"/>
      <c r="D3316" s="23"/>
      <c r="E3316" s="23"/>
      <c r="F3316" s="23"/>
      <c r="G3316" s="23"/>
      <c r="H3316" s="23"/>
      <c r="I3316" s="23"/>
      <c r="J3316" s="23"/>
      <c r="K3316" s="23"/>
      <c r="L3316" s="23"/>
      <c r="M3316" s="25"/>
      <c r="N3316" s="23"/>
      <c r="O3316" s="23"/>
      <c r="P3316" s="24"/>
    </row>
    <row r="3317" spans="1:16" ht="9.75" customHeight="1">
      <c r="A3317" s="28"/>
      <c r="B3317" s="25" t="s">
        <v>36</v>
      </c>
      <c r="C3317" s="25"/>
      <c r="D3317" s="23"/>
      <c r="E3317" s="23"/>
      <c r="F3317" s="23"/>
      <c r="G3317" s="23"/>
      <c r="H3317" s="23"/>
      <c r="I3317" s="23"/>
      <c r="J3317" s="23"/>
      <c r="K3317" s="23"/>
      <c r="L3317" s="23"/>
      <c r="M3317" s="25"/>
      <c r="N3317" s="23"/>
      <c r="O3317" s="23"/>
      <c r="P3317" s="24"/>
    </row>
    <row r="3318" spans="1:16" ht="9.75" customHeight="1">
      <c r="A3318" s="28"/>
      <c r="B3318" s="31" t="s">
        <v>37</v>
      </c>
      <c r="C3318" s="31"/>
      <c r="D3318" s="30"/>
      <c r="E3318" s="30"/>
      <c r="F3318" s="30"/>
      <c r="G3318" s="30"/>
      <c r="H3318" s="30"/>
      <c r="I3318" s="30"/>
      <c r="J3318" s="30"/>
      <c r="K3318" s="30"/>
      <c r="L3318" s="30"/>
      <c r="M3318" s="31"/>
      <c r="N3318" s="30"/>
      <c r="O3318" s="30"/>
      <c r="P3318" s="198"/>
    </row>
    <row r="3319" spans="1:16" ht="9.75" customHeight="1">
      <c r="A3319" s="89"/>
      <c r="B3319" s="46" t="s">
        <v>38</v>
      </c>
      <c r="C3319" s="199">
        <f t="shared" ref="C3319:M3319" si="603">SUM(C3303:C3318)</f>
        <v>60</v>
      </c>
      <c r="D3319" s="200">
        <f t="shared" si="603"/>
        <v>52</v>
      </c>
      <c r="E3319" s="200">
        <f t="shared" si="603"/>
        <v>52</v>
      </c>
      <c r="F3319" s="200">
        <f t="shared" si="603"/>
        <v>50</v>
      </c>
      <c r="G3319" s="200">
        <f t="shared" si="603"/>
        <v>48</v>
      </c>
      <c r="H3319" s="200">
        <f t="shared" si="603"/>
        <v>48</v>
      </c>
      <c r="I3319" s="200">
        <f t="shared" si="603"/>
        <v>0</v>
      </c>
      <c r="J3319" s="200">
        <f t="shared" si="603"/>
        <v>0</v>
      </c>
      <c r="K3319" s="200">
        <f t="shared" si="603"/>
        <v>8</v>
      </c>
      <c r="L3319" s="200">
        <f t="shared" si="603"/>
        <v>8</v>
      </c>
      <c r="M3319" s="199">
        <f t="shared" si="603"/>
        <v>12</v>
      </c>
      <c r="N3319" s="200">
        <f>MIN(D3319:M3319)</f>
        <v>0</v>
      </c>
      <c r="O3319" s="200">
        <f>C3319-N3319</f>
        <v>60</v>
      </c>
      <c r="P3319" s="201">
        <f>O3319/C3319</f>
        <v>1</v>
      </c>
    </row>
    <row r="3320" spans="1:16" ht="9.75" customHeight="1">
      <c r="A3320" s="28" t="s">
        <v>419</v>
      </c>
      <c r="B3320" s="25" t="s">
        <v>23</v>
      </c>
      <c r="C3320" s="25"/>
      <c r="D3320" s="23"/>
      <c r="E3320" s="23"/>
      <c r="F3320" s="23"/>
      <c r="G3320" s="23"/>
      <c r="H3320" s="23"/>
      <c r="I3320" s="23"/>
      <c r="J3320" s="23"/>
      <c r="K3320" s="23"/>
      <c r="L3320" s="23"/>
      <c r="M3320" s="25"/>
      <c r="N3320" s="23"/>
      <c r="O3320" s="23"/>
      <c r="P3320" s="24"/>
    </row>
    <row r="3321" spans="1:16" ht="9.75" customHeight="1">
      <c r="A3321" s="57" t="s">
        <v>241</v>
      </c>
      <c r="B3321" s="25" t="s">
        <v>25</v>
      </c>
      <c r="C3321" s="25"/>
      <c r="D3321" s="23"/>
      <c r="E3321" s="23"/>
      <c r="F3321" s="23"/>
      <c r="G3321" s="23"/>
      <c r="H3321" s="23"/>
      <c r="I3321" s="23"/>
      <c r="J3321" s="23"/>
      <c r="K3321" s="23"/>
      <c r="L3321" s="23"/>
      <c r="M3321" s="25"/>
      <c r="N3321" s="23"/>
      <c r="O3321" s="23"/>
      <c r="P3321" s="24"/>
    </row>
    <row r="3322" spans="1:16" ht="9.75" customHeight="1">
      <c r="A3322" s="217" t="s">
        <v>420</v>
      </c>
      <c r="B3322" s="25" t="s">
        <v>27</v>
      </c>
      <c r="C3322" s="25"/>
      <c r="D3322" s="23"/>
      <c r="E3322" s="23"/>
      <c r="F3322" s="23"/>
      <c r="G3322" s="23"/>
      <c r="H3322" s="23"/>
      <c r="I3322" s="23"/>
      <c r="J3322" s="23"/>
      <c r="K3322" s="23"/>
      <c r="L3322" s="23"/>
      <c r="M3322" s="25"/>
      <c r="N3322" s="23"/>
      <c r="O3322" s="23"/>
      <c r="P3322" s="24"/>
    </row>
    <row r="3323" spans="1:16" ht="9.75" customHeight="1">
      <c r="A3323" s="217" t="s">
        <v>421</v>
      </c>
      <c r="B3323" s="25" t="s">
        <v>227</v>
      </c>
      <c r="C3323" s="87"/>
      <c r="D3323" s="52"/>
      <c r="E3323" s="52"/>
      <c r="F3323" s="52"/>
      <c r="G3323" s="52"/>
      <c r="H3323" s="52"/>
      <c r="I3323" s="52"/>
      <c r="J3323" s="52"/>
      <c r="K3323" s="52"/>
      <c r="L3323" s="52"/>
      <c r="M3323" s="87"/>
      <c r="N3323" s="52"/>
      <c r="O3323" s="52"/>
      <c r="P3323" s="54"/>
    </row>
    <row r="3324" spans="1:16" ht="9.75" customHeight="1">
      <c r="A3324" s="218" t="s">
        <v>422</v>
      </c>
      <c r="B3324" s="25" t="s">
        <v>99</v>
      </c>
      <c r="C3324" s="25"/>
      <c r="D3324" s="23"/>
      <c r="E3324" s="23"/>
      <c r="F3324" s="23"/>
      <c r="G3324" s="23"/>
      <c r="H3324" s="23"/>
      <c r="I3324" s="23"/>
      <c r="J3324" s="23"/>
      <c r="K3324" s="23"/>
      <c r="L3324" s="23"/>
      <c r="M3324" s="25"/>
      <c r="N3324" s="23"/>
      <c r="O3324" s="23"/>
      <c r="P3324" s="24"/>
    </row>
    <row r="3325" spans="1:16" ht="9.75" customHeight="1">
      <c r="A3325" s="28"/>
      <c r="B3325" s="25" t="s">
        <v>32</v>
      </c>
      <c r="C3325" s="25"/>
      <c r="D3325" s="23"/>
      <c r="E3325" s="23"/>
      <c r="F3325" s="23"/>
      <c r="G3325" s="23"/>
      <c r="H3325" s="23"/>
      <c r="I3325" s="23"/>
      <c r="J3325" s="23"/>
      <c r="K3325" s="23"/>
      <c r="L3325" s="23"/>
      <c r="M3325" s="25"/>
      <c r="N3325" s="23"/>
      <c r="O3325" s="23"/>
      <c r="P3325" s="24"/>
    </row>
    <row r="3326" spans="1:16" ht="9.75" customHeight="1">
      <c r="A3326" s="28"/>
      <c r="B3326" s="25" t="s">
        <v>378</v>
      </c>
      <c r="C3326" s="87"/>
      <c r="D3326" s="52"/>
      <c r="E3326" s="52"/>
      <c r="F3326" s="52"/>
      <c r="G3326" s="52"/>
      <c r="H3326" s="52"/>
      <c r="I3326" s="52"/>
      <c r="J3326" s="52"/>
      <c r="K3326" s="52"/>
      <c r="L3326" s="52"/>
      <c r="M3326" s="87"/>
      <c r="N3326" s="52"/>
      <c r="O3326" s="52"/>
      <c r="P3326" s="54"/>
    </row>
    <row r="3327" spans="1:16" ht="9.75" customHeight="1">
      <c r="A3327" s="28"/>
      <c r="B3327" s="25" t="s">
        <v>104</v>
      </c>
      <c r="C3327" s="25"/>
      <c r="D3327" s="23"/>
      <c r="E3327" s="23"/>
      <c r="F3327" s="23"/>
      <c r="G3327" s="23"/>
      <c r="H3327" s="23"/>
      <c r="I3327" s="23"/>
      <c r="J3327" s="23"/>
      <c r="K3327" s="23"/>
      <c r="L3327" s="23"/>
      <c r="M3327" s="25"/>
      <c r="N3327" s="23"/>
      <c r="O3327" s="23"/>
      <c r="P3327" s="24"/>
    </row>
    <row r="3328" spans="1:16" ht="9.75" customHeight="1">
      <c r="A3328" s="28"/>
      <c r="B3328" s="25" t="s">
        <v>104</v>
      </c>
      <c r="C3328" s="25"/>
      <c r="D3328" s="23"/>
      <c r="E3328" s="23"/>
      <c r="F3328" s="23"/>
      <c r="G3328" s="23"/>
      <c r="H3328" s="23"/>
      <c r="I3328" s="23"/>
      <c r="J3328" s="23"/>
      <c r="K3328" s="23"/>
      <c r="L3328" s="23"/>
      <c r="M3328" s="25"/>
      <c r="N3328" s="23"/>
      <c r="O3328" s="23"/>
      <c r="P3328" s="24"/>
    </row>
    <row r="3329" spans="1:16" ht="9.75" customHeight="1">
      <c r="A3329" s="28"/>
      <c r="B3329" s="25" t="s">
        <v>104</v>
      </c>
      <c r="C3329" s="25"/>
      <c r="D3329" s="23"/>
      <c r="E3329" s="23"/>
      <c r="F3329" s="23"/>
      <c r="G3329" s="23"/>
      <c r="H3329" s="23"/>
      <c r="I3329" s="23"/>
      <c r="J3329" s="23"/>
      <c r="K3329" s="23"/>
      <c r="L3329" s="23"/>
      <c r="M3329" s="25"/>
      <c r="N3329" s="23"/>
      <c r="O3329" s="23"/>
      <c r="P3329" s="24"/>
    </row>
    <row r="3330" spans="1:16" ht="9.75" customHeight="1">
      <c r="A3330" s="28"/>
      <c r="B3330" s="25" t="s">
        <v>104</v>
      </c>
      <c r="C3330" s="25"/>
      <c r="D3330" s="23"/>
      <c r="E3330" s="23"/>
      <c r="F3330" s="23"/>
      <c r="G3330" s="23"/>
      <c r="H3330" s="23"/>
      <c r="I3330" s="23"/>
      <c r="J3330" s="23"/>
      <c r="K3330" s="23"/>
      <c r="L3330" s="23"/>
      <c r="M3330" s="25"/>
      <c r="N3330" s="23"/>
      <c r="O3330" s="23"/>
      <c r="P3330" s="24"/>
    </row>
    <row r="3331" spans="1:16" ht="9.75" customHeight="1">
      <c r="A3331" s="28"/>
      <c r="B3331" s="25" t="s">
        <v>104</v>
      </c>
      <c r="C3331" s="25"/>
      <c r="D3331" s="23"/>
      <c r="E3331" s="23"/>
      <c r="F3331" s="23"/>
      <c r="G3331" s="23"/>
      <c r="H3331" s="23"/>
      <c r="I3331" s="23"/>
      <c r="J3331" s="23"/>
      <c r="K3331" s="23"/>
      <c r="L3331" s="23"/>
      <c r="M3331" s="25"/>
      <c r="N3331" s="23"/>
      <c r="O3331" s="23"/>
      <c r="P3331" s="24"/>
    </row>
    <row r="3332" spans="1:16" ht="9.75" customHeight="1">
      <c r="A3332" s="28"/>
      <c r="B3332" s="25" t="s">
        <v>34</v>
      </c>
      <c r="C3332" s="87"/>
      <c r="D3332" s="52"/>
      <c r="E3332" s="52"/>
      <c r="F3332" s="52"/>
      <c r="G3332" s="52"/>
      <c r="H3332" s="52"/>
      <c r="I3332" s="52"/>
      <c r="J3332" s="52"/>
      <c r="K3332" s="52"/>
      <c r="L3332" s="52"/>
      <c r="M3332" s="87"/>
      <c r="N3332" s="52"/>
      <c r="O3332" s="52"/>
      <c r="P3332" s="54"/>
    </row>
    <row r="3333" spans="1:16" ht="9.75" customHeight="1">
      <c r="A3333" s="28"/>
      <c r="B3333" s="25" t="s">
        <v>35</v>
      </c>
      <c r="C3333" s="25"/>
      <c r="D3333" s="23"/>
      <c r="E3333" s="23"/>
      <c r="F3333" s="23"/>
      <c r="G3333" s="23"/>
      <c r="H3333" s="23"/>
      <c r="I3333" s="23"/>
      <c r="J3333" s="23"/>
      <c r="K3333" s="23"/>
      <c r="L3333" s="23"/>
      <c r="M3333" s="25"/>
      <c r="N3333" s="23"/>
      <c r="O3333" s="23"/>
      <c r="P3333" s="24"/>
    </row>
    <row r="3334" spans="1:16" ht="9.75" customHeight="1">
      <c r="A3334" s="28"/>
      <c r="B3334" s="25" t="s">
        <v>36</v>
      </c>
      <c r="C3334" s="25"/>
      <c r="D3334" s="23"/>
      <c r="E3334" s="23"/>
      <c r="F3334" s="23"/>
      <c r="G3334" s="23"/>
      <c r="H3334" s="23"/>
      <c r="I3334" s="23"/>
      <c r="J3334" s="23"/>
      <c r="K3334" s="23"/>
      <c r="L3334" s="23"/>
      <c r="M3334" s="25"/>
      <c r="N3334" s="23"/>
      <c r="O3334" s="23"/>
      <c r="P3334" s="24"/>
    </row>
    <row r="3335" spans="1:16" ht="9.75" customHeight="1">
      <c r="A3335" s="28"/>
      <c r="B3335" s="31" t="s">
        <v>37</v>
      </c>
      <c r="C3335" s="31"/>
      <c r="D3335" s="30"/>
      <c r="E3335" s="30"/>
      <c r="F3335" s="30"/>
      <c r="G3335" s="30"/>
      <c r="H3335" s="30"/>
      <c r="I3335" s="30"/>
      <c r="J3335" s="30"/>
      <c r="K3335" s="30"/>
      <c r="L3335" s="30"/>
      <c r="M3335" s="31"/>
      <c r="N3335" s="30"/>
      <c r="O3335" s="30"/>
      <c r="P3335" s="198"/>
    </row>
    <row r="3336" spans="1:16" ht="9.75" customHeight="1">
      <c r="A3336" s="89"/>
      <c r="B3336" s="46" t="s">
        <v>38</v>
      </c>
      <c r="C3336" s="199">
        <f>SUM(C3320:C3335)</f>
        <v>0</v>
      </c>
      <c r="D3336" s="200"/>
      <c r="E3336" s="200"/>
      <c r="F3336" s="200"/>
      <c r="G3336" s="200"/>
      <c r="H3336" s="200"/>
      <c r="I3336" s="200"/>
      <c r="J3336" s="200"/>
      <c r="K3336" s="200"/>
      <c r="L3336" s="200"/>
      <c r="M3336" s="199"/>
      <c r="N3336" s="200"/>
      <c r="O3336" s="200"/>
      <c r="P3336" s="201"/>
    </row>
    <row r="3337" spans="1:16" ht="9.75" customHeight="1">
      <c r="A3337" s="219" t="s">
        <v>423</v>
      </c>
      <c r="B3337" s="220" t="s">
        <v>23</v>
      </c>
      <c r="C3337" s="220"/>
      <c r="D3337" s="221"/>
      <c r="E3337" s="221"/>
      <c r="F3337" s="221"/>
      <c r="G3337" s="221"/>
      <c r="H3337" s="221"/>
      <c r="I3337" s="221"/>
      <c r="J3337" s="221"/>
      <c r="K3337" s="221"/>
      <c r="L3337" s="221"/>
      <c r="M3337" s="220"/>
      <c r="N3337" s="221"/>
      <c r="O3337" s="221"/>
      <c r="P3337" s="109"/>
    </row>
    <row r="3338" spans="1:16" ht="9.75" customHeight="1">
      <c r="A3338" s="219" t="s">
        <v>241</v>
      </c>
      <c r="B3338" s="220" t="s">
        <v>25</v>
      </c>
      <c r="C3338" s="220"/>
      <c r="D3338" s="221"/>
      <c r="E3338" s="221"/>
      <c r="F3338" s="221"/>
      <c r="G3338" s="221"/>
      <c r="H3338" s="221"/>
      <c r="I3338" s="221"/>
      <c r="J3338" s="221"/>
      <c r="K3338" s="221"/>
      <c r="L3338" s="221"/>
      <c r="M3338" s="220"/>
      <c r="N3338" s="221"/>
      <c r="O3338" s="221"/>
      <c r="P3338" s="109"/>
    </row>
    <row r="3339" spans="1:16" ht="9.75" customHeight="1">
      <c r="A3339" s="219" t="s">
        <v>424</v>
      </c>
      <c r="B3339" s="220" t="s">
        <v>27</v>
      </c>
      <c r="C3339" s="220"/>
      <c r="D3339" s="221"/>
      <c r="E3339" s="221"/>
      <c r="F3339" s="221"/>
      <c r="G3339" s="221"/>
      <c r="H3339" s="221"/>
      <c r="I3339" s="221"/>
      <c r="J3339" s="221"/>
      <c r="K3339" s="221"/>
      <c r="L3339" s="221"/>
      <c r="M3339" s="220"/>
      <c r="N3339" s="221"/>
      <c r="O3339" s="221"/>
      <c r="P3339" s="109"/>
    </row>
    <row r="3340" spans="1:16" ht="9.75" customHeight="1">
      <c r="A3340" s="219" t="s">
        <v>425</v>
      </c>
      <c r="B3340" s="220" t="s">
        <v>99</v>
      </c>
      <c r="C3340" s="220"/>
      <c r="D3340" s="221"/>
      <c r="E3340" s="221"/>
      <c r="F3340" s="221"/>
      <c r="G3340" s="221"/>
      <c r="H3340" s="221"/>
      <c r="I3340" s="221"/>
      <c r="J3340" s="221"/>
      <c r="K3340" s="221"/>
      <c r="L3340" s="221"/>
      <c r="M3340" s="220"/>
      <c r="N3340" s="221"/>
      <c r="O3340" s="221"/>
      <c r="P3340" s="109"/>
    </row>
    <row r="3341" spans="1:16" ht="9.75" customHeight="1">
      <c r="A3341" s="219"/>
      <c r="B3341" s="220" t="s">
        <v>99</v>
      </c>
      <c r="C3341" s="220"/>
      <c r="D3341" s="221"/>
      <c r="E3341" s="221"/>
      <c r="F3341" s="221"/>
      <c r="G3341" s="221"/>
      <c r="H3341" s="221"/>
      <c r="I3341" s="221"/>
      <c r="J3341" s="221"/>
      <c r="K3341" s="221"/>
      <c r="L3341" s="221"/>
      <c r="M3341" s="220"/>
      <c r="N3341" s="221"/>
      <c r="O3341" s="221"/>
      <c r="P3341" s="109"/>
    </row>
    <row r="3342" spans="1:16" ht="9.75" customHeight="1">
      <c r="A3342" s="219"/>
      <c r="B3342" s="220" t="s">
        <v>32</v>
      </c>
      <c r="C3342" s="220"/>
      <c r="D3342" s="221"/>
      <c r="E3342" s="221"/>
      <c r="F3342" s="221"/>
      <c r="G3342" s="221"/>
      <c r="H3342" s="221"/>
      <c r="I3342" s="221"/>
      <c r="J3342" s="221"/>
      <c r="K3342" s="221"/>
      <c r="L3342" s="221"/>
      <c r="M3342" s="220"/>
      <c r="N3342" s="221"/>
      <c r="O3342" s="221"/>
      <c r="P3342" s="109"/>
    </row>
    <row r="3343" spans="1:16" ht="9.75" customHeight="1">
      <c r="A3343" s="219"/>
      <c r="B3343" s="220" t="s">
        <v>104</v>
      </c>
      <c r="C3343" s="220"/>
      <c r="D3343" s="221"/>
      <c r="E3343" s="221"/>
      <c r="F3343" s="221"/>
      <c r="G3343" s="221"/>
      <c r="H3343" s="221"/>
      <c r="I3343" s="221"/>
      <c r="J3343" s="221"/>
      <c r="K3343" s="221"/>
      <c r="L3343" s="221"/>
      <c r="M3343" s="220"/>
      <c r="N3343" s="221"/>
      <c r="O3343" s="221"/>
      <c r="P3343" s="109"/>
    </row>
    <row r="3344" spans="1:16" ht="9.75" customHeight="1">
      <c r="A3344" s="219"/>
      <c r="B3344" s="220" t="s">
        <v>104</v>
      </c>
      <c r="C3344" s="220"/>
      <c r="D3344" s="221"/>
      <c r="E3344" s="221"/>
      <c r="F3344" s="221"/>
      <c r="G3344" s="221"/>
      <c r="H3344" s="221"/>
      <c r="I3344" s="221"/>
      <c r="J3344" s="221"/>
      <c r="K3344" s="221"/>
      <c r="L3344" s="221"/>
      <c r="M3344" s="220"/>
      <c r="N3344" s="221"/>
      <c r="O3344" s="221"/>
      <c r="P3344" s="109"/>
    </row>
    <row r="3345" spans="1:16" ht="9.75" customHeight="1">
      <c r="A3345" s="219"/>
      <c r="B3345" s="220" t="s">
        <v>104</v>
      </c>
      <c r="C3345" s="220"/>
      <c r="D3345" s="221"/>
      <c r="E3345" s="221"/>
      <c r="F3345" s="221"/>
      <c r="G3345" s="221"/>
      <c r="H3345" s="221"/>
      <c r="I3345" s="221"/>
      <c r="J3345" s="221"/>
      <c r="K3345" s="221"/>
      <c r="L3345" s="221"/>
      <c r="M3345" s="220"/>
      <c r="N3345" s="221"/>
      <c r="O3345" s="221"/>
      <c r="P3345" s="109"/>
    </row>
    <row r="3346" spans="1:16" ht="9.75" customHeight="1">
      <c r="A3346" s="219"/>
      <c r="B3346" s="220" t="s">
        <v>104</v>
      </c>
      <c r="C3346" s="220"/>
      <c r="D3346" s="221"/>
      <c r="E3346" s="221"/>
      <c r="F3346" s="221"/>
      <c r="G3346" s="221"/>
      <c r="H3346" s="221"/>
      <c r="I3346" s="221"/>
      <c r="J3346" s="221"/>
      <c r="K3346" s="221"/>
      <c r="L3346" s="221"/>
      <c r="M3346" s="220"/>
      <c r="N3346" s="221"/>
      <c r="O3346" s="221"/>
      <c r="P3346" s="109"/>
    </row>
    <row r="3347" spans="1:16" ht="9.75" customHeight="1">
      <c r="A3347" s="219"/>
      <c r="B3347" s="220" t="s">
        <v>104</v>
      </c>
      <c r="C3347" s="220"/>
      <c r="D3347" s="221"/>
      <c r="E3347" s="221"/>
      <c r="F3347" s="221"/>
      <c r="G3347" s="221"/>
      <c r="H3347" s="221"/>
      <c r="I3347" s="221"/>
      <c r="J3347" s="221"/>
      <c r="K3347" s="221"/>
      <c r="L3347" s="221"/>
      <c r="M3347" s="220"/>
      <c r="N3347" s="221"/>
      <c r="O3347" s="221"/>
      <c r="P3347" s="109"/>
    </row>
    <row r="3348" spans="1:16" ht="9.75" customHeight="1">
      <c r="A3348" s="219"/>
      <c r="B3348" s="220" t="s">
        <v>104</v>
      </c>
      <c r="C3348" s="220"/>
      <c r="D3348" s="221"/>
      <c r="E3348" s="221"/>
      <c r="F3348" s="221"/>
      <c r="G3348" s="221"/>
      <c r="H3348" s="221"/>
      <c r="I3348" s="221"/>
      <c r="J3348" s="221"/>
      <c r="K3348" s="221"/>
      <c r="L3348" s="221"/>
      <c r="M3348" s="220"/>
      <c r="N3348" s="221"/>
      <c r="O3348" s="221"/>
      <c r="P3348" s="109"/>
    </row>
    <row r="3349" spans="1:16" ht="9.75" customHeight="1">
      <c r="A3349" s="219"/>
      <c r="B3349" s="220" t="s">
        <v>34</v>
      </c>
      <c r="C3349" s="220"/>
      <c r="D3349" s="221"/>
      <c r="E3349" s="221"/>
      <c r="F3349" s="221"/>
      <c r="G3349" s="221"/>
      <c r="H3349" s="221"/>
      <c r="I3349" s="221"/>
      <c r="J3349" s="221"/>
      <c r="K3349" s="221"/>
      <c r="L3349" s="221"/>
      <c r="M3349" s="220"/>
      <c r="N3349" s="221"/>
      <c r="O3349" s="221"/>
      <c r="P3349" s="109"/>
    </row>
    <row r="3350" spans="1:16" ht="9.75" customHeight="1">
      <c r="A3350" s="219"/>
      <c r="B3350" s="220" t="s">
        <v>35</v>
      </c>
      <c r="C3350" s="220"/>
      <c r="D3350" s="221"/>
      <c r="E3350" s="221"/>
      <c r="F3350" s="221"/>
      <c r="G3350" s="221"/>
      <c r="H3350" s="221"/>
      <c r="I3350" s="221"/>
      <c r="J3350" s="221"/>
      <c r="K3350" s="221"/>
      <c r="L3350" s="221"/>
      <c r="M3350" s="220"/>
      <c r="N3350" s="221"/>
      <c r="O3350" s="221"/>
      <c r="P3350" s="109"/>
    </row>
    <row r="3351" spans="1:16" ht="9.75" customHeight="1">
      <c r="A3351" s="219"/>
      <c r="B3351" s="220" t="s">
        <v>36</v>
      </c>
      <c r="C3351" s="220"/>
      <c r="D3351" s="221"/>
      <c r="E3351" s="221"/>
      <c r="F3351" s="221"/>
      <c r="G3351" s="221"/>
      <c r="H3351" s="221"/>
      <c r="I3351" s="221"/>
      <c r="J3351" s="221"/>
      <c r="K3351" s="221"/>
      <c r="L3351" s="221"/>
      <c r="M3351" s="220"/>
      <c r="N3351" s="221"/>
      <c r="O3351" s="221"/>
      <c r="P3351" s="109"/>
    </row>
    <row r="3352" spans="1:16" ht="9.75" customHeight="1">
      <c r="A3352" s="219"/>
      <c r="B3352" s="222" t="s">
        <v>37</v>
      </c>
      <c r="C3352" s="222"/>
      <c r="D3352" s="223"/>
      <c r="E3352" s="223"/>
      <c r="F3352" s="223"/>
      <c r="G3352" s="223"/>
      <c r="H3352" s="223"/>
      <c r="I3352" s="223"/>
      <c r="J3352" s="223"/>
      <c r="K3352" s="223"/>
      <c r="L3352" s="223"/>
      <c r="M3352" s="222"/>
      <c r="N3352" s="223"/>
      <c r="O3352" s="223"/>
      <c r="P3352" s="224"/>
    </row>
    <row r="3353" spans="1:16" ht="9.75" customHeight="1">
      <c r="A3353" s="89"/>
      <c r="B3353" s="46" t="s">
        <v>38</v>
      </c>
      <c r="C3353" s="46"/>
      <c r="D3353" s="225"/>
      <c r="E3353" s="225"/>
      <c r="F3353" s="225"/>
      <c r="G3353" s="225"/>
      <c r="H3353" s="225"/>
      <c r="I3353" s="225"/>
      <c r="J3353" s="225"/>
      <c r="K3353" s="225"/>
      <c r="L3353" s="225"/>
      <c r="M3353" s="226"/>
      <c r="N3353" s="225"/>
      <c r="O3353" s="225"/>
      <c r="P3353" s="227"/>
    </row>
    <row r="3354" spans="1:16" ht="9.75" customHeight="1">
      <c r="A3354" s="23"/>
      <c r="B3354" s="228"/>
      <c r="C3354" s="48">
        <f t="shared" ref="C3354:P3354" si="604">COUNT(C62:C3353)</f>
        <v>773</v>
      </c>
      <c r="D3354" s="48">
        <f t="shared" si="604"/>
        <v>762</v>
      </c>
      <c r="E3354" s="48">
        <f t="shared" si="604"/>
        <v>763</v>
      </c>
      <c r="F3354" s="48">
        <f t="shared" si="604"/>
        <v>763</v>
      </c>
      <c r="G3354" s="48">
        <f t="shared" si="604"/>
        <v>763</v>
      </c>
      <c r="H3354" s="48">
        <f t="shared" si="604"/>
        <v>763</v>
      </c>
      <c r="I3354" s="48">
        <f t="shared" si="604"/>
        <v>763</v>
      </c>
      <c r="J3354" s="48">
        <f t="shared" si="604"/>
        <v>763</v>
      </c>
      <c r="K3354" s="48">
        <f t="shared" si="604"/>
        <v>763</v>
      </c>
      <c r="L3354" s="48">
        <f t="shared" si="604"/>
        <v>762</v>
      </c>
      <c r="M3354" s="48">
        <f t="shared" si="604"/>
        <v>763</v>
      </c>
      <c r="N3354" s="48">
        <f t="shared" si="604"/>
        <v>752</v>
      </c>
      <c r="O3354" s="48">
        <f t="shared" si="604"/>
        <v>752</v>
      </c>
      <c r="P3354" s="48">
        <f t="shared" si="604"/>
        <v>752</v>
      </c>
    </row>
  </sheetData>
  <mergeCells count="4">
    <mergeCell ref="A1:P1"/>
    <mergeCell ref="A2:P2"/>
    <mergeCell ref="D4:M4"/>
    <mergeCell ref="N4:P4"/>
  </mergeCells>
  <pageMargins left="0.25" right="0.25" top="0.75" bottom="0.75" header="0" footer="0"/>
  <pageSetup orientation="landscape" r:id="rId1"/>
  <rowBreaks count="100" manualBreakCount="100">
    <brk id="40" max="16383" man="1"/>
    <brk id="75" max="16383" man="1"/>
    <brk id="109" max="16383" man="1"/>
    <brk id="144" max="16383" man="1"/>
    <brk id="178" max="16383" man="1"/>
    <brk id="212" max="16383" man="1"/>
    <brk id="246" max="16383" man="1"/>
    <brk id="280" max="15" man="1"/>
    <brk id="314" max="16383" man="1"/>
    <brk id="348" max="15" man="1"/>
    <brk id="384" max="15" man="1"/>
    <brk id="418" max="15" man="1"/>
    <brk id="452" max="15" man="1"/>
    <brk id="486" max="15" man="1"/>
    <brk id="520" max="15" man="1"/>
    <brk id="554" max="15" man="1"/>
    <brk id="588" max="15" man="1"/>
    <brk id="622" max="15" man="1"/>
    <brk id="657" max="15" man="1"/>
    <brk id="691" max="15" man="1"/>
    <brk id="725" max="15" man="1"/>
    <brk id="759" max="15" man="1"/>
    <brk id="794" max="15" man="1"/>
    <brk id="828" max="15" man="1"/>
    <brk id="862" max="15" man="1"/>
    <brk id="896" max="15" man="1"/>
    <brk id="930" max="15" man="1"/>
    <brk id="965" max="15" man="1"/>
    <brk id="999" max="15" man="1"/>
    <brk id="1033" max="15" man="1"/>
    <brk id="1067" max="15" man="1"/>
    <brk id="1101" max="15" man="1"/>
    <brk id="1135" max="15" man="1"/>
    <brk id="1169" max="15" man="1"/>
    <brk id="1203" max="15" man="1"/>
    <brk id="1238" max="15" man="1"/>
    <brk id="1272" max="15" man="1"/>
    <brk id="1306" max="15" man="1"/>
    <brk id="1323" max="15" man="1"/>
    <brk id="1357" max="15" man="1"/>
    <brk id="1391" max="15" man="1"/>
    <brk id="1425" max="15" man="1"/>
    <brk id="1459" max="15" man="1"/>
    <brk id="1493" max="15" man="1"/>
    <brk id="1527" max="15" man="1"/>
    <brk id="1561" max="15" man="1"/>
    <brk id="1595" max="15" man="1"/>
    <brk id="1631" max="15" man="1"/>
    <brk id="1665" max="15" man="1"/>
    <brk id="1699" max="15" man="1"/>
    <brk id="1733" max="15" man="1"/>
    <brk id="1767" max="15" man="1"/>
    <brk id="1801" max="15" man="1"/>
    <brk id="1835" max="15" man="1"/>
    <brk id="1869" max="15" man="1"/>
    <brk id="1905" max="15" man="1"/>
    <brk id="1941" max="15" man="1"/>
    <brk id="1975" max="15" man="1"/>
    <brk id="2009" max="15" man="1"/>
    <brk id="2043" max="15" man="1"/>
    <brk id="2077" max="15" man="1"/>
    <brk id="2111" max="15" man="1"/>
    <brk id="2146" max="15" man="1"/>
    <brk id="2180" max="15" man="1"/>
    <brk id="2197" max="15" man="1"/>
    <brk id="2231" max="15" man="1"/>
    <brk id="2265" max="15" man="1"/>
    <brk id="2282" max="15" man="1"/>
    <brk id="2316" max="15" man="1"/>
    <brk id="2350" max="15" man="1"/>
    <brk id="2384" max="15" man="1"/>
    <brk id="2418" max="15" man="1"/>
    <brk id="2452" max="15" man="1"/>
    <brk id="2486" max="15" man="1"/>
    <brk id="2520" max="15" man="1"/>
    <brk id="2554" max="15" man="1"/>
    <brk id="2588" max="15" man="1"/>
    <brk id="2622" max="15" man="1"/>
    <brk id="2656" max="15" man="1"/>
    <brk id="2690" max="15" man="1"/>
    <brk id="2724" max="15" man="1"/>
    <brk id="2758" max="15" man="1"/>
    <brk id="2792" max="15" man="1"/>
    <brk id="2826" max="15" man="1"/>
    <brk id="2860" max="15" man="1"/>
    <brk id="2894" max="15" man="1"/>
    <brk id="2928" max="15" man="1"/>
    <brk id="2962" max="15" man="1"/>
    <brk id="2996" max="15" man="1"/>
    <brk id="3030" max="15" man="1"/>
    <brk id="3063" max="15" man="1"/>
    <brk id="3098" max="15" man="1"/>
    <brk id="3132" max="15" man="1"/>
    <brk id="3166" max="15" man="1"/>
    <brk id="3200" max="15" man="1"/>
    <brk id="3234" max="15" man="1"/>
    <brk id="3268" max="15" man="1"/>
    <brk id="3302" max="15" man="1"/>
    <brk id="3348" max="16383" man="1"/>
    <brk id="335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showGridLines="0" zoomScaleNormal="100" workbookViewId="0">
      <pane ySplit="6" topLeftCell="A7" activePane="bottomLeft" state="frozen"/>
      <selection pane="bottomLeft" activeCell="A2" sqref="A2:P2"/>
    </sheetView>
  </sheetViews>
  <sheetFormatPr defaultColWidth="14.453125" defaultRowHeight="15" customHeight="1"/>
  <cols>
    <col min="1" max="1" width="11.54296875" customWidth="1"/>
    <col min="2" max="2" width="10.089843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349" t="s">
        <v>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2"/>
    </row>
    <row r="2" spans="1:17" ht="14.25" customHeight="1">
      <c r="A2" s="349" t="s">
        <v>426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2"/>
    </row>
    <row r="3" spans="1:17" ht="11.25" customHeight="1">
      <c r="A3" s="351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2"/>
    </row>
    <row r="4" spans="1:17" ht="11.25" customHeight="1">
      <c r="A4" s="3" t="s">
        <v>427</v>
      </c>
      <c r="B4" s="3" t="s">
        <v>2</v>
      </c>
      <c r="C4" s="3" t="s">
        <v>2</v>
      </c>
      <c r="D4" s="352" t="s">
        <v>3</v>
      </c>
      <c r="E4" s="353"/>
      <c r="F4" s="353"/>
      <c r="G4" s="353"/>
      <c r="H4" s="353"/>
      <c r="I4" s="353"/>
      <c r="J4" s="353"/>
      <c r="K4" s="353"/>
      <c r="L4" s="353"/>
      <c r="M4" s="354"/>
      <c r="N4" s="352" t="s">
        <v>4</v>
      </c>
      <c r="O4" s="353"/>
      <c r="P4" s="354"/>
      <c r="Q4" s="2"/>
    </row>
    <row r="5" spans="1:17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2"/>
    </row>
    <row r="6" spans="1:17" ht="11.25" customHeight="1">
      <c r="A6" s="11"/>
      <c r="B6" s="11"/>
      <c r="C6" s="11"/>
      <c r="D6" s="15" t="s">
        <v>20</v>
      </c>
      <c r="E6" s="16" t="s">
        <v>20</v>
      </c>
      <c r="F6" s="16" t="s">
        <v>20</v>
      </c>
      <c r="G6" s="16" t="s">
        <v>20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7" t="s">
        <v>21</v>
      </c>
      <c r="N6" s="15" t="s">
        <v>6</v>
      </c>
      <c r="O6" s="16" t="s">
        <v>6</v>
      </c>
      <c r="P6" s="17" t="s">
        <v>18</v>
      </c>
      <c r="Q6" s="2"/>
    </row>
    <row r="7" spans="1:17" ht="11.25" customHeight="1">
      <c r="A7" s="66" t="s">
        <v>428</v>
      </c>
      <c r="B7" s="18" t="s">
        <v>23</v>
      </c>
      <c r="C7" s="18">
        <f>SUM('By Lot'!C760,'By Lot'!C778,'By Lot'!C795,'By Lot'!C812,'By Lot'!C829,'By Lot'!C846,'By Lot'!C863)</f>
        <v>233</v>
      </c>
      <c r="D7" s="26">
        <f>SUM('By Lot'!D760,'By Lot'!D778,'By Lot'!D795,'By Lot'!D812,'By Lot'!D829,'By Lot'!D846,'By Lot'!D863)</f>
        <v>227</v>
      </c>
      <c r="E7" s="2">
        <f>SUM('By Lot'!E760,'By Lot'!E778,'By Lot'!E795,'By Lot'!E812,'By Lot'!E829,'By Lot'!E846,'By Lot'!E863)</f>
        <v>224</v>
      </c>
      <c r="F7" s="2">
        <f>SUM('By Lot'!F760,'By Lot'!F778,'By Lot'!F795,'By Lot'!F812,'By Lot'!F829,'By Lot'!F846,'By Lot'!F863)</f>
        <v>223</v>
      </c>
      <c r="G7" s="2">
        <f>SUM('By Lot'!G760,'By Lot'!G778,'By Lot'!G795,'By Lot'!G812,'By Lot'!G829,'By Lot'!G846,'By Lot'!G863)</f>
        <v>222</v>
      </c>
      <c r="H7" s="2">
        <f>SUM('By Lot'!H760,'By Lot'!H778,'By Lot'!H795,'By Lot'!H812,'By Lot'!H829,'By Lot'!H846,'By Lot'!H863)</f>
        <v>220</v>
      </c>
      <c r="I7" s="2">
        <f>SUM('By Lot'!I760,'By Lot'!I778,'By Lot'!I795,'By Lot'!I812,'By Lot'!I829,'By Lot'!I846,'By Lot'!I863)</f>
        <v>219</v>
      </c>
      <c r="J7" s="2">
        <f>SUM('By Lot'!J760,'By Lot'!J778,'By Lot'!J795,'By Lot'!J812,'By Lot'!J829,'By Lot'!J846,'By Lot'!J863)</f>
        <v>220</v>
      </c>
      <c r="K7" s="2">
        <f>SUM('By Lot'!K760,'By Lot'!K778,'By Lot'!K795,'By Lot'!K812,'By Lot'!K829,'By Lot'!K846,'By Lot'!K863)</f>
        <v>219</v>
      </c>
      <c r="L7" s="2">
        <f>SUM('By Lot'!L760,'By Lot'!L778,'By Lot'!L795,'By Lot'!L812,'By Lot'!L829,'By Lot'!L846,'By Lot'!L863)</f>
        <v>224</v>
      </c>
      <c r="M7" s="27">
        <f>SUM('By Lot'!M760,'By Lot'!M778,'By Lot'!M795,'By Lot'!M812,'By Lot'!M829,'By Lot'!M846,'By Lot'!M863)</f>
        <v>225</v>
      </c>
      <c r="N7" s="26">
        <f t="shared" ref="N7:N14" si="0">MIN(D7:M7)</f>
        <v>219</v>
      </c>
      <c r="O7" s="2">
        <f t="shared" ref="O7:O14" si="1">C7-N7</f>
        <v>14</v>
      </c>
      <c r="P7" s="24">
        <f t="shared" ref="P7:P14" si="2">O7/C7</f>
        <v>6.0085836909871244E-2</v>
      </c>
      <c r="Q7" s="2"/>
    </row>
    <row r="8" spans="1:17" ht="11.25" customHeight="1">
      <c r="A8" s="18" t="s">
        <v>429</v>
      </c>
      <c r="B8" s="18" t="s">
        <v>25</v>
      </c>
      <c r="C8" s="18">
        <f>SUM('By Lot'!C761,'By Lot'!C779,'By Lot'!C796,'By Lot'!C813,'By Lot'!C830,'By Lot'!C847,'By Lot'!C864)</f>
        <v>698</v>
      </c>
      <c r="D8" s="26">
        <f>SUM('By Lot'!D761,'By Lot'!D779,'By Lot'!D796,'By Lot'!D813,'By Lot'!D830,'By Lot'!D847,'By Lot'!D864)</f>
        <v>620</v>
      </c>
      <c r="E8" s="2">
        <f>SUM('By Lot'!E761,'By Lot'!E779,'By Lot'!E796,'By Lot'!E813,'By Lot'!E830,'By Lot'!E847,'By Lot'!E864)</f>
        <v>624</v>
      </c>
      <c r="F8" s="2">
        <f>SUM('By Lot'!F761,'By Lot'!F779,'By Lot'!F796,'By Lot'!F813,'By Lot'!F830,'By Lot'!F847,'By Lot'!F864)</f>
        <v>617</v>
      </c>
      <c r="G8" s="2">
        <f>SUM('By Lot'!G761,'By Lot'!G779,'By Lot'!G796,'By Lot'!G813,'By Lot'!G830,'By Lot'!G847,'By Lot'!G864)</f>
        <v>606</v>
      </c>
      <c r="H8" s="2">
        <f>SUM('By Lot'!H761,'By Lot'!H779,'By Lot'!H796,'By Lot'!H813,'By Lot'!H830,'By Lot'!H847,'By Lot'!H864)</f>
        <v>591</v>
      </c>
      <c r="I8" s="2">
        <f>SUM('By Lot'!I761,'By Lot'!I779,'By Lot'!I796,'By Lot'!I813,'By Lot'!I830,'By Lot'!I847,'By Lot'!I864)</f>
        <v>612</v>
      </c>
      <c r="J8" s="2">
        <f>SUM('By Lot'!J761,'By Lot'!J779,'By Lot'!J796,'By Lot'!J813,'By Lot'!J830,'By Lot'!J847,'By Lot'!J864)</f>
        <v>620</v>
      </c>
      <c r="K8" s="2">
        <f>SUM('By Lot'!K761,'By Lot'!K779,'By Lot'!K796,'By Lot'!K813,'By Lot'!K830,'By Lot'!K847,'By Lot'!K864)</f>
        <v>643</v>
      </c>
      <c r="L8" s="2">
        <f>SUM('By Lot'!L761,'By Lot'!L779,'By Lot'!L796,'By Lot'!L813,'By Lot'!L830,'By Lot'!L847,'By Lot'!L864)</f>
        <v>664</v>
      </c>
      <c r="M8" s="27">
        <f>SUM('By Lot'!M761,'By Lot'!M779,'By Lot'!M796,'By Lot'!M813,'By Lot'!M830,'By Lot'!M847,'By Lot'!M864)</f>
        <v>670</v>
      </c>
      <c r="N8" s="26">
        <f t="shared" si="0"/>
        <v>591</v>
      </c>
      <c r="O8" s="2">
        <f t="shared" si="1"/>
        <v>107</v>
      </c>
      <c r="P8" s="24">
        <f t="shared" si="2"/>
        <v>0.15329512893982808</v>
      </c>
      <c r="Q8" s="2"/>
    </row>
    <row r="9" spans="1:17" ht="11.25" customHeight="1">
      <c r="A9" s="18"/>
      <c r="B9" s="18" t="s">
        <v>29</v>
      </c>
      <c r="C9" s="26">
        <f>SUM('By Lot'!C763)</f>
        <v>228</v>
      </c>
      <c r="D9" s="26">
        <f>SUM('By Lot'!D763)</f>
        <v>223</v>
      </c>
      <c r="E9" s="2">
        <f>SUM('By Lot'!E763)</f>
        <v>222</v>
      </c>
      <c r="F9" s="2">
        <f>SUM('By Lot'!F763)</f>
        <v>224</v>
      </c>
      <c r="G9" s="2">
        <f>SUM('By Lot'!G763)</f>
        <v>224</v>
      </c>
      <c r="H9" s="2">
        <f>SUM('By Lot'!H763)</f>
        <v>224</v>
      </c>
      <c r="I9" s="23">
        <f>SUM('By Lot'!I763)</f>
        <v>225</v>
      </c>
      <c r="J9" s="23">
        <f>SUM('By Lot'!J763)</f>
        <v>227</v>
      </c>
      <c r="K9" s="23">
        <f>SUM('By Lot'!K763)</f>
        <v>227</v>
      </c>
      <c r="L9" s="23">
        <f>SUM('By Lot'!L763)</f>
        <v>227</v>
      </c>
      <c r="M9" s="25">
        <f>SUM('By Lot'!M763)</f>
        <v>227</v>
      </c>
      <c r="N9" s="2">
        <f t="shared" si="0"/>
        <v>222</v>
      </c>
      <c r="O9" s="2">
        <f t="shared" si="1"/>
        <v>6</v>
      </c>
      <c r="P9" s="24">
        <f t="shared" si="2"/>
        <v>2.6315789473684209E-2</v>
      </c>
      <c r="Q9" s="2"/>
    </row>
    <row r="10" spans="1:17" ht="11.25" customHeight="1">
      <c r="A10" s="18"/>
      <c r="B10" s="18" t="s">
        <v>31</v>
      </c>
      <c r="C10" s="18">
        <f>SUM('By Lot'!C764:C765,'By Lot'!C781:C782,'By Lot'!C798:C799,'By Lot'!C815:C816,'By Lot'!C832:C833,'By Lot'!C849:C850,'By Lot'!C866:C867)</f>
        <v>90</v>
      </c>
      <c r="D10" s="26">
        <f>SUM('By Lot'!D764:D765,'By Lot'!D781:D782,'By Lot'!D798:D799,'By Lot'!D815:D816,'By Lot'!D832:D833,'By Lot'!D849:D850,'By Lot'!D866:D867)</f>
        <v>70</v>
      </c>
      <c r="E10" s="2">
        <f>SUM('By Lot'!E764:E765,'By Lot'!E781:E782,'By Lot'!E798:E799,'By Lot'!E815:E816,'By Lot'!E832:E833,'By Lot'!E849:E850,'By Lot'!E866:E867)</f>
        <v>70</v>
      </c>
      <c r="F10" s="2">
        <f>SUM('By Lot'!F764:F765,'By Lot'!F781:F782,'By Lot'!F798:F799,'By Lot'!F815:F816,'By Lot'!F832:F833,'By Lot'!F849:F850,'By Lot'!F866:F867)</f>
        <v>69</v>
      </c>
      <c r="G10" s="2">
        <f>SUM('By Lot'!G764:G765,'By Lot'!G781:G782,'By Lot'!G798:G799,'By Lot'!G815:G816,'By Lot'!G832:G833,'By Lot'!G849:G850,'By Lot'!G866:G867)</f>
        <v>70</v>
      </c>
      <c r="H10" s="2">
        <f>SUM('By Lot'!H764:H765,'By Lot'!H781:H782,'By Lot'!H798:H799,'By Lot'!H815:H816,'By Lot'!H832:H833,'By Lot'!H849:H850,'By Lot'!H866:H867)</f>
        <v>69</v>
      </c>
      <c r="I10" s="23">
        <f>SUM('By Lot'!I764:I765,'By Lot'!I781:I782,'By Lot'!I798:I799,'By Lot'!I815:I816,'By Lot'!I832:I833,'By Lot'!I849:I850,'By Lot'!I866:I867)</f>
        <v>65</v>
      </c>
      <c r="J10" s="23">
        <f>SUM('By Lot'!J764:J765,'By Lot'!J781:J782,'By Lot'!J798:J799,'By Lot'!J815:J816,'By Lot'!J832:J833,'By Lot'!J849:J850,'By Lot'!J866:J867)</f>
        <v>69</v>
      </c>
      <c r="K10" s="23">
        <f>SUM('By Lot'!K764:K765,'By Lot'!K781:K782,'By Lot'!K798:K799,'By Lot'!K815:K816,'By Lot'!K832:K833,'By Lot'!K849:K850,'By Lot'!K866:K867)</f>
        <v>74</v>
      </c>
      <c r="L10" s="23">
        <f>SUM('By Lot'!L764:L765,'By Lot'!L781:L782,'By Lot'!L798:L799,'By Lot'!L815:L816,'By Lot'!L832:L833,'By Lot'!L849:L850,'By Lot'!L866:L867)</f>
        <v>84</v>
      </c>
      <c r="M10" s="25">
        <f>SUM('By Lot'!M764:M765,'By Lot'!M781:M782,'By Lot'!M798:M799,'By Lot'!M815:M816,'By Lot'!M832:M833,'By Lot'!M849:M850,'By Lot'!M866:M867)</f>
        <v>82</v>
      </c>
      <c r="N10" s="26">
        <f t="shared" si="0"/>
        <v>65</v>
      </c>
      <c r="O10" s="2">
        <f t="shared" si="1"/>
        <v>25</v>
      </c>
      <c r="P10" s="24">
        <f t="shared" si="2"/>
        <v>0.27777777777777779</v>
      </c>
      <c r="Q10" s="2"/>
    </row>
    <row r="11" spans="1:17" ht="11.25" customHeight="1">
      <c r="A11" s="18"/>
      <c r="B11" s="18" t="s">
        <v>32</v>
      </c>
      <c r="C11" s="18">
        <f>SUM('By Lot'!C766,'By Lot'!C783,'By Lot'!C800,'By Lot'!C817,'By Lot'!C834,'By Lot'!C851,'By Lot'!C868)</f>
        <v>13</v>
      </c>
      <c r="D11" s="26">
        <f>SUM('By Lot'!D766,'By Lot'!D783,'By Lot'!D800,'By Lot'!D817,'By Lot'!D834,'By Lot'!D851,'By Lot'!D868)</f>
        <v>13</v>
      </c>
      <c r="E11" s="2">
        <f>SUM('By Lot'!E766,'By Lot'!E783,'By Lot'!E800,'By Lot'!E817,'By Lot'!E834,'By Lot'!E851,'By Lot'!E868)</f>
        <v>13</v>
      </c>
      <c r="F11" s="2">
        <f>SUM('By Lot'!F766,'By Lot'!F783,'By Lot'!F800,'By Lot'!F817,'By Lot'!F834,'By Lot'!F851,'By Lot'!F868)</f>
        <v>13</v>
      </c>
      <c r="G11" s="2">
        <f>SUM('By Lot'!G766,'By Lot'!G783,'By Lot'!G800,'By Lot'!G817,'By Lot'!G834,'By Lot'!G851,'By Lot'!G868)</f>
        <v>13</v>
      </c>
      <c r="H11" s="2">
        <f>SUM('By Lot'!H766,'By Lot'!H783,'By Lot'!H800,'By Lot'!H817,'By Lot'!H834,'By Lot'!H851,'By Lot'!H868)</f>
        <v>13</v>
      </c>
      <c r="I11" s="23">
        <f>SUM('By Lot'!I766,'By Lot'!I783,'By Lot'!I800,'By Lot'!I817,'By Lot'!I834,'By Lot'!I851,'By Lot'!I868)</f>
        <v>13</v>
      </c>
      <c r="J11" s="23">
        <f>SUM('By Lot'!J766,'By Lot'!J783,'By Lot'!J800,'By Lot'!J817,'By Lot'!J834,'By Lot'!J851,'By Lot'!J868)</f>
        <v>13</v>
      </c>
      <c r="K11" s="23">
        <f>SUM('By Lot'!K766,'By Lot'!K783,'By Lot'!K800,'By Lot'!K817,'By Lot'!K834,'By Lot'!K851,'By Lot'!K868)</f>
        <v>13</v>
      </c>
      <c r="L11" s="23">
        <f>SUM('By Lot'!L766,'By Lot'!L783,'By Lot'!L800,'By Lot'!L817,'By Lot'!L834,'By Lot'!L851,'By Lot'!L868)</f>
        <v>13</v>
      </c>
      <c r="M11" s="25">
        <f>SUM('By Lot'!M766,'By Lot'!M783,'By Lot'!M800,'By Lot'!M817,'By Lot'!M834,'By Lot'!M851,'By Lot'!M868)</f>
        <v>13</v>
      </c>
      <c r="N11" s="26">
        <f t="shared" si="0"/>
        <v>13</v>
      </c>
      <c r="O11" s="2">
        <f t="shared" si="1"/>
        <v>0</v>
      </c>
      <c r="P11" s="24">
        <f t="shared" si="2"/>
        <v>0</v>
      </c>
      <c r="Q11" s="2"/>
    </row>
    <row r="12" spans="1:17" ht="11.25" customHeight="1">
      <c r="A12" s="18"/>
      <c r="B12" s="18" t="s">
        <v>33</v>
      </c>
      <c r="C12" s="18">
        <f>SUM('By Lot'!C767:C772,'By Lot'!C784:C789,'By Lot'!C801:C806,'By Lot'!C818:C823,'By Lot'!C835:C840,'By Lot'!C852:C857,'By Lot'!C869:C874)</f>
        <v>106</v>
      </c>
      <c r="D12" s="26">
        <f>SUM('By Lot'!D767:D772,'By Lot'!D784:D789,'By Lot'!D801:D806,'By Lot'!D818:D823,'By Lot'!D835:D840,'By Lot'!D852:D857,'By Lot'!D869:D874)</f>
        <v>86</v>
      </c>
      <c r="E12" s="2">
        <f>SUM('By Lot'!E767:E772,'By Lot'!E784:E789,'By Lot'!E801:E806,'By Lot'!E818:E823,'By Lot'!E835:E840,'By Lot'!E852:E857,'By Lot'!E869:E874)</f>
        <v>85</v>
      </c>
      <c r="F12" s="2">
        <f>SUM('By Lot'!F767:F772,'By Lot'!F784:F789,'By Lot'!F801:F806,'By Lot'!F818:F823,'By Lot'!F835:F840,'By Lot'!F852:F857,'By Lot'!F869:F874)</f>
        <v>86</v>
      </c>
      <c r="G12" s="2">
        <f>SUM('By Lot'!G767:G772,'By Lot'!G784:G789,'By Lot'!G801:G806,'By Lot'!G818:G823,'By Lot'!G835:G840,'By Lot'!G852:G857,'By Lot'!G869:G874)</f>
        <v>84</v>
      </c>
      <c r="H12" s="2">
        <f>SUM('By Lot'!H767:H772,'By Lot'!H784:H789,'By Lot'!H801:H806,'By Lot'!H818:H823,'By Lot'!H835:H840,'By Lot'!H852:H857,'By Lot'!H869:H874)</f>
        <v>84</v>
      </c>
      <c r="I12" s="23">
        <f>SUM('By Lot'!I767:I772,'By Lot'!I784:I789,'By Lot'!I801:I806,'By Lot'!I818:I823,'By Lot'!I835:I840,'By Lot'!I852:I857,'By Lot'!I869:I874)</f>
        <v>86</v>
      </c>
      <c r="J12" s="23">
        <f>SUM('By Lot'!J767:J772,'By Lot'!J784:J789,'By Lot'!J801:J806,'By Lot'!J818:J823,'By Lot'!J835:J840,'By Lot'!J852:J857,'By Lot'!J869:J874)</f>
        <v>90</v>
      </c>
      <c r="K12" s="23">
        <f>SUM('By Lot'!K767:K772,'By Lot'!K784:K789,'By Lot'!K801:K806,'By Lot'!K818:K823,'By Lot'!K835:K840,'By Lot'!K852:K857,'By Lot'!K869:K874)</f>
        <v>93</v>
      </c>
      <c r="L12" s="23">
        <f>SUM('By Lot'!L767:L772,'By Lot'!L784:L789,'By Lot'!L801:L806,'By Lot'!L818:L823,'By Lot'!L835:L840,'By Lot'!L852:L857,'By Lot'!L869:L874)</f>
        <v>97</v>
      </c>
      <c r="M12" s="25">
        <f>SUM('By Lot'!M767:M772,'By Lot'!M784:M789,'By Lot'!M801:M806,'By Lot'!M818:M823,'By Lot'!M835:M840,'By Lot'!M852:M857,'By Lot'!M869:M874)</f>
        <v>96</v>
      </c>
      <c r="N12" s="26">
        <f t="shared" si="0"/>
        <v>84</v>
      </c>
      <c r="O12" s="2">
        <f t="shared" si="1"/>
        <v>22</v>
      </c>
      <c r="P12" s="24">
        <f t="shared" si="2"/>
        <v>0.20754716981132076</v>
      </c>
      <c r="Q12" s="2"/>
    </row>
    <row r="13" spans="1:17" ht="11.25" customHeight="1">
      <c r="A13" s="18"/>
      <c r="B13" s="18" t="s">
        <v>34</v>
      </c>
      <c r="C13" s="18">
        <f>SUM('By Lot'!C773,'By Lot'!C790,'By Lot'!C807,'By Lot'!C824,'By Lot'!C841,'By Lot'!C858,'By Lot'!C875)</f>
        <v>25</v>
      </c>
      <c r="D13" s="26">
        <f>SUM('By Lot'!D773,'By Lot'!D790,'By Lot'!D807,'By Lot'!D824,'By Lot'!D841,'By Lot'!D858,'By Lot'!D875)</f>
        <v>23</v>
      </c>
      <c r="E13" s="2">
        <f>SUM('By Lot'!E773,'By Lot'!E790,'By Lot'!E807,'By Lot'!E824,'By Lot'!E841,'By Lot'!E858,'By Lot'!E875)</f>
        <v>22</v>
      </c>
      <c r="F13" s="2">
        <f>SUM('By Lot'!F773,'By Lot'!F790,'By Lot'!F807,'By Lot'!F824,'By Lot'!F841,'By Lot'!F858,'By Lot'!F875)</f>
        <v>24</v>
      </c>
      <c r="G13" s="2">
        <f>SUM('By Lot'!G773,'By Lot'!G790,'By Lot'!G807,'By Lot'!G824,'By Lot'!G841,'By Lot'!G858,'By Lot'!G875)</f>
        <v>24</v>
      </c>
      <c r="H13" s="2">
        <f>SUM('By Lot'!H773,'By Lot'!H790,'By Lot'!H807,'By Lot'!H824,'By Lot'!H841,'By Lot'!H858,'By Lot'!H875)</f>
        <v>24</v>
      </c>
      <c r="I13" s="23">
        <f>SUM('By Lot'!I773,'By Lot'!I790,'By Lot'!I807,'By Lot'!I824,'By Lot'!I841,'By Lot'!I858,'By Lot'!I875)</f>
        <v>25</v>
      </c>
      <c r="J13" s="23">
        <f>SUM('By Lot'!J773,'By Lot'!J790,'By Lot'!J807,'By Lot'!J824,'By Lot'!J841,'By Lot'!J858,'By Lot'!J875)</f>
        <v>24</v>
      </c>
      <c r="K13" s="23">
        <f>SUM('By Lot'!K773,'By Lot'!K790,'By Lot'!K807,'By Lot'!K824,'By Lot'!K841,'By Lot'!K858,'By Lot'!K875)</f>
        <v>24</v>
      </c>
      <c r="L13" s="23">
        <f>SUM('By Lot'!L773,'By Lot'!L790,'By Lot'!L807,'By Lot'!L824,'By Lot'!L841,'By Lot'!L858,'By Lot'!L875)</f>
        <v>24</v>
      </c>
      <c r="M13" s="25">
        <f>SUM('By Lot'!M773,'By Lot'!M790,'By Lot'!M807,'By Lot'!M824,'By Lot'!M841,'By Lot'!M858,'By Lot'!M875)</f>
        <v>24</v>
      </c>
      <c r="N13" s="26">
        <f t="shared" si="0"/>
        <v>22</v>
      </c>
      <c r="O13" s="2">
        <f t="shared" si="1"/>
        <v>3</v>
      </c>
      <c r="P13" s="24">
        <f t="shared" si="2"/>
        <v>0.12</v>
      </c>
      <c r="Q13" s="2"/>
    </row>
    <row r="14" spans="1:17" ht="11.25" customHeight="1">
      <c r="A14" s="18"/>
      <c r="B14" s="18" t="s">
        <v>35</v>
      </c>
      <c r="C14" s="18">
        <f>SUM('By Lot'!C774,'By Lot'!C791,'By Lot'!C808,'By Lot'!C825,'By Lot'!C842,'By Lot'!C859,'By Lot'!C876)</f>
        <v>6</v>
      </c>
      <c r="D14" s="26">
        <f>SUM('By Lot'!D774,'By Lot'!D791,'By Lot'!D808,'By Lot'!D825,'By Lot'!D842,'By Lot'!D859,'By Lot'!D876)</f>
        <v>1</v>
      </c>
      <c r="E14" s="2">
        <f>SUM('By Lot'!E774,'By Lot'!E791,'By Lot'!E808,'By Lot'!E825,'By Lot'!E842,'By Lot'!E859,'By Lot'!E876)</f>
        <v>1</v>
      </c>
      <c r="F14" s="2">
        <f>SUM('By Lot'!F774,'By Lot'!F791,'By Lot'!F808,'By Lot'!F825,'By Lot'!F842,'By Lot'!F859,'By Lot'!F876)</f>
        <v>4</v>
      </c>
      <c r="G14" s="2">
        <f>SUM('By Lot'!G774,'By Lot'!G791,'By Lot'!G808,'By Lot'!G825,'By Lot'!G842,'By Lot'!G859,'By Lot'!G876)</f>
        <v>4</v>
      </c>
      <c r="H14" s="2">
        <f>SUM('By Lot'!H774,'By Lot'!H791,'By Lot'!H808,'By Lot'!H825,'By Lot'!H842,'By Lot'!H859,'By Lot'!H876)</f>
        <v>4</v>
      </c>
      <c r="I14" s="23">
        <f>SUM('By Lot'!I774,'By Lot'!I791,'By Lot'!I808,'By Lot'!I825,'By Lot'!I842,'By Lot'!I859,'By Lot'!I876)</f>
        <v>3</v>
      </c>
      <c r="J14" s="23">
        <f>SUM('By Lot'!J774,'By Lot'!J791,'By Lot'!J808,'By Lot'!J825,'By Lot'!J842,'By Lot'!J859,'By Lot'!J876)</f>
        <v>3</v>
      </c>
      <c r="K14" s="23">
        <f>SUM('By Lot'!K774,'By Lot'!K791,'By Lot'!K808,'By Lot'!K825,'By Lot'!K842,'By Lot'!K859,'By Lot'!K876)</f>
        <v>3</v>
      </c>
      <c r="L14" s="23">
        <f>SUM('By Lot'!L774,'By Lot'!L791,'By Lot'!L808,'By Lot'!L825,'By Lot'!L842,'By Lot'!L859,'By Lot'!L876)</f>
        <v>3</v>
      </c>
      <c r="M14" s="25">
        <f>SUM('By Lot'!M774,'By Lot'!M791,'By Lot'!M808,'By Lot'!M825,'By Lot'!M842,'By Lot'!M859,'By Lot'!M876)</f>
        <v>3</v>
      </c>
      <c r="N14" s="26">
        <f t="shared" si="0"/>
        <v>1</v>
      </c>
      <c r="O14" s="2">
        <f t="shared" si="1"/>
        <v>5</v>
      </c>
      <c r="P14" s="24">
        <f t="shared" si="2"/>
        <v>0.83333333333333337</v>
      </c>
      <c r="Q14" s="2"/>
    </row>
    <row r="15" spans="1:17" ht="11.25" customHeight="1">
      <c r="A15" s="18"/>
      <c r="B15" s="18" t="s">
        <v>36</v>
      </c>
      <c r="C15" s="18"/>
      <c r="D15" s="26"/>
      <c r="E15" s="2"/>
      <c r="F15" s="2"/>
      <c r="G15" s="2"/>
      <c r="H15" s="2"/>
      <c r="I15" s="2"/>
      <c r="J15" s="2"/>
      <c r="K15" s="2"/>
      <c r="L15" s="2"/>
      <c r="M15" s="27"/>
      <c r="N15" s="26"/>
      <c r="O15" s="2"/>
      <c r="P15" s="24"/>
      <c r="Q15" s="2"/>
    </row>
    <row r="16" spans="1:17" ht="11.25" customHeight="1">
      <c r="A16" s="18"/>
      <c r="B16" s="18" t="s">
        <v>37</v>
      </c>
      <c r="C16" s="18"/>
      <c r="D16" s="26"/>
      <c r="E16" s="2"/>
      <c r="F16" s="2"/>
      <c r="G16" s="2"/>
      <c r="H16" s="2"/>
      <c r="I16" s="2"/>
      <c r="J16" s="2"/>
      <c r="K16" s="2"/>
      <c r="L16" s="2"/>
      <c r="M16" s="27"/>
      <c r="N16" s="26"/>
      <c r="O16" s="2"/>
      <c r="P16" s="24"/>
      <c r="Q16" s="2"/>
    </row>
    <row r="17" spans="1:17" ht="11.25" customHeight="1">
      <c r="A17" s="32"/>
      <c r="B17" s="33" t="s">
        <v>38</v>
      </c>
      <c r="C17" s="33">
        <f t="shared" ref="C17:M17" si="3">SUM(C7:C16)</f>
        <v>1399</v>
      </c>
      <c r="D17" s="70">
        <f t="shared" si="3"/>
        <v>1263</v>
      </c>
      <c r="E17" s="71">
        <f t="shared" si="3"/>
        <v>1261</v>
      </c>
      <c r="F17" s="71">
        <f t="shared" si="3"/>
        <v>1260</v>
      </c>
      <c r="G17" s="71">
        <f t="shared" si="3"/>
        <v>1247</v>
      </c>
      <c r="H17" s="71">
        <f t="shared" si="3"/>
        <v>1229</v>
      </c>
      <c r="I17" s="71">
        <f t="shared" si="3"/>
        <v>1248</v>
      </c>
      <c r="J17" s="71">
        <f t="shared" si="3"/>
        <v>1266</v>
      </c>
      <c r="K17" s="71">
        <f t="shared" si="3"/>
        <v>1296</v>
      </c>
      <c r="L17" s="71">
        <f t="shared" si="3"/>
        <v>1336</v>
      </c>
      <c r="M17" s="93">
        <f t="shared" si="3"/>
        <v>1340</v>
      </c>
      <c r="N17" s="70">
        <f t="shared" ref="N17:N25" si="4">MIN(D17:M17)</f>
        <v>1229</v>
      </c>
      <c r="O17" s="71">
        <f t="shared" ref="O17:O25" si="5">C17-N17</f>
        <v>170</v>
      </c>
      <c r="P17" s="40">
        <f t="shared" ref="P17:P25" si="6">O17/C17</f>
        <v>0.12151536812008577</v>
      </c>
      <c r="Q17" s="2"/>
    </row>
    <row r="18" spans="1:17" ht="11.25" customHeight="1">
      <c r="A18" s="66" t="s">
        <v>430</v>
      </c>
      <c r="B18" s="18" t="s">
        <v>23</v>
      </c>
      <c r="C18" s="18">
        <f>SUM('By Lot'!C1000,'By Lot'!C1017,'By Lot'!C1034,'By Lot'!C1051,'By Lot'!C1068,'By Lot'!C1085)</f>
        <v>84</v>
      </c>
      <c r="D18" s="26">
        <f>SUM('By Lot'!D1000,'By Lot'!D1017,'By Lot'!D1034,'By Lot'!D1051,'By Lot'!D1068,'By Lot'!D1085)</f>
        <v>95</v>
      </c>
      <c r="E18" s="2">
        <f>SUM('By Lot'!E1000,'By Lot'!E1017,'By Lot'!E1034,'By Lot'!E1051,'By Lot'!E1068,'By Lot'!E1085)</f>
        <v>58</v>
      </c>
      <c r="F18" s="2">
        <f>SUM('By Lot'!F1000,'By Lot'!F1017,'By Lot'!F1034,'By Lot'!F1051,'By Lot'!F1068,'By Lot'!F1085)</f>
        <v>95</v>
      </c>
      <c r="G18" s="2">
        <f>SUM('By Lot'!G1000,'By Lot'!G1017,'By Lot'!G1034,'By Lot'!G1051,'By Lot'!G1068,'By Lot'!G1085)</f>
        <v>94</v>
      </c>
      <c r="H18" s="2">
        <f>SUM('By Lot'!H1000,'By Lot'!H1017,'By Lot'!H1034,'By Lot'!H1051,'By Lot'!H1068,'By Lot'!H1085)</f>
        <v>91</v>
      </c>
      <c r="I18" s="2">
        <f>SUM('By Lot'!I1000,'By Lot'!I1017,'By Lot'!I1034,'By Lot'!I1051,'By Lot'!I1068,'By Lot'!I1085)</f>
        <v>76</v>
      </c>
      <c r="J18" s="2">
        <f>SUM('By Lot'!J1000,'By Lot'!J1017,'By Lot'!J1034,'By Lot'!J1051,'By Lot'!J1068,'By Lot'!J1085)</f>
        <v>75</v>
      </c>
      <c r="K18" s="2">
        <f>SUM('By Lot'!K1000,'By Lot'!K1017,'By Lot'!K1034,'By Lot'!K1051,'By Lot'!K1068,'By Lot'!K1085)</f>
        <v>75</v>
      </c>
      <c r="L18" s="2">
        <f>SUM('By Lot'!L1000,'By Lot'!L1017,'By Lot'!L1034,'By Lot'!L1051,'By Lot'!L1068,'By Lot'!L1085)</f>
        <v>76</v>
      </c>
      <c r="M18" s="27">
        <f>SUM('By Lot'!M1000,'By Lot'!M1017,'By Lot'!M1034,'By Lot'!M1051,'By Lot'!M1068,'By Lot'!M1085)</f>
        <v>78</v>
      </c>
      <c r="N18" s="26">
        <f t="shared" si="4"/>
        <v>58</v>
      </c>
      <c r="O18" s="2">
        <f t="shared" si="5"/>
        <v>26</v>
      </c>
      <c r="P18" s="24">
        <f t="shared" si="6"/>
        <v>0.30952380952380953</v>
      </c>
      <c r="Q18" s="2"/>
    </row>
    <row r="19" spans="1:17" ht="11.25" customHeight="1">
      <c r="A19" s="18" t="s">
        <v>431</v>
      </c>
      <c r="B19" s="18" t="s">
        <v>25</v>
      </c>
      <c r="C19" s="18">
        <f>SUM('By Lot'!C1001,'By Lot'!C1018,'By Lot'!C1035,'By Lot'!C1052,'By Lot'!C1069,'By Lot'!C1086)</f>
        <v>329</v>
      </c>
      <c r="D19" s="26">
        <f>SUM('By Lot'!D1001,'By Lot'!D1018,'By Lot'!D1035,'By Lot'!D1052,'By Lot'!D1069,'By Lot'!D1086)</f>
        <v>111</v>
      </c>
      <c r="E19" s="2">
        <f>SUM('By Lot'!E1001,'By Lot'!E1018,'By Lot'!E1035,'By Lot'!E1052,'By Lot'!E1069,'By Lot'!E1086)</f>
        <v>99</v>
      </c>
      <c r="F19" s="2">
        <f>SUM('By Lot'!F1001,'By Lot'!F1018,'By Lot'!F1035,'By Lot'!F1052,'By Lot'!F1069,'By Lot'!F1086)</f>
        <v>95</v>
      </c>
      <c r="G19" s="2">
        <f>SUM('By Lot'!G1001,'By Lot'!G1018,'By Lot'!G1035,'By Lot'!G1052,'By Lot'!G1069,'By Lot'!G1086)</f>
        <v>86</v>
      </c>
      <c r="H19" s="2">
        <f>SUM('By Lot'!H1001,'By Lot'!H1018,'By Lot'!H1035,'By Lot'!H1052,'By Lot'!H1069,'By Lot'!H1086)</f>
        <v>85</v>
      </c>
      <c r="I19" s="2">
        <f>SUM('By Lot'!I1001,'By Lot'!I1018,'By Lot'!I1035,'By Lot'!I1052,'By Lot'!I1069,'By Lot'!I1086)</f>
        <v>97</v>
      </c>
      <c r="J19" s="2">
        <f>SUM('By Lot'!J1001,'By Lot'!J1018,'By Lot'!J1035,'By Lot'!J1052,'By Lot'!J1069,'By Lot'!J1086)</f>
        <v>106</v>
      </c>
      <c r="K19" s="2">
        <f>SUM('By Lot'!K1001,'By Lot'!K1018,'By Lot'!K1035,'By Lot'!K1052,'By Lot'!K1069,'By Lot'!K1086)</f>
        <v>260</v>
      </c>
      <c r="L19" s="2">
        <f>SUM('By Lot'!L1001,'By Lot'!L1018,'By Lot'!L1035,'By Lot'!L1052,'By Lot'!L1069,'By Lot'!L1086)</f>
        <v>275</v>
      </c>
      <c r="M19" s="27">
        <f>SUM('By Lot'!M1001,'By Lot'!M1018,'By Lot'!M1035,'By Lot'!M1052,'By Lot'!M1069,'By Lot'!M1086)</f>
        <v>300</v>
      </c>
      <c r="N19" s="26">
        <f t="shared" si="4"/>
        <v>85</v>
      </c>
      <c r="O19" s="2">
        <f t="shared" si="5"/>
        <v>244</v>
      </c>
      <c r="P19" s="24">
        <f t="shared" si="6"/>
        <v>0.74164133738601823</v>
      </c>
      <c r="Q19" s="2"/>
    </row>
    <row r="20" spans="1:17" ht="11.25" customHeight="1">
      <c r="A20" s="18"/>
      <c r="B20" s="18" t="s">
        <v>27</v>
      </c>
      <c r="C20" s="18">
        <f>SUM('By Lot'!C1002,'By Lot'!C1019,'By Lot'!C1036,'By Lot'!C1053,'By Lot'!C1070,'By Lot'!C1087)</f>
        <v>410</v>
      </c>
      <c r="D20" s="26">
        <f>SUM('By Lot'!D1002,'By Lot'!D1019,'By Lot'!D1036,'By Lot'!D1053,'By Lot'!D1070,'By Lot'!D1087)</f>
        <v>313</v>
      </c>
      <c r="E20" s="2">
        <f>SUM('By Lot'!E1002,'By Lot'!E1019,'By Lot'!E1036,'By Lot'!E1053,'By Lot'!E1070,'By Lot'!E1087)</f>
        <v>298</v>
      </c>
      <c r="F20" s="2">
        <f>SUM('By Lot'!F1002,'By Lot'!F1019,'By Lot'!G1037,'By Lot'!F1053,'By Lot'!F1070,'By Lot'!F1087)</f>
        <v>263</v>
      </c>
      <c r="G20" s="2">
        <f>SUM('By Lot'!G1002,'By Lot'!G1019,'By Lot'!G1036,'By Lot'!G1053,'By Lot'!G1070,'By Lot'!G1087)</f>
        <v>300</v>
      </c>
      <c r="H20" s="2">
        <f>SUM('By Lot'!H1002,'By Lot'!H1019,'By Lot'!H1036,'By Lot'!H1053,'By Lot'!H1070,'By Lot'!H1087)</f>
        <v>301</v>
      </c>
      <c r="I20" s="23">
        <f>SUM('By Lot'!I1002,'By Lot'!I1019,'By Lot'!I1036,'By Lot'!I1053,'By Lot'!I1070,'By Lot'!I1087)</f>
        <v>309</v>
      </c>
      <c r="J20" s="23">
        <f>SUM('By Lot'!J1002,'By Lot'!J1019,'By Lot'!J1036,'By Lot'!J1053,'By Lot'!J1070,'By Lot'!J1087)</f>
        <v>312</v>
      </c>
      <c r="K20" s="23">
        <f>SUM('By Lot'!K1002,'By Lot'!K1019,'By Lot'!K1036,'By Lot'!K1053,'By Lot'!K1070,'By Lot'!K1087)</f>
        <v>379</v>
      </c>
      <c r="L20" s="23">
        <f>SUM('By Lot'!L1002,'By Lot'!L1019,'By Lot'!L1036,'By Lot'!L1053,'By Lot'!L1070,'By Lot'!L1087)</f>
        <v>383</v>
      </c>
      <c r="M20" s="25">
        <f>SUM('By Lot'!M1002,'By Lot'!M1019,'By Lot'!M1036,'By Lot'!M1053,'By Lot'!M1070,'By Lot'!M1087)</f>
        <v>394</v>
      </c>
      <c r="N20" s="26">
        <f t="shared" si="4"/>
        <v>263</v>
      </c>
      <c r="O20" s="2">
        <f t="shared" si="5"/>
        <v>147</v>
      </c>
      <c r="P20" s="24">
        <f t="shared" si="6"/>
        <v>0.35853658536585364</v>
      </c>
      <c r="Q20" s="2"/>
    </row>
    <row r="21" spans="1:17" ht="11.25" customHeight="1">
      <c r="A21" s="18"/>
      <c r="B21" s="18" t="s">
        <v>31</v>
      </c>
      <c r="C21" s="18">
        <f>SUM('By Lot'!C1003:C1004,'By Lot'!C1020:C1021,'By Lot'!C1037:C1038,'By Lot'!C1054:C1055,'By Lot'!C1071:C1072,'By Lot'!C1088:C1089)</f>
        <v>76</v>
      </c>
      <c r="D21" s="26">
        <f>SUM('By Lot'!D1003:D1004,'By Lot'!D1020:D1021,'By Lot'!D1037:D1038,'By Lot'!D1054:D1055,'By Lot'!D1071:D1072,'By Lot'!D1088:D1089)</f>
        <v>69</v>
      </c>
      <c r="E21" s="2">
        <f>SUM('By Lot'!E1003:E1004,'By Lot'!E1020:E1021,'By Lot'!E1037:E1038,'By Lot'!E1054:E1055,'By Lot'!E1071:E1072,'By Lot'!E1088:E1089)</f>
        <v>69</v>
      </c>
      <c r="F21" s="2">
        <f>SUM('By Lot'!F1003:F1004,'By Lot'!F1020:F1021,'By Lot'!F1037:F1038,'By Lot'!F1054:F1055,'By Lot'!F1071:F1072,'By Lot'!F1088:F1089)</f>
        <v>68</v>
      </c>
      <c r="G21" s="2">
        <f>SUM('By Lot'!G1003:G1004,'By Lot'!G1020:G1021,'By Lot'!G1037:G1038,'By Lot'!G1054:G1055,'By Lot'!G1071:G1072,'By Lot'!G1088:G1089)</f>
        <v>68</v>
      </c>
      <c r="H21" s="2">
        <f>SUM('By Lot'!H1003:H1004,'By Lot'!H1020:H1021,'By Lot'!H1037:H1038,'By Lot'!H1054:H1055,'By Lot'!H1071:H1072,'By Lot'!H1088:H1089)</f>
        <v>67</v>
      </c>
      <c r="I21" s="2">
        <f>SUM('By Lot'!I1003:I1004,'By Lot'!I1020:I1021,'By Lot'!I1037:I1038,'By Lot'!I1054:I1055,'By Lot'!I1071:I1072,'By Lot'!I1088:I1089)</f>
        <v>70</v>
      </c>
      <c r="J21" s="2">
        <f>SUM('By Lot'!J1003:J1004,'By Lot'!J1020:J1021,'By Lot'!J1037:J1038,'By Lot'!J1054:J1055,'By Lot'!J1071:J1072,'By Lot'!J1088:J1089)</f>
        <v>70</v>
      </c>
      <c r="K21" s="2">
        <f>SUM('By Lot'!K1003:K1004,'By Lot'!K1020:K1021,'By Lot'!K1037:K1038,'By Lot'!K1054:K1055,'By Lot'!K1071:K1072,'By Lot'!K1088:K1089)</f>
        <v>73</v>
      </c>
      <c r="L21" s="2">
        <f>SUM('By Lot'!L1003:L1004,'By Lot'!L1020:L1021,'By Lot'!L1037:L1038,'By Lot'!L1054:L1055,'By Lot'!L1071:L1072,'By Lot'!L1088:L1089)</f>
        <v>75</v>
      </c>
      <c r="M21" s="27">
        <f>SUM('By Lot'!M1003:M1004,'By Lot'!M1020:M1021,'By Lot'!M1037:M1038,'By Lot'!M1054:M1055,'By Lot'!M1071:M1072,'By Lot'!M1088:M1089)</f>
        <v>75</v>
      </c>
      <c r="N21" s="26">
        <f t="shared" si="4"/>
        <v>67</v>
      </c>
      <c r="O21" s="2">
        <f t="shared" si="5"/>
        <v>9</v>
      </c>
      <c r="P21" s="24">
        <f t="shared" si="6"/>
        <v>0.11842105263157894</v>
      </c>
      <c r="Q21" s="2"/>
    </row>
    <row r="22" spans="1:17" ht="11.25" customHeight="1">
      <c r="A22" s="18"/>
      <c r="B22" s="18" t="s">
        <v>32</v>
      </c>
      <c r="C22" s="18">
        <f>SUM('By Lot'!C1005,'By Lot'!C1022,'By Lot'!C1039,'By Lot'!C1056,'By Lot'!C1073,'By Lot'!C1090)</f>
        <v>8</v>
      </c>
      <c r="D22" s="26">
        <f>SUM('By Lot'!D1005,'By Lot'!D1022,'By Lot'!D1039,'By Lot'!D1056,'By Lot'!D1073,'By Lot'!D1090)</f>
        <v>3</v>
      </c>
      <c r="E22" s="2">
        <f>SUM('By Lot'!E1005,'By Lot'!E1022,'By Lot'!E1039,'By Lot'!E1056,'By Lot'!E1073,'By Lot'!E1090)</f>
        <v>3</v>
      </c>
      <c r="F22" s="2">
        <f>SUM('By Lot'!F1005,'By Lot'!F1022,'By Lot'!F1039,'By Lot'!F1056,'By Lot'!F1073,'By Lot'!F1090)</f>
        <v>5</v>
      </c>
      <c r="G22" s="2">
        <f>SUM('By Lot'!G1005,'By Lot'!G1022,'By Lot'!G1039,'By Lot'!G1056,'By Lot'!G1073,'By Lot'!G1090)</f>
        <v>5</v>
      </c>
      <c r="H22" s="2">
        <f>SUM('By Lot'!H1005,'By Lot'!H1022,'By Lot'!H1039,'By Lot'!H1056,'By Lot'!H1073,'By Lot'!H1090)</f>
        <v>4</v>
      </c>
      <c r="I22" s="2">
        <f>SUM('By Lot'!I1005,'By Lot'!I1022,'By Lot'!I1039,'By Lot'!I1056,'By Lot'!I1073,'By Lot'!I1090)</f>
        <v>3</v>
      </c>
      <c r="J22" s="2">
        <f>SUM('By Lot'!J1005,'By Lot'!J1022,'By Lot'!J1039,'By Lot'!J1056,'By Lot'!J1073,'By Lot'!J1090)</f>
        <v>5</v>
      </c>
      <c r="K22" s="2">
        <f>SUM('By Lot'!K1005,'By Lot'!K1022,'By Lot'!K1039,'By Lot'!K1056,'By Lot'!K1073,'By Lot'!K1090)</f>
        <v>3</v>
      </c>
      <c r="L22" s="2">
        <f>SUM('By Lot'!L1005,'By Lot'!L1022,'By Lot'!L1039,'By Lot'!L1056,'By Lot'!L1073,'By Lot'!L1090)</f>
        <v>3</v>
      </c>
      <c r="M22" s="27">
        <f>SUM('By Lot'!M1005,'By Lot'!M1022,'By Lot'!M1039,'By Lot'!M1056,'By Lot'!M1073,'By Lot'!M1090)</f>
        <v>6</v>
      </c>
      <c r="N22" s="26">
        <f t="shared" si="4"/>
        <v>3</v>
      </c>
      <c r="O22" s="2">
        <f t="shared" si="5"/>
        <v>5</v>
      </c>
      <c r="P22" s="24">
        <f t="shared" si="6"/>
        <v>0.625</v>
      </c>
      <c r="Q22" s="2"/>
    </row>
    <row r="23" spans="1:17" ht="11.25" customHeight="1">
      <c r="A23" s="18"/>
      <c r="B23" s="18" t="s">
        <v>33</v>
      </c>
      <c r="C23" s="18">
        <f>SUM('By Lot'!C1006:C1011,'By Lot'!C1023:C1028,'By Lot'!C1040:C1045,'By Lot'!C1057:C1062,'By Lot'!C1074:C1079,'By Lot'!C1091:C1096)</f>
        <v>20</v>
      </c>
      <c r="D23" s="26">
        <f>SUM('By Lot'!D1006:D1011,'By Lot'!D1023:D1028,'By Lot'!D1040:D1045,'By Lot'!D1057:D1062,'By Lot'!D1074:D1079,'By Lot'!D1091:D1096)</f>
        <v>16</v>
      </c>
      <c r="E23" s="2">
        <f>SUM('By Lot'!E1006:E1011,'By Lot'!E1023:E1028,'By Lot'!E1040:E1045,'By Lot'!E1057:E1062,'By Lot'!E1074:E1079,'By Lot'!E1091:E1096)</f>
        <v>16</v>
      </c>
      <c r="F23" s="2">
        <f>SUM('By Lot'!F1006:F1011,'By Lot'!F1023:F1028,'By Lot'!F1040:F1045,'By Lot'!F1057:F1062,'By Lot'!F1074:F1079,'By Lot'!F1091:F1096)</f>
        <v>16</v>
      </c>
      <c r="G23" s="2">
        <f>SUM('By Lot'!G1006:G1011,'By Lot'!G1023:G1028,'By Lot'!G1040:G1045,'By Lot'!G1057:G1062,'By Lot'!G1074:G1079,'By Lot'!G1091:G1096)</f>
        <v>16</v>
      </c>
      <c r="H23" s="2">
        <f>SUM('By Lot'!H1006:H1011,'By Lot'!H1023:H1028,'By Lot'!H1040:H1045,'By Lot'!H1057:H1062,'By Lot'!H1074:H1079,'By Lot'!H1091:H1096)</f>
        <v>15</v>
      </c>
      <c r="I23" s="2">
        <f>SUM('By Lot'!I1006:I1011,'By Lot'!I1023:I1028,'By Lot'!I1040:I1045,'By Lot'!I1057:I1062,'By Lot'!I1074:I1079,'By Lot'!I1091:I1096)</f>
        <v>17</v>
      </c>
      <c r="J23" s="2">
        <f>SUM('By Lot'!J1006:J1011,'By Lot'!J1023:J1028,'By Lot'!J1040:J1045,'By Lot'!J1057:J1062,'By Lot'!J1074:J1079,'By Lot'!J1091:J1096)</f>
        <v>18</v>
      </c>
      <c r="K23" s="2">
        <f>SUM('By Lot'!K1006:K1011,'By Lot'!K1023:K1028,'By Lot'!K1040:K1045,'By Lot'!K1057:K1062,'By Lot'!K1074:K1079,'By Lot'!K1091:K1096)</f>
        <v>18</v>
      </c>
      <c r="L23" s="2">
        <f>SUM('By Lot'!L1006:L1011,'By Lot'!L1023:L1028,'By Lot'!L1040:L1045,'By Lot'!L1057:L1062,'By Lot'!L1074:L1079,'By Lot'!L1091:L1096)</f>
        <v>17</v>
      </c>
      <c r="M23" s="27">
        <f>SUM('By Lot'!M1006:M1011,'By Lot'!M1023:M1028,'By Lot'!M1040:M1045,'By Lot'!M1057:M1062,'By Lot'!M1074:M1079,'By Lot'!M1091:M1096)</f>
        <v>17</v>
      </c>
      <c r="N23" s="26">
        <f t="shared" si="4"/>
        <v>15</v>
      </c>
      <c r="O23" s="2">
        <f t="shared" si="5"/>
        <v>5</v>
      </c>
      <c r="P23" s="24">
        <f t="shared" si="6"/>
        <v>0.25</v>
      </c>
      <c r="Q23" s="2"/>
    </row>
    <row r="24" spans="1:17" ht="11.25" customHeight="1">
      <c r="A24" s="18"/>
      <c r="B24" s="18" t="s">
        <v>34</v>
      </c>
      <c r="C24" s="18">
        <f>SUM('By Lot'!C1012,'By Lot'!C1029,'By Lot'!C1046,'By Lot'!C1063,'By Lot'!C1080,'By Lot'!C1097)</f>
        <v>15</v>
      </c>
      <c r="D24" s="26">
        <f>SUM('By Lot'!D1012,'By Lot'!D1029,'By Lot'!D1046,'By Lot'!D1063,'By Lot'!D1080,'By Lot'!D1097)</f>
        <v>15</v>
      </c>
      <c r="E24" s="2">
        <f>SUM('By Lot'!E1012,'By Lot'!E1029,'By Lot'!E1046,'By Lot'!E1063,'By Lot'!E1080,'By Lot'!E1097)</f>
        <v>15</v>
      </c>
      <c r="F24" s="2">
        <f>SUM('By Lot'!F1012,'By Lot'!F1029,'By Lot'!F1046,'By Lot'!F1063,'By Lot'!F1080,'By Lot'!F1097)</f>
        <v>14</v>
      </c>
      <c r="G24" s="2">
        <f>SUM('By Lot'!G1012,'By Lot'!G1029,'By Lot'!G1046,'By Lot'!G1063,'By Lot'!G1080,'By Lot'!G1097)</f>
        <v>14</v>
      </c>
      <c r="H24" s="2">
        <f>SUM('By Lot'!H1012,'By Lot'!H1029,'By Lot'!H1046,'By Lot'!H1063,'By Lot'!H1080,'By Lot'!H1097)</f>
        <v>14</v>
      </c>
      <c r="I24" s="2">
        <f>SUM('By Lot'!I1012,'By Lot'!I1029,'By Lot'!I1046,'By Lot'!I1063,'By Lot'!I1080,'By Lot'!I1097)</f>
        <v>12</v>
      </c>
      <c r="J24" s="2">
        <f>SUM('By Lot'!J1012,'By Lot'!J1029,'By Lot'!J1046,'By Lot'!J1063,'By Lot'!J1080,'By Lot'!J1097)</f>
        <v>12</v>
      </c>
      <c r="K24" s="2">
        <f>SUM('By Lot'!K1012,'By Lot'!K1029,'By Lot'!K1046,'By Lot'!K1063,'By Lot'!K1080,'By Lot'!K1097)</f>
        <v>12</v>
      </c>
      <c r="L24" s="2">
        <f>SUM('By Lot'!L1012,'By Lot'!L1029,'By Lot'!L1046,'By Lot'!L1063,'By Lot'!L1080,'By Lot'!L1097)</f>
        <v>14</v>
      </c>
      <c r="M24" s="27">
        <f>SUM('By Lot'!M1012,'By Lot'!M1029,'By Lot'!M1046,'By Lot'!M1063,'By Lot'!M1080,'By Lot'!M1097)</f>
        <v>15</v>
      </c>
      <c r="N24" s="26">
        <f t="shared" si="4"/>
        <v>12</v>
      </c>
      <c r="O24" s="2">
        <f t="shared" si="5"/>
        <v>3</v>
      </c>
      <c r="P24" s="24">
        <f t="shared" si="6"/>
        <v>0.2</v>
      </c>
      <c r="Q24" s="2"/>
    </row>
    <row r="25" spans="1:17" ht="11.25" customHeight="1">
      <c r="A25" s="18"/>
      <c r="B25" s="18" t="s">
        <v>35</v>
      </c>
      <c r="C25" s="18">
        <f>SUM('By Lot'!C1013,'By Lot'!C1030,'By Lot'!C1047,'By Lot'!C1064,'By Lot'!C1081,'By Lot'!C1098)</f>
        <v>9</v>
      </c>
      <c r="D25" s="26">
        <f>SUM('By Lot'!D1013,'By Lot'!D1030,'By Lot'!D1047,'By Lot'!D1064,'By Lot'!D1081,'By Lot'!D1098)</f>
        <v>2</v>
      </c>
      <c r="E25" s="2">
        <f>SUM('By Lot'!E1013,'By Lot'!E1030,'By Lot'!E1047,'By Lot'!E1064,'By Lot'!E1081,'By Lot'!E1098)</f>
        <v>2</v>
      </c>
      <c r="F25" s="2">
        <f>SUM('By Lot'!F1013,'By Lot'!F1030,'By Lot'!F1047,'By Lot'!F1064,'By Lot'!F1081,'By Lot'!F1098)</f>
        <v>2</v>
      </c>
      <c r="G25" s="2">
        <f>SUM('By Lot'!G1013,'By Lot'!G1030,'By Lot'!G1047,'By Lot'!G1064,'By Lot'!G1081,'By Lot'!G1098)</f>
        <v>3</v>
      </c>
      <c r="H25" s="2">
        <f>SUM('By Lot'!H1013,'By Lot'!H1030,'By Lot'!H1047,'By Lot'!H1064,'By Lot'!H1081,'By Lot'!H1098)</f>
        <v>4</v>
      </c>
      <c r="I25" s="2">
        <f>SUM('By Lot'!I1013,'By Lot'!I1030,'By Lot'!I1047,'By Lot'!I1064,'By Lot'!I1081,'By Lot'!I1098)</f>
        <v>2</v>
      </c>
      <c r="J25" s="2">
        <f>SUM('By Lot'!J1013,'By Lot'!J1030,'By Lot'!J1047,'By Lot'!J1064,'By Lot'!J1081,'By Lot'!J1098)</f>
        <v>2</v>
      </c>
      <c r="K25" s="2">
        <f>SUM('By Lot'!K1013,'By Lot'!K1030,'By Lot'!K1047,'By Lot'!K1064,'By Lot'!K1081,'By Lot'!K1098)</f>
        <v>3</v>
      </c>
      <c r="L25" s="2">
        <f>SUM('By Lot'!L1013,'By Lot'!L1030,'By Lot'!L1047,'By Lot'!L1064,'By Lot'!L1081,'By Lot'!L1098)</f>
        <v>3</v>
      </c>
      <c r="M25" s="27">
        <f>SUM('By Lot'!M1013,'By Lot'!M1030,'By Lot'!M1047,'By Lot'!M1064,'By Lot'!M1081,'By Lot'!M1098)</f>
        <v>3</v>
      </c>
      <c r="N25" s="26">
        <f t="shared" si="4"/>
        <v>2</v>
      </c>
      <c r="O25" s="2">
        <f t="shared" si="5"/>
        <v>7</v>
      </c>
      <c r="P25" s="24">
        <f t="shared" si="6"/>
        <v>0.77777777777777779</v>
      </c>
      <c r="Q25" s="2"/>
    </row>
    <row r="26" spans="1:17" ht="11.25" customHeight="1">
      <c r="A26" s="18"/>
      <c r="B26" s="18" t="s">
        <v>36</v>
      </c>
      <c r="C26" s="18"/>
      <c r="D26" s="26"/>
      <c r="E26" s="2"/>
      <c r="F26" s="2"/>
      <c r="G26" s="2"/>
      <c r="H26" s="2"/>
      <c r="I26" s="2"/>
      <c r="J26" s="2"/>
      <c r="K26" s="2"/>
      <c r="L26" s="2"/>
      <c r="M26" s="27"/>
      <c r="N26" s="26"/>
      <c r="O26" s="2"/>
      <c r="P26" s="24"/>
      <c r="Q26" s="2"/>
    </row>
    <row r="27" spans="1:17" ht="11.25" customHeight="1">
      <c r="A27" s="18"/>
      <c r="B27" s="18" t="s">
        <v>37</v>
      </c>
      <c r="C27" s="18"/>
      <c r="D27" s="26"/>
      <c r="E27" s="2"/>
      <c r="F27" s="2"/>
      <c r="G27" s="2"/>
      <c r="H27" s="2"/>
      <c r="I27" s="2"/>
      <c r="J27" s="2"/>
      <c r="K27" s="2"/>
      <c r="L27" s="2"/>
      <c r="M27" s="27"/>
      <c r="N27" s="26"/>
      <c r="O27" s="2"/>
      <c r="P27" s="24"/>
      <c r="Q27" s="2"/>
    </row>
    <row r="28" spans="1:17" ht="11.25" customHeight="1">
      <c r="A28" s="32"/>
      <c r="B28" s="33" t="s">
        <v>38</v>
      </c>
      <c r="C28" s="33">
        <f t="shared" ref="C28:M28" si="7">SUM(C18:C27)</f>
        <v>951</v>
      </c>
      <c r="D28" s="70">
        <f t="shared" si="7"/>
        <v>624</v>
      </c>
      <c r="E28" s="71">
        <f t="shared" si="7"/>
        <v>560</v>
      </c>
      <c r="F28" s="71">
        <f t="shared" si="7"/>
        <v>558</v>
      </c>
      <c r="G28" s="71">
        <f t="shared" si="7"/>
        <v>586</v>
      </c>
      <c r="H28" s="71">
        <f t="shared" si="7"/>
        <v>581</v>
      </c>
      <c r="I28" s="71">
        <f t="shared" si="7"/>
        <v>586</v>
      </c>
      <c r="J28" s="71">
        <f t="shared" si="7"/>
        <v>600</v>
      </c>
      <c r="K28" s="71">
        <f t="shared" si="7"/>
        <v>823</v>
      </c>
      <c r="L28" s="71">
        <f t="shared" si="7"/>
        <v>846</v>
      </c>
      <c r="M28" s="93">
        <f t="shared" si="7"/>
        <v>888</v>
      </c>
      <c r="N28" s="70">
        <f>MIN(D28:M28)</f>
        <v>558</v>
      </c>
      <c r="O28" s="71">
        <f>C28-N28</f>
        <v>393</v>
      </c>
      <c r="P28" s="40">
        <f>O28/C28</f>
        <v>0.41324921135646686</v>
      </c>
      <c r="Q28" s="2"/>
    </row>
    <row r="29" spans="1:17" ht="11.25" customHeight="1">
      <c r="A29" s="66" t="s">
        <v>77</v>
      </c>
      <c r="B29" s="18" t="s">
        <v>23</v>
      </c>
      <c r="C29" s="18"/>
      <c r="D29" s="26"/>
      <c r="E29" s="2"/>
      <c r="F29" s="2"/>
      <c r="G29" s="2"/>
      <c r="H29" s="2"/>
      <c r="I29" s="2"/>
      <c r="J29" s="2"/>
      <c r="K29" s="2"/>
      <c r="L29" s="2"/>
      <c r="M29" s="27"/>
      <c r="N29" s="26"/>
      <c r="O29" s="2"/>
      <c r="P29" s="24"/>
      <c r="Q29" s="2"/>
    </row>
    <row r="30" spans="1:17" ht="11.25" customHeight="1">
      <c r="A30" s="18" t="s">
        <v>78</v>
      </c>
      <c r="B30" s="18" t="s">
        <v>25</v>
      </c>
      <c r="C30" s="18">
        <f>SUM('By Lot'!C1103,'By Lot'!C1120)</f>
        <v>380</v>
      </c>
      <c r="D30" s="26">
        <f>SUM('By Lot'!D1103,'By Lot'!D1120)</f>
        <v>365</v>
      </c>
      <c r="E30" s="2">
        <f>SUM('By Lot'!E1103,'By Lot'!E1120)</f>
        <v>350</v>
      </c>
      <c r="F30" s="2">
        <f>SUM('By Lot'!F1103,'By Lot'!F1120)</f>
        <v>355</v>
      </c>
      <c r="G30" s="2">
        <f>SUM('By Lot'!G1103,'By Lot'!G1120)</f>
        <v>351</v>
      </c>
      <c r="H30" s="2">
        <f>SUM('By Lot'!H1103,'By Lot'!H1120)</f>
        <v>349</v>
      </c>
      <c r="I30" s="2">
        <f>SUM('By Lot'!I1103,'By Lot'!I1120)</f>
        <v>349</v>
      </c>
      <c r="J30" s="2">
        <f>SUM('By Lot'!J1103,'By Lot'!J1120)</f>
        <v>353</v>
      </c>
      <c r="K30" s="2">
        <f>SUM('By Lot'!K1103,'By Lot'!K1120)</f>
        <v>355</v>
      </c>
      <c r="L30" s="2">
        <f>SUM('By Lot'!L1103,'By Lot'!L1120)</f>
        <v>356</v>
      </c>
      <c r="M30" s="27">
        <f>SUM('By Lot'!M1103,'By Lot'!M1120)</f>
        <v>361</v>
      </c>
      <c r="N30" s="26">
        <f t="shared" ref="N30:N36" si="8">MIN(D30:M30)</f>
        <v>349</v>
      </c>
      <c r="O30" s="2">
        <f t="shared" ref="O30:O36" si="9">C30-N30</f>
        <v>31</v>
      </c>
      <c r="P30" s="24">
        <f t="shared" ref="P30:P36" si="10">O30/C30</f>
        <v>8.1578947368421056E-2</v>
      </c>
      <c r="Q30" s="2"/>
    </row>
    <row r="31" spans="1:17" ht="11.25" customHeight="1">
      <c r="A31" s="18" t="s">
        <v>46</v>
      </c>
      <c r="B31" s="18" t="s">
        <v>27</v>
      </c>
      <c r="C31" s="18">
        <f>SUM('By Lot'!C1104,'By Lot'!C1121)</f>
        <v>4</v>
      </c>
      <c r="D31" s="26">
        <f>SUM('By Lot'!D1104,'By Lot'!D1121)</f>
        <v>4</v>
      </c>
      <c r="E31" s="2">
        <f>SUM('By Lot'!E1104,'By Lot'!E1121)</f>
        <v>4</v>
      </c>
      <c r="F31" s="2">
        <f>SUM('By Lot'!F1104,'By Lot'!F1121)</f>
        <v>4</v>
      </c>
      <c r="G31" s="2">
        <f>SUM('By Lot'!G1104,'By Lot'!G1121)</f>
        <v>4</v>
      </c>
      <c r="H31" s="2">
        <f>SUM('By Lot'!H1104,'By Lot'!H1121)</f>
        <v>4</v>
      </c>
      <c r="I31" s="2">
        <f>SUM('By Lot'!I1104,'By Lot'!I1121)</f>
        <v>4</v>
      </c>
      <c r="J31" s="2">
        <f>SUM('By Lot'!J1104,'By Lot'!J1121)</f>
        <v>4</v>
      </c>
      <c r="K31" s="2">
        <f>SUM('By Lot'!K1104,'By Lot'!K1121)</f>
        <v>4</v>
      </c>
      <c r="L31" s="2">
        <f>SUM('By Lot'!L1104,'By Lot'!L1121)</f>
        <v>4</v>
      </c>
      <c r="M31" s="27">
        <f>SUM('By Lot'!M1104,'By Lot'!M1121)</f>
        <v>4</v>
      </c>
      <c r="N31" s="26">
        <f t="shared" si="8"/>
        <v>4</v>
      </c>
      <c r="O31" s="2">
        <f t="shared" si="9"/>
        <v>0</v>
      </c>
      <c r="P31" s="24">
        <f t="shared" si="10"/>
        <v>0</v>
      </c>
      <c r="Q31" s="2"/>
    </row>
    <row r="32" spans="1:17" ht="11.25" customHeight="1">
      <c r="A32" s="18" t="s">
        <v>63</v>
      </c>
      <c r="B32" s="18" t="s">
        <v>31</v>
      </c>
      <c r="C32" s="18">
        <f>SUM('By Lot'!C1105:C1106,'By Lot'!C1122:C1123)</f>
        <v>9</v>
      </c>
      <c r="D32" s="26">
        <f>SUM('By Lot'!D1105:D1106,'By Lot'!D1122:D1123)</f>
        <v>8</v>
      </c>
      <c r="E32" s="2">
        <f>SUM('By Lot'!E1105:E1106,'By Lot'!E1122:E1123)</f>
        <v>8</v>
      </c>
      <c r="F32" s="2">
        <f>SUM('By Lot'!F1105:F1106,'By Lot'!F1122:F1123)</f>
        <v>8</v>
      </c>
      <c r="G32" s="2">
        <f>SUM('By Lot'!G1105:G1106,'By Lot'!G1122:G1123)</f>
        <v>8</v>
      </c>
      <c r="H32" s="2">
        <f>SUM('By Lot'!H1105:H1106,'By Lot'!H1122:H1123)</f>
        <v>8</v>
      </c>
      <c r="I32" s="2">
        <f>SUM('By Lot'!I1105:I1106,'By Lot'!I1122:I1123)</f>
        <v>8</v>
      </c>
      <c r="J32" s="2">
        <f>SUM('By Lot'!J1105:J1106,'By Lot'!J1122:J1123)</f>
        <v>7</v>
      </c>
      <c r="K32" s="2">
        <f>SUM('By Lot'!K1105:K1106,'By Lot'!K1122:K1123)</f>
        <v>8</v>
      </c>
      <c r="L32" s="2">
        <f>SUM('By Lot'!L1105:L1106,'By Lot'!L1122:L1123)</f>
        <v>8</v>
      </c>
      <c r="M32" s="27">
        <f>SUM('By Lot'!M1105:M1106,'By Lot'!M1122:M1123)</f>
        <v>9</v>
      </c>
      <c r="N32" s="26">
        <f t="shared" si="8"/>
        <v>7</v>
      </c>
      <c r="O32" s="2">
        <f t="shared" si="9"/>
        <v>2</v>
      </c>
      <c r="P32" s="24">
        <f t="shared" si="10"/>
        <v>0.22222222222222221</v>
      </c>
      <c r="Q32" s="2"/>
    </row>
    <row r="33" spans="1:17" ht="11.25" customHeight="1">
      <c r="A33" s="18" t="s">
        <v>432</v>
      </c>
      <c r="B33" s="18" t="s">
        <v>32</v>
      </c>
      <c r="C33" s="18">
        <f>SUM('By Lot'!C1107,'By Lot'!C1124)</f>
        <v>4</v>
      </c>
      <c r="D33" s="26">
        <f>SUM('By Lot'!D1107,'By Lot'!D1124)</f>
        <v>2</v>
      </c>
      <c r="E33" s="2">
        <f>SUM('By Lot'!E1107,'By Lot'!E1124)</f>
        <v>2</v>
      </c>
      <c r="F33" s="2">
        <f>SUM('By Lot'!F1107,'By Lot'!F1124)</f>
        <v>2</v>
      </c>
      <c r="G33" s="2">
        <f>SUM('By Lot'!G1107,'By Lot'!G1124)</f>
        <v>2</v>
      </c>
      <c r="H33" s="2">
        <f>SUM('By Lot'!H1107,'By Lot'!H1124)</f>
        <v>2</v>
      </c>
      <c r="I33" s="2">
        <f>SUM('By Lot'!I1107,'By Lot'!I1124)</f>
        <v>4</v>
      </c>
      <c r="J33" s="2">
        <f>SUM('By Lot'!J1107,'By Lot'!J1124)</f>
        <v>4</v>
      </c>
      <c r="K33" s="2">
        <f>SUM('By Lot'!K1107,'By Lot'!K1124)</f>
        <v>4</v>
      </c>
      <c r="L33" s="2">
        <f>SUM('By Lot'!L1107,'By Lot'!L1124)</f>
        <v>4</v>
      </c>
      <c r="M33" s="27">
        <f>SUM('By Lot'!M1107,'By Lot'!M1124)</f>
        <v>4</v>
      </c>
      <c r="N33" s="26">
        <f t="shared" si="8"/>
        <v>2</v>
      </c>
      <c r="O33" s="2">
        <f t="shared" si="9"/>
        <v>2</v>
      </c>
      <c r="P33" s="24">
        <f t="shared" si="10"/>
        <v>0.5</v>
      </c>
      <c r="Q33" s="2"/>
    </row>
    <row r="34" spans="1:17" ht="11.25" customHeight="1">
      <c r="A34" s="18"/>
      <c r="B34" s="18" t="s">
        <v>33</v>
      </c>
      <c r="C34" s="18">
        <f>SUM('By Lot'!C1108:C1113,'By Lot'!C1125:C1130)</f>
        <v>33</v>
      </c>
      <c r="D34" s="26">
        <f>SUM('By Lot'!D1108:D1113,'By Lot'!D1125:D1130)</f>
        <v>22</v>
      </c>
      <c r="E34" s="2">
        <f>SUM('By Lot'!E1108:E1113,'By Lot'!E1125:E1130)</f>
        <v>22</v>
      </c>
      <c r="F34" s="2">
        <f>SUM('By Lot'!F1108:F1113,'By Lot'!F1125:F1130)</f>
        <v>22</v>
      </c>
      <c r="G34" s="2">
        <f>SUM('By Lot'!G1108:G1113,'By Lot'!G1125:G1130)</f>
        <v>22</v>
      </c>
      <c r="H34" s="2">
        <f>SUM('By Lot'!H1108:H1113,'By Lot'!H1125:H1130)</f>
        <v>22</v>
      </c>
      <c r="I34" s="2">
        <f>SUM('By Lot'!I1108:I1113,'By Lot'!I1125:I1130)</f>
        <v>22</v>
      </c>
      <c r="J34" s="2">
        <f>SUM('By Lot'!J1108:J1113,'By Lot'!J1125:J1130)</f>
        <v>21</v>
      </c>
      <c r="K34" s="2">
        <f>SUM('By Lot'!K1108:K1113,'By Lot'!K1125:K1130)</f>
        <v>21</v>
      </c>
      <c r="L34" s="2">
        <f>SUM('By Lot'!L1108:L1113,'By Lot'!L1125:L1130)</f>
        <v>23</v>
      </c>
      <c r="M34" s="27">
        <f>SUM('By Lot'!M1108:M1113,'By Lot'!M1125:M1130)</f>
        <v>23</v>
      </c>
      <c r="N34" s="26">
        <f t="shared" si="8"/>
        <v>21</v>
      </c>
      <c r="O34" s="2">
        <f t="shared" si="9"/>
        <v>12</v>
      </c>
      <c r="P34" s="24">
        <f t="shared" si="10"/>
        <v>0.36363636363636365</v>
      </c>
      <c r="Q34" s="2"/>
    </row>
    <row r="35" spans="1:17" ht="11.25" customHeight="1">
      <c r="A35" s="18"/>
      <c r="B35" s="18" t="s">
        <v>34</v>
      </c>
      <c r="C35" s="18">
        <f>SUM('By Lot'!C1114,'By Lot'!C1131)</f>
        <v>10</v>
      </c>
      <c r="D35" s="26">
        <f>SUM('By Lot'!D1114,'By Lot'!D1131)</f>
        <v>10</v>
      </c>
      <c r="E35" s="2">
        <f>SUM('By Lot'!E1114,'By Lot'!E1131)</f>
        <v>10</v>
      </c>
      <c r="F35" s="2">
        <f>SUM('By Lot'!F1114,'By Lot'!F1131)</f>
        <v>10</v>
      </c>
      <c r="G35" s="2">
        <f>SUM('By Lot'!G1114,'By Lot'!G1131)</f>
        <v>10</v>
      </c>
      <c r="H35" s="2">
        <f>SUM('By Lot'!H1114,'By Lot'!H1131)</f>
        <v>10</v>
      </c>
      <c r="I35" s="2">
        <f>SUM('By Lot'!I1114,'By Lot'!I1131)</f>
        <v>10</v>
      </c>
      <c r="J35" s="2">
        <f>SUM('By Lot'!J1114,'By Lot'!J1131)</f>
        <v>10</v>
      </c>
      <c r="K35" s="2">
        <f>SUM('By Lot'!K1114,'By Lot'!K1131)</f>
        <v>10</v>
      </c>
      <c r="L35" s="2">
        <f>SUM('By Lot'!L1114,'By Lot'!L1131)</f>
        <v>10</v>
      </c>
      <c r="M35" s="27">
        <f>SUM('By Lot'!M1114,'By Lot'!M1131)</f>
        <v>10</v>
      </c>
      <c r="N35" s="26">
        <f t="shared" si="8"/>
        <v>10</v>
      </c>
      <c r="O35" s="2">
        <f t="shared" si="9"/>
        <v>0</v>
      </c>
      <c r="P35" s="24">
        <f t="shared" si="10"/>
        <v>0</v>
      </c>
      <c r="Q35" s="2"/>
    </row>
    <row r="36" spans="1:17" ht="11.25" customHeight="1">
      <c r="A36" s="18"/>
      <c r="B36" s="18" t="s">
        <v>35</v>
      </c>
      <c r="C36" s="18">
        <f>SUM('By Lot'!C1115,'By Lot'!C1132)</f>
        <v>7</v>
      </c>
      <c r="D36" s="26">
        <f>SUM('By Lot'!D1115,'By Lot'!D1132)</f>
        <v>0</v>
      </c>
      <c r="E36" s="2">
        <f>SUM('By Lot'!E1115,'By Lot'!E1132)</f>
        <v>0</v>
      </c>
      <c r="F36" s="2">
        <f>SUM('By Lot'!F1115,'By Lot'!F1132)</f>
        <v>0</v>
      </c>
      <c r="G36" s="2">
        <f>SUM('By Lot'!G1115,'By Lot'!G1132)</f>
        <v>0</v>
      </c>
      <c r="H36" s="2">
        <f>SUM('By Lot'!H1115,'By Lot'!H1132)</f>
        <v>0</v>
      </c>
      <c r="I36" s="2">
        <f>SUM('By Lot'!I1115,'By Lot'!I1132)</f>
        <v>2</v>
      </c>
      <c r="J36" s="2">
        <f>SUM('By Lot'!J1115,'By Lot'!J1132)</f>
        <v>2</v>
      </c>
      <c r="K36" s="2">
        <f>SUM('By Lot'!K1115,'By Lot'!K1132)</f>
        <v>2</v>
      </c>
      <c r="L36" s="2">
        <f>SUM('By Lot'!L1115,'By Lot'!L1132)</f>
        <v>1</v>
      </c>
      <c r="M36" s="27">
        <f>SUM('By Lot'!M1115,'By Lot'!M1132)</f>
        <v>1</v>
      </c>
      <c r="N36" s="26">
        <f t="shared" si="8"/>
        <v>0</v>
      </c>
      <c r="O36" s="2">
        <f t="shared" si="9"/>
        <v>7</v>
      </c>
      <c r="P36" s="24">
        <f t="shared" si="10"/>
        <v>1</v>
      </c>
      <c r="Q36" s="2"/>
    </row>
    <row r="37" spans="1:17" ht="11.25" customHeight="1">
      <c r="A37" s="18"/>
      <c r="B37" s="18" t="s">
        <v>36</v>
      </c>
      <c r="C37" s="18"/>
      <c r="D37" s="26"/>
      <c r="E37" s="2"/>
      <c r="F37" s="2"/>
      <c r="G37" s="2"/>
      <c r="H37" s="2"/>
      <c r="I37" s="2"/>
      <c r="J37" s="2"/>
      <c r="K37" s="2"/>
      <c r="L37" s="2"/>
      <c r="M37" s="27"/>
      <c r="N37" s="26"/>
      <c r="O37" s="2"/>
      <c r="P37" s="24"/>
      <c r="Q37" s="2"/>
    </row>
    <row r="38" spans="1:17" ht="11.25" customHeight="1">
      <c r="A38" s="18"/>
      <c r="B38" s="18" t="s">
        <v>37</v>
      </c>
      <c r="C38" s="18">
        <f>SUM('By Lot'!C1117,'By Lot'!C1134)</f>
        <v>1</v>
      </c>
      <c r="D38" s="26">
        <f>SUM('By Lot'!D1117,'By Lot'!D1134)</f>
        <v>1</v>
      </c>
      <c r="E38" s="2">
        <f>SUM('By Lot'!E1117,'By Lot'!E1134)</f>
        <v>1</v>
      </c>
      <c r="F38" s="2">
        <f>SUM('By Lot'!F1117,'By Lot'!F1134)</f>
        <v>1</v>
      </c>
      <c r="G38" s="2">
        <f>SUM('By Lot'!G1117,'By Lot'!G1134)</f>
        <v>1</v>
      </c>
      <c r="H38" s="2">
        <f>SUM('By Lot'!H1117,'By Lot'!H1134)</f>
        <v>1</v>
      </c>
      <c r="I38" s="2">
        <f>SUM('By Lot'!I1117,'By Lot'!I1134)</f>
        <v>1</v>
      </c>
      <c r="J38" s="2">
        <f>SUM('By Lot'!J1117,'By Lot'!J1134)</f>
        <v>1</v>
      </c>
      <c r="K38" s="2">
        <f>SUM('By Lot'!K1117,'By Lot'!K1134)</f>
        <v>1</v>
      </c>
      <c r="L38" s="2">
        <f>SUM('By Lot'!L1117,'By Lot'!L1134)</f>
        <v>0</v>
      </c>
      <c r="M38" s="27">
        <f>SUM('By Lot'!M1117,'By Lot'!M1134)</f>
        <v>0</v>
      </c>
      <c r="N38" s="26">
        <f t="shared" ref="N38:N39" si="11">MIN(D38:M38)</f>
        <v>0</v>
      </c>
      <c r="O38" s="2">
        <f t="shared" ref="O38:O39" si="12">C38-N38</f>
        <v>1</v>
      </c>
      <c r="P38" s="24">
        <f t="shared" ref="P38:P39" si="13">O38/C38</f>
        <v>1</v>
      </c>
      <c r="Q38" s="2"/>
    </row>
    <row r="39" spans="1:17" ht="11.25" customHeight="1">
      <c r="A39" s="229"/>
      <c r="B39" s="230" t="s">
        <v>38</v>
      </c>
      <c r="C39" s="230">
        <f t="shared" ref="C39:M39" si="14">SUM(C29:C38)</f>
        <v>448</v>
      </c>
      <c r="D39" s="231">
        <f t="shared" si="14"/>
        <v>412</v>
      </c>
      <c r="E39" s="232">
        <f t="shared" si="14"/>
        <v>397</v>
      </c>
      <c r="F39" s="232">
        <f t="shared" si="14"/>
        <v>402</v>
      </c>
      <c r="G39" s="232">
        <f t="shared" si="14"/>
        <v>398</v>
      </c>
      <c r="H39" s="232">
        <f t="shared" si="14"/>
        <v>396</v>
      </c>
      <c r="I39" s="232">
        <f t="shared" si="14"/>
        <v>400</v>
      </c>
      <c r="J39" s="232">
        <f t="shared" si="14"/>
        <v>402</v>
      </c>
      <c r="K39" s="232">
        <f t="shared" si="14"/>
        <v>405</v>
      </c>
      <c r="L39" s="232">
        <f t="shared" si="14"/>
        <v>406</v>
      </c>
      <c r="M39" s="233">
        <f t="shared" si="14"/>
        <v>412</v>
      </c>
      <c r="N39" s="231">
        <f t="shared" si="11"/>
        <v>396</v>
      </c>
      <c r="O39" s="232">
        <f t="shared" si="12"/>
        <v>52</v>
      </c>
      <c r="P39" s="234">
        <f t="shared" si="13"/>
        <v>0.11607142857142858</v>
      </c>
      <c r="Q39" s="2"/>
    </row>
    <row r="40" spans="1:17" ht="11.25" customHeight="1">
      <c r="A40" s="18" t="s">
        <v>77</v>
      </c>
      <c r="B40" s="18" t="s">
        <v>23</v>
      </c>
      <c r="C40" s="18"/>
      <c r="D40" s="26"/>
      <c r="E40" s="2"/>
      <c r="F40" s="2"/>
      <c r="G40" s="2"/>
      <c r="H40" s="2"/>
      <c r="I40" s="2"/>
      <c r="J40" s="2"/>
      <c r="K40" s="2"/>
      <c r="L40" s="2"/>
      <c r="M40" s="27"/>
      <c r="N40" s="26"/>
      <c r="O40" s="2"/>
      <c r="P40" s="24"/>
      <c r="Q40" s="2"/>
    </row>
    <row r="41" spans="1:17" ht="11.25" customHeight="1">
      <c r="A41" s="18" t="s">
        <v>78</v>
      </c>
      <c r="B41" s="18" t="s">
        <v>25</v>
      </c>
      <c r="C41" s="18">
        <f>SUM('By Lot'!C1205,'By Lot'!C1223,'By Lot'!C1240,'By Lot'!C1257)</f>
        <v>199</v>
      </c>
      <c r="D41" s="26">
        <f>SUM('By Lot'!D1205,'By Lot'!D1223,'By Lot'!D1240,'By Lot'!D1257)</f>
        <v>195</v>
      </c>
      <c r="E41" s="2">
        <f>SUM('By Lot'!E1205,'By Lot'!E1223,'By Lot'!E1240,'By Lot'!E1257)</f>
        <v>193</v>
      </c>
      <c r="F41" s="2">
        <f>SUM('By Lot'!F1205,'By Lot'!F1223,'By Lot'!F1240,'By Lot'!F1257)</f>
        <v>193</v>
      </c>
      <c r="G41" s="2">
        <f>SUM('By Lot'!G1205,'By Lot'!G1223,'By Lot'!G1240,'By Lot'!G1257)</f>
        <v>193</v>
      </c>
      <c r="H41" s="2">
        <f>SUM('By Lot'!H1205,'By Lot'!H1223,'By Lot'!H1240,'By Lot'!H1257)</f>
        <v>193</v>
      </c>
      <c r="I41" s="2">
        <f>SUM('By Lot'!I1205,'By Lot'!I1223,'By Lot'!I1240,'By Lot'!I1257)</f>
        <v>194</v>
      </c>
      <c r="J41" s="2">
        <f>SUM('By Lot'!J1205,'By Lot'!J1223,'By Lot'!J1240,'By Lot'!J1257)</f>
        <v>193</v>
      </c>
      <c r="K41" s="2">
        <f>SUM('By Lot'!K1205,'By Lot'!K1223,'By Lot'!K1240,'By Lot'!K1257)</f>
        <v>193</v>
      </c>
      <c r="L41" s="2">
        <f>SUM('By Lot'!L1205,'By Lot'!L1223,'By Lot'!L1240,'By Lot'!L1257)</f>
        <v>193</v>
      </c>
      <c r="M41" s="27">
        <f>SUM('By Lot'!M1205,'By Lot'!M1223,'By Lot'!M1240,'By Lot'!M1257)</f>
        <v>194</v>
      </c>
      <c r="N41" s="26">
        <f t="shared" ref="N41:N42" si="15">MIN(D41:M41)</f>
        <v>193</v>
      </c>
      <c r="O41" s="2">
        <f t="shared" ref="O41:O42" si="16">C41-N41</f>
        <v>6</v>
      </c>
      <c r="P41" s="24">
        <f t="shared" ref="P41:P42" si="17">O41/C41</f>
        <v>3.015075376884422E-2</v>
      </c>
      <c r="Q41" s="2"/>
    </row>
    <row r="42" spans="1:17" ht="11.25" customHeight="1">
      <c r="A42" s="18" t="s">
        <v>46</v>
      </c>
      <c r="B42" s="18" t="s">
        <v>27</v>
      </c>
      <c r="C42" s="18">
        <f>SUM('By Lot'!C1206,'By Lot'!C1224,'By Lot'!C1241,'By Lot'!C1258)</f>
        <v>5</v>
      </c>
      <c r="D42" s="26">
        <f>SUM('By Lot'!D1206,'By Lot'!D1224,'By Lot'!D1241,'By Lot'!D1258)</f>
        <v>5</v>
      </c>
      <c r="E42" s="2">
        <f>SUM('By Lot'!E1206,'By Lot'!E1224,'By Lot'!E1241,'By Lot'!E1258)</f>
        <v>5</v>
      </c>
      <c r="F42" s="2">
        <f>SUM('By Lot'!F1206,'By Lot'!F1224,'By Lot'!F1241,'By Lot'!F1258)</f>
        <v>5</v>
      </c>
      <c r="G42" s="2">
        <f>SUM('By Lot'!G1206,'By Lot'!G1224,'By Lot'!G1241,'By Lot'!G1258)</f>
        <v>5</v>
      </c>
      <c r="H42" s="2">
        <f>SUM('By Lot'!H1206,'By Lot'!H1224,'By Lot'!H1241,'By Lot'!H1258)</f>
        <v>5</v>
      </c>
      <c r="I42" s="2">
        <f>SUM('By Lot'!I1206,'By Lot'!I1224,'By Lot'!I1241,'By Lot'!I1258)</f>
        <v>5</v>
      </c>
      <c r="J42" s="2">
        <f>SUM('By Lot'!J1206,'By Lot'!J1224,'By Lot'!J1241,'By Lot'!J1258)</f>
        <v>5</v>
      </c>
      <c r="K42" s="2">
        <f>SUM('By Lot'!K1206,'By Lot'!K1224,'By Lot'!K1241,'By Lot'!K1258)</f>
        <v>5</v>
      </c>
      <c r="L42" s="2">
        <f>SUM('By Lot'!L1206,'By Lot'!L1224,'By Lot'!L1241,'By Lot'!L1258)</f>
        <v>5</v>
      </c>
      <c r="M42" s="27">
        <f>SUM('By Lot'!M1206,'By Lot'!M1224,'By Lot'!M1241,'By Lot'!M1258)</f>
        <v>5</v>
      </c>
      <c r="N42" s="26">
        <f t="shared" si="15"/>
        <v>5</v>
      </c>
      <c r="O42" s="2">
        <f t="shared" si="16"/>
        <v>0</v>
      </c>
      <c r="P42" s="24">
        <f t="shared" si="17"/>
        <v>0</v>
      </c>
      <c r="Q42" s="2"/>
    </row>
    <row r="43" spans="1:17" ht="11.25" customHeight="1">
      <c r="A43" s="18" t="s">
        <v>76</v>
      </c>
      <c r="B43" s="18" t="s">
        <v>31</v>
      </c>
      <c r="C43" s="18"/>
      <c r="D43" s="26"/>
      <c r="E43" s="2"/>
      <c r="F43" s="2"/>
      <c r="G43" s="2"/>
      <c r="H43" s="2"/>
      <c r="I43" s="2"/>
      <c r="J43" s="2"/>
      <c r="K43" s="2"/>
      <c r="L43" s="2"/>
      <c r="M43" s="27"/>
      <c r="N43" s="26"/>
      <c r="O43" s="2"/>
      <c r="P43" s="24"/>
      <c r="Q43" s="2"/>
    </row>
    <row r="44" spans="1:17" ht="11.25" customHeight="1">
      <c r="A44" s="18" t="s">
        <v>433</v>
      </c>
      <c r="B44" s="18" t="s">
        <v>32</v>
      </c>
      <c r="C44" s="18">
        <f>SUM('By Lot'!C1209,'By Lot'!C1227,'By Lot'!C1244,'By Lot'!C1261)</f>
        <v>7</v>
      </c>
      <c r="D44" s="26">
        <f>SUM('By Lot'!D1209,'By Lot'!D1227,'By Lot'!D1244,'By Lot'!D1261)</f>
        <v>7</v>
      </c>
      <c r="E44" s="2">
        <f>SUM('By Lot'!E1209,'By Lot'!E1227,'By Lot'!E1244,'By Lot'!E1261)</f>
        <v>7</v>
      </c>
      <c r="F44" s="2">
        <f>SUM('By Lot'!F1209,'By Lot'!F1227,'By Lot'!F1244,'By Lot'!F1261)</f>
        <v>7</v>
      </c>
      <c r="G44" s="2">
        <f>SUM('By Lot'!G1209,'By Lot'!G1227,'By Lot'!G1244,'By Lot'!G1261)</f>
        <v>7</v>
      </c>
      <c r="H44" s="2">
        <f>SUM('By Lot'!H1209,'By Lot'!H1227,'By Lot'!H1244,'By Lot'!H1261)</f>
        <v>7</v>
      </c>
      <c r="I44" s="2">
        <f>SUM('By Lot'!I1209,'By Lot'!I1227,'By Lot'!I1244,'By Lot'!I1261)</f>
        <v>7</v>
      </c>
      <c r="J44" s="2">
        <f>SUM('By Lot'!J1209,'By Lot'!J1227,'By Lot'!J1244,'By Lot'!J1261)</f>
        <v>7</v>
      </c>
      <c r="K44" s="2">
        <f>SUM('By Lot'!K1209,'By Lot'!K1227,'By Lot'!K1244,'By Lot'!K1261)</f>
        <v>7</v>
      </c>
      <c r="L44" s="2">
        <f>SUM('By Lot'!L1209,'By Lot'!L1227,'By Lot'!L1244,'By Lot'!L1261)</f>
        <v>7</v>
      </c>
      <c r="M44" s="27">
        <f>SUM('By Lot'!M1209,'By Lot'!M1227,'By Lot'!M1244,'By Lot'!M1261)</f>
        <v>7</v>
      </c>
      <c r="N44" s="26">
        <f t="shared" ref="N44:N46" si="18">MIN(D44:M44)</f>
        <v>7</v>
      </c>
      <c r="O44" s="2">
        <f t="shared" ref="O44:O46" si="19">C44-N44</f>
        <v>0</v>
      </c>
      <c r="P44" s="24">
        <f t="shared" ref="P44:P46" si="20">O44/C44</f>
        <v>0</v>
      </c>
      <c r="Q44" s="2"/>
    </row>
    <row r="45" spans="1:17" ht="11.25" customHeight="1">
      <c r="A45" s="18"/>
      <c r="B45" s="18" t="s">
        <v>33</v>
      </c>
      <c r="C45" s="18">
        <f>SUM('By Lot'!C1210:C1215,'By Lot'!C1228:C1233,'By Lot'!C1245:C1250,'By Lot'!C1262:C1267)</f>
        <v>1</v>
      </c>
      <c r="D45" s="26">
        <f>SUM('By Lot'!D1210:D1215,'By Lot'!D1228:D1233,'By Lot'!D1245:D1250,'By Lot'!D1262:D1267)</f>
        <v>1</v>
      </c>
      <c r="E45" s="2">
        <f>SUM('By Lot'!E1210:E1215,'By Lot'!E1228:E1233,'By Lot'!E1245:E1250,'By Lot'!E1262:E1267)</f>
        <v>1</v>
      </c>
      <c r="F45" s="2">
        <f>SUM('By Lot'!F1210:F1215,'By Lot'!F1228:F1233,'By Lot'!F1245:F1250,'By Lot'!F1262:F1267)</f>
        <v>1</v>
      </c>
      <c r="G45" s="2">
        <f>SUM('By Lot'!G1210:G1215,'By Lot'!G1228:G1233,'By Lot'!G1245:G1250,'By Lot'!G1262:G1267)</f>
        <v>1</v>
      </c>
      <c r="H45" s="2">
        <f>SUM('By Lot'!H1210:H1215,'By Lot'!H1228:H1233,'By Lot'!H1245:H1250,'By Lot'!H1262:H1267)</f>
        <v>1</v>
      </c>
      <c r="I45" s="2">
        <f>SUM('By Lot'!I1210:I1215,'By Lot'!I1228:I1233,'By Lot'!I1245:I1250,'By Lot'!I1262:I1267)</f>
        <v>1</v>
      </c>
      <c r="J45" s="2">
        <f>SUM('By Lot'!J1210:J1215,'By Lot'!J1228:J1233,'By Lot'!J1245:J1250,'By Lot'!J1262:J1267)</f>
        <v>1</v>
      </c>
      <c r="K45" s="2">
        <f>SUM('By Lot'!K1210:K1215,'By Lot'!K1228:K1233,'By Lot'!K1245:K1250,'By Lot'!K1262:K1267)</f>
        <v>1</v>
      </c>
      <c r="L45" s="2">
        <f>SUM('By Lot'!L1210:L1215,'By Lot'!L1228:L1233,'By Lot'!L1245:L1250,'By Lot'!L1262:L1267)</f>
        <v>1</v>
      </c>
      <c r="M45" s="27">
        <f>SUM('By Lot'!M1210:M1215,'By Lot'!M1228:M1233,'By Lot'!M1245:M1250,'By Lot'!M1262:M1267)</f>
        <v>1</v>
      </c>
      <c r="N45" s="26">
        <f t="shared" si="18"/>
        <v>1</v>
      </c>
      <c r="O45" s="2">
        <f t="shared" si="19"/>
        <v>0</v>
      </c>
      <c r="P45" s="24">
        <f t="shared" si="20"/>
        <v>0</v>
      </c>
      <c r="Q45" s="2"/>
    </row>
    <row r="46" spans="1:17" ht="11.25" customHeight="1">
      <c r="A46" s="18"/>
      <c r="B46" s="18" t="s">
        <v>34</v>
      </c>
      <c r="C46" s="18">
        <f>SUM('By Lot'!C1216,'By Lot'!C1234,'By Lot'!C1251,'By Lot'!C1268)</f>
        <v>3</v>
      </c>
      <c r="D46" s="26">
        <f>SUM('By Lot'!D1216,'By Lot'!D1234,'By Lot'!D1251,'By Lot'!D1268)</f>
        <v>3</v>
      </c>
      <c r="E46" s="2">
        <f>SUM('By Lot'!E1216,'By Lot'!E1234,'By Lot'!E1251,'By Lot'!E1268)</f>
        <v>3</v>
      </c>
      <c r="F46" s="2">
        <f>SUM('By Lot'!F1216,'By Lot'!F1234,'By Lot'!F1251,'By Lot'!F1268)</f>
        <v>3</v>
      </c>
      <c r="G46" s="2">
        <f>SUM('By Lot'!G1216,'By Lot'!G1234,'By Lot'!G1251,'By Lot'!G1268)</f>
        <v>3</v>
      </c>
      <c r="H46" s="2">
        <f>SUM('By Lot'!H1216,'By Lot'!H1234,'By Lot'!H1251,'By Lot'!H1268)</f>
        <v>3</v>
      </c>
      <c r="I46" s="2">
        <f>SUM('By Lot'!I1216,'By Lot'!I1234,'By Lot'!I1251,'By Lot'!I1268)</f>
        <v>3</v>
      </c>
      <c r="J46" s="2">
        <f>SUM('By Lot'!J1216,'By Lot'!J1234,'By Lot'!J1251,'By Lot'!J1268)</f>
        <v>3</v>
      </c>
      <c r="K46" s="2">
        <f>SUM('By Lot'!K1216,'By Lot'!K1234,'By Lot'!K1251,'By Lot'!K1268)</f>
        <v>3</v>
      </c>
      <c r="L46" s="2">
        <f>SUM('By Lot'!L1216,'By Lot'!L1234,'By Lot'!L1251,'By Lot'!L1268)</f>
        <v>3</v>
      </c>
      <c r="M46" s="27">
        <f>SUM('By Lot'!M1216,'By Lot'!M1234,'By Lot'!M1251,'By Lot'!M1268)</f>
        <v>3</v>
      </c>
      <c r="N46" s="26">
        <f t="shared" si="18"/>
        <v>3</v>
      </c>
      <c r="O46" s="2">
        <f t="shared" si="19"/>
        <v>0</v>
      </c>
      <c r="P46" s="24">
        <f t="shared" si="20"/>
        <v>0</v>
      </c>
      <c r="Q46" s="2"/>
    </row>
    <row r="47" spans="1:17" ht="11.25" customHeight="1">
      <c r="A47" s="18"/>
      <c r="B47" s="18" t="s">
        <v>35</v>
      </c>
      <c r="C47" s="18"/>
      <c r="D47" s="26"/>
      <c r="E47" s="2"/>
      <c r="F47" s="2"/>
      <c r="G47" s="2"/>
      <c r="H47" s="2"/>
      <c r="I47" s="2"/>
      <c r="J47" s="2"/>
      <c r="K47" s="2"/>
      <c r="L47" s="2"/>
      <c r="M47" s="27"/>
      <c r="N47" s="26"/>
      <c r="O47" s="2"/>
      <c r="P47" s="24"/>
      <c r="Q47" s="2"/>
    </row>
    <row r="48" spans="1:17" ht="11.25" customHeight="1">
      <c r="A48" s="18"/>
      <c r="B48" s="18" t="s">
        <v>36</v>
      </c>
      <c r="C48" s="18">
        <f>SUM('By Lot'!C1218,'By Lot'!C1236,'By Lot'!C1253,'By Lot'!C1270)</f>
        <v>1</v>
      </c>
      <c r="D48" s="26">
        <f>SUM('By Lot'!D1218,'By Lot'!D1236,'By Lot'!D1253,'By Lot'!D1270)</f>
        <v>1</v>
      </c>
      <c r="E48" s="2">
        <f>SUM('By Lot'!E1218,'By Lot'!E1236,'By Lot'!E1253,'By Lot'!E1270)</f>
        <v>1</v>
      </c>
      <c r="F48" s="2">
        <f>SUM('By Lot'!F1218,'By Lot'!F1236,'By Lot'!F1253,'By Lot'!F1270)</f>
        <v>1</v>
      </c>
      <c r="G48" s="2">
        <f>SUM('By Lot'!G1218,'By Lot'!G1236,'By Lot'!G1253,'By Lot'!G1270)</f>
        <v>1</v>
      </c>
      <c r="H48" s="2">
        <f>SUM('By Lot'!H1218,'By Lot'!H1236,'By Lot'!H1253,'By Lot'!H1270)</f>
        <v>1</v>
      </c>
      <c r="I48" s="2">
        <f>SUM('By Lot'!I1218,'By Lot'!I1236,'By Lot'!I1253,'By Lot'!I1270)</f>
        <v>1</v>
      </c>
      <c r="J48" s="2">
        <f>SUM('By Lot'!J1218,'By Lot'!J1236,'By Lot'!J1253,'By Lot'!J1270)</f>
        <v>1</v>
      </c>
      <c r="K48" s="2">
        <f>SUM('By Lot'!K1218,'By Lot'!K1236,'By Lot'!K1253,'By Lot'!K1270)</f>
        <v>1</v>
      </c>
      <c r="L48" s="2">
        <f>SUM('By Lot'!L1218,'By Lot'!L1236,'By Lot'!L1253,'By Lot'!L1270)</f>
        <v>1</v>
      </c>
      <c r="M48" s="27">
        <f>SUM('By Lot'!M1218,'By Lot'!M1236,'By Lot'!M1253,'By Lot'!M1270)</f>
        <v>1</v>
      </c>
      <c r="N48" s="26">
        <f t="shared" ref="N48:N52" si="21">MIN(D48:M48)</f>
        <v>1</v>
      </c>
      <c r="O48" s="2">
        <f t="shared" ref="O48:O52" si="22">C48-N48</f>
        <v>0</v>
      </c>
      <c r="P48" s="24">
        <f t="shared" ref="P48:P52" si="23">O48/C48</f>
        <v>0</v>
      </c>
      <c r="Q48" s="2"/>
    </row>
    <row r="49" spans="1:17" ht="11.25" customHeight="1">
      <c r="A49" s="18"/>
      <c r="B49" s="18" t="s">
        <v>37</v>
      </c>
      <c r="C49" s="18">
        <f>SUM('By Lot'!C1220,'By Lot'!C1237,'By Lot'!C1254,'By Lot'!C1271)</f>
        <v>1</v>
      </c>
      <c r="D49" s="26">
        <f>SUM('By Lot'!D1220,'By Lot'!D1237,'By Lot'!D1254,'By Lot'!D1271)</f>
        <v>1</v>
      </c>
      <c r="E49" s="2">
        <f>SUM('By Lot'!E1220,'By Lot'!E1237,'By Lot'!E1254,'By Lot'!E1271)</f>
        <v>1</v>
      </c>
      <c r="F49" s="2">
        <f>SUM('By Lot'!F1220,'By Lot'!F1237,'By Lot'!F1254,'By Lot'!F1271)</f>
        <v>1</v>
      </c>
      <c r="G49" s="2">
        <f>SUM('By Lot'!G1220,'By Lot'!G1237,'By Lot'!G1254,'By Lot'!G1271)</f>
        <v>1</v>
      </c>
      <c r="H49" s="2">
        <f>SUM('By Lot'!H1220,'By Lot'!H1237,'By Lot'!H1254,'By Lot'!H1271)</f>
        <v>1</v>
      </c>
      <c r="I49" s="2">
        <f>SUM('By Lot'!I1220,'By Lot'!I1237,'By Lot'!I1254,'By Lot'!I1271)</f>
        <v>1</v>
      </c>
      <c r="J49" s="2">
        <f>SUM('By Lot'!J1220,'By Lot'!J1237,'By Lot'!J1254,'By Lot'!J1271)</f>
        <v>1</v>
      </c>
      <c r="K49" s="2">
        <f>SUM('By Lot'!K1220,'By Lot'!K1237,'By Lot'!K1254,'By Lot'!K1271)</f>
        <v>1</v>
      </c>
      <c r="L49" s="2">
        <f>SUM('By Lot'!L1220,'By Lot'!L1237,'By Lot'!L1254,'By Lot'!L1271)</f>
        <v>1</v>
      </c>
      <c r="M49" s="27">
        <f>SUM('By Lot'!M1220,'By Lot'!M1237,'By Lot'!M1254,'By Lot'!M1271)</f>
        <v>1</v>
      </c>
      <c r="N49" s="26">
        <f t="shared" si="21"/>
        <v>1</v>
      </c>
      <c r="O49" s="2">
        <f t="shared" si="22"/>
        <v>0</v>
      </c>
      <c r="P49" s="24">
        <f t="shared" si="23"/>
        <v>0</v>
      </c>
      <c r="Q49" s="2"/>
    </row>
    <row r="50" spans="1:17" ht="11.25" customHeight="1">
      <c r="A50" s="32"/>
      <c r="B50" s="33" t="s">
        <v>38</v>
      </c>
      <c r="C50" s="33">
        <f t="shared" ref="C50:M50" si="24">SUM(C40:C49)</f>
        <v>217</v>
      </c>
      <c r="D50" s="70">
        <f t="shared" si="24"/>
        <v>213</v>
      </c>
      <c r="E50" s="71">
        <f t="shared" si="24"/>
        <v>211</v>
      </c>
      <c r="F50" s="71">
        <f t="shared" si="24"/>
        <v>211</v>
      </c>
      <c r="G50" s="71">
        <f t="shared" si="24"/>
        <v>211</v>
      </c>
      <c r="H50" s="71">
        <f t="shared" si="24"/>
        <v>211</v>
      </c>
      <c r="I50" s="71">
        <f t="shared" si="24"/>
        <v>212</v>
      </c>
      <c r="J50" s="71">
        <f t="shared" si="24"/>
        <v>211</v>
      </c>
      <c r="K50" s="71">
        <f t="shared" si="24"/>
        <v>211</v>
      </c>
      <c r="L50" s="71">
        <f t="shared" si="24"/>
        <v>211</v>
      </c>
      <c r="M50" s="93">
        <f t="shared" si="24"/>
        <v>212</v>
      </c>
      <c r="N50" s="70">
        <f t="shared" si="21"/>
        <v>211</v>
      </c>
      <c r="O50" s="71">
        <f t="shared" si="22"/>
        <v>6</v>
      </c>
      <c r="P50" s="40">
        <f t="shared" si="23"/>
        <v>2.7649769585253458E-2</v>
      </c>
      <c r="Q50" s="2"/>
    </row>
    <row r="51" spans="1:17" ht="11.25" customHeight="1">
      <c r="A51" s="66" t="s">
        <v>434</v>
      </c>
      <c r="B51" s="18" t="s">
        <v>23</v>
      </c>
      <c r="C51" s="18">
        <f>SUM('By Lot'!C1579,'By Lot'!C1596,'By Lot'!C1615,'By Lot'!C1632,'By Lot'!C1649,'By Lot'!C1666)</f>
        <v>401</v>
      </c>
      <c r="D51" s="26">
        <f>SUM('By Lot'!D1579,'By Lot'!D1596,'By Lot'!D1615,'By Lot'!D1632,'By Lot'!D1649,'By Lot'!D1666)</f>
        <v>329</v>
      </c>
      <c r="E51" s="2">
        <f>SUM('By Lot'!E1579,'By Lot'!E1596,'By Lot'!E1615,'By Lot'!E1632,'By Lot'!E1649,'By Lot'!E1666)</f>
        <v>309</v>
      </c>
      <c r="F51" s="2">
        <f>SUM('By Lot'!F1579,'By Lot'!F1596,'By Lot'!F1615,'By Lot'!F1632,'By Lot'!F1649,'By Lot'!F1666)</f>
        <v>289</v>
      </c>
      <c r="G51" s="2">
        <f>SUM('By Lot'!G1579,'By Lot'!G1596,'By Lot'!G1615,'By Lot'!G1632,'By Lot'!G1649,'By Lot'!G1666)</f>
        <v>281</v>
      </c>
      <c r="H51" s="2">
        <f>SUM('By Lot'!H1579,'By Lot'!H1596,'By Lot'!H1615,'By Lot'!H1632,'By Lot'!H1649,'By Lot'!H1666)</f>
        <v>276</v>
      </c>
      <c r="I51" s="2">
        <f>SUM('By Lot'!I1579,'By Lot'!I1596,'By Lot'!I1615,'By Lot'!I1632,'By Lot'!I1649,'By Lot'!I1666)</f>
        <v>277</v>
      </c>
      <c r="J51" s="2">
        <f>SUM('By Lot'!J1579,'By Lot'!J1596,'By Lot'!J1615,'By Lot'!J1632,'By Lot'!J1649,'By Lot'!J1666)</f>
        <v>285</v>
      </c>
      <c r="K51" s="2">
        <f>SUM('By Lot'!K1579,'By Lot'!K1596,'By Lot'!K1615,'By Lot'!K1632,'By Lot'!K1649,'By Lot'!K1666)</f>
        <v>283</v>
      </c>
      <c r="L51" s="2">
        <f>SUM('By Lot'!L1579,'By Lot'!L1596,'By Lot'!L1615,'By Lot'!L1632,'By Lot'!L1649,'By Lot'!L1666)</f>
        <v>304</v>
      </c>
      <c r="M51" s="27">
        <f>SUM('By Lot'!M1579,'By Lot'!M1596,'By Lot'!M1615,'By Lot'!M1632,'By Lot'!M1649,'By Lot'!M1666)</f>
        <v>330</v>
      </c>
      <c r="N51" s="26">
        <f t="shared" si="21"/>
        <v>276</v>
      </c>
      <c r="O51" s="2">
        <f t="shared" si="22"/>
        <v>125</v>
      </c>
      <c r="P51" s="24">
        <f t="shared" si="23"/>
        <v>0.3117206982543641</v>
      </c>
      <c r="Q51" s="2"/>
    </row>
    <row r="52" spans="1:17" ht="11.25" customHeight="1">
      <c r="A52" s="18" t="s">
        <v>435</v>
      </c>
      <c r="B52" s="18" t="s">
        <v>25</v>
      </c>
      <c r="C52" s="18">
        <f>SUM('By Lot'!C1580,'By Lot'!C1597,'By Lot'!C1616,'By Lot'!C1633,'By Lot'!C1650,'By Lot'!C1667)</f>
        <v>123</v>
      </c>
      <c r="D52" s="26">
        <f>SUM('By Lot'!D1580,'By Lot'!D1597,'By Lot'!D1616,'By Lot'!D1633,'By Lot'!D1650,'By Lot'!D1667)</f>
        <v>121</v>
      </c>
      <c r="E52" s="2">
        <f>SUM('By Lot'!E1580,'By Lot'!E1597,'By Lot'!E1616,'By Lot'!E1633,'By Lot'!E1650,'By Lot'!E1667)</f>
        <v>120</v>
      </c>
      <c r="F52" s="2">
        <f>SUM('By Lot'!F1580,'By Lot'!F1597,'By Lot'!F1616,'By Lot'!F1633,'By Lot'!F1650,'By Lot'!F1667)</f>
        <v>115</v>
      </c>
      <c r="G52" s="2">
        <f>SUM('By Lot'!G1580,'By Lot'!G1597,'By Lot'!G1616,'By Lot'!G1633,'By Lot'!G1650,'By Lot'!G1667)</f>
        <v>114</v>
      </c>
      <c r="H52" s="2">
        <f>SUM('By Lot'!H1580,'By Lot'!H1597,'By Lot'!H1616,'By Lot'!H1633,'By Lot'!H1650,'By Lot'!H1667)</f>
        <v>114</v>
      </c>
      <c r="I52" s="2">
        <f>SUM('By Lot'!I1580,'By Lot'!I1597,'By Lot'!I1616,'By Lot'!I1633,'By Lot'!I1650,'By Lot'!I1667)</f>
        <v>115</v>
      </c>
      <c r="J52" s="2">
        <f>SUM('By Lot'!J1580,'By Lot'!J1597,'By Lot'!J1616,'By Lot'!J1633,'By Lot'!J1650,'By Lot'!J1667)</f>
        <v>116</v>
      </c>
      <c r="K52" s="2">
        <f>SUM('By Lot'!K1580,'By Lot'!K1597,'By Lot'!K1616,'By Lot'!K1633,'By Lot'!K1650,'By Lot'!K1667)</f>
        <v>113</v>
      </c>
      <c r="L52" s="2">
        <f>SUM('By Lot'!L1580,'By Lot'!L1597,'By Lot'!L1616,'By Lot'!L1633,'By Lot'!L1650,'By Lot'!L1667)</f>
        <v>118</v>
      </c>
      <c r="M52" s="27">
        <f>SUM('By Lot'!M1580,'By Lot'!M1597,'By Lot'!M1616,'By Lot'!M1633,'By Lot'!M1650,'By Lot'!M1667)</f>
        <v>120</v>
      </c>
      <c r="N52" s="26">
        <f t="shared" si="21"/>
        <v>113</v>
      </c>
      <c r="O52" s="2">
        <f t="shared" si="22"/>
        <v>10</v>
      </c>
      <c r="P52" s="24">
        <f t="shared" si="23"/>
        <v>8.1300813008130079E-2</v>
      </c>
      <c r="Q52" s="2"/>
    </row>
    <row r="53" spans="1:17" ht="11.25" customHeight="1">
      <c r="A53" s="18"/>
      <c r="B53" s="18" t="s">
        <v>27</v>
      </c>
      <c r="C53" s="18"/>
      <c r="D53" s="26"/>
      <c r="E53" s="2"/>
      <c r="F53" s="2"/>
      <c r="G53" s="2"/>
      <c r="H53" s="2"/>
      <c r="I53" s="2"/>
      <c r="J53" s="2"/>
      <c r="K53" s="2"/>
      <c r="L53" s="2"/>
      <c r="M53" s="27"/>
      <c r="N53" s="26"/>
      <c r="O53" s="2"/>
      <c r="P53" s="24"/>
      <c r="Q53" s="2"/>
    </row>
    <row r="54" spans="1:17" ht="11.25" customHeight="1">
      <c r="A54" s="18"/>
      <c r="B54" s="18" t="s">
        <v>31</v>
      </c>
      <c r="C54" s="18">
        <f>SUM('By Lot'!C1582:C1583,'By Lot'!C1599:C1600,'By Lot'!C1618:C1619,'By Lot'!C1635:C1636,'By Lot'!C1652:C1653,'By Lot'!C1669:C1670)</f>
        <v>222</v>
      </c>
      <c r="D54" s="26">
        <f>SUM('By Lot'!D1582:D1583,'By Lot'!D1599:D1600,'By Lot'!D1618:D1619,'By Lot'!D1635:D1636,'By Lot'!D1652:D1653,'By Lot'!D1669:D1670)</f>
        <v>160</v>
      </c>
      <c r="E54" s="2">
        <f>SUM('By Lot'!E1582:E1583,'By Lot'!E1599:E1600,'By Lot'!E1618:E1619,'By Lot'!E1635:E1636,'By Lot'!E1652:E1653,'By Lot'!E1669:E1670)</f>
        <v>127</v>
      </c>
      <c r="F54" s="2">
        <f>SUM('By Lot'!F1582:F1583,'By Lot'!F1599:F1600,'By Lot'!F1618:F1619,'By Lot'!F1635:F1636,'By Lot'!F1652:F1653,'By Lot'!F1669:F1670)</f>
        <v>113</v>
      </c>
      <c r="G54" s="2">
        <f>SUM('By Lot'!G1582:G1583,'By Lot'!G1599:G1600,'By Lot'!G1618:G1619,'By Lot'!G1635:G1636,'By Lot'!G1652:G1653,'By Lot'!G1669:G1670)</f>
        <v>99</v>
      </c>
      <c r="H54" s="2">
        <f>SUM('By Lot'!H1582:H1583,'By Lot'!H1599:H1600,'By Lot'!H1618:H1619,'By Lot'!H1635:H1636,'By Lot'!H1652:H1653,'By Lot'!H1669:H1670)</f>
        <v>104</v>
      </c>
      <c r="I54" s="2">
        <f>SUM('By Lot'!I1582:I1583,'By Lot'!I1599:I1600,'By Lot'!I1618:I1619,'By Lot'!I1635:I1636,'By Lot'!I1652:I1653,'By Lot'!I1669:I1670)</f>
        <v>101</v>
      </c>
      <c r="J54" s="2">
        <f>SUM('By Lot'!J1582:J1583,'By Lot'!J1599:J1600,'By Lot'!J1618:J1619,'By Lot'!J1635:J1636,'By Lot'!J1652:J1653,'By Lot'!J1669:J1670)</f>
        <v>107</v>
      </c>
      <c r="K54" s="2">
        <f>SUM('By Lot'!K1582:K1583,'By Lot'!K1599:K1600,'By Lot'!K1618:K1619,'By Lot'!K1635:K1636,'By Lot'!K1652:K1653,'By Lot'!K1669:K1670)</f>
        <v>113</v>
      </c>
      <c r="L54" s="2">
        <f>SUM('By Lot'!L1582:L1583,'By Lot'!L1599:L1600,'By Lot'!L1618:L1619,'By Lot'!L1635:L1636,'By Lot'!L1652:L1653,'By Lot'!L1669:L1670)</f>
        <v>120</v>
      </c>
      <c r="M54" s="27">
        <f>SUM('By Lot'!M1582:M1583,'By Lot'!M1599:M1600,'By Lot'!M1618:M1619,'By Lot'!M1635:M1636,'By Lot'!M1652:M1653,'By Lot'!M1669:M1670)</f>
        <v>135</v>
      </c>
      <c r="N54" s="26">
        <f t="shared" ref="N54:N57" si="25">MIN(D54:M54)</f>
        <v>99</v>
      </c>
      <c r="O54" s="2">
        <f t="shared" ref="O54:O57" si="26">C54-N54</f>
        <v>123</v>
      </c>
      <c r="P54" s="24">
        <f t="shared" ref="P54:P57" si="27">O54/C54</f>
        <v>0.55405405405405406</v>
      </c>
      <c r="Q54" s="2"/>
    </row>
    <row r="55" spans="1:17" ht="11.25" customHeight="1">
      <c r="A55" s="18"/>
      <c r="B55" s="18" t="s">
        <v>32</v>
      </c>
      <c r="C55" s="18">
        <f>SUM('By Lot'!C1584,'By Lot'!C1602,'By Lot'!C1620,'By Lot'!C1637,'By Lot'!C1654,'By Lot'!C1671)</f>
        <v>7</v>
      </c>
      <c r="D55" s="26">
        <f>SUM('By Lot'!D1584,'By Lot'!D1602,'By Lot'!D1620,'By Lot'!D1637,'By Lot'!D1654,'By Lot'!D1671)</f>
        <v>5</v>
      </c>
      <c r="E55" s="2">
        <f>SUM('By Lot'!E1584,'By Lot'!E1602,'By Lot'!E1620,'By Lot'!E1637,'By Lot'!E1654,'By Lot'!E1671)</f>
        <v>5</v>
      </c>
      <c r="F55" s="2">
        <f>SUM('By Lot'!F1584,'By Lot'!F1602,'By Lot'!F1620,'By Lot'!F1637,'By Lot'!F1654,'By Lot'!F1671)</f>
        <v>5</v>
      </c>
      <c r="G55" s="2">
        <f>SUM('By Lot'!G1584,'By Lot'!G1602,'By Lot'!G1620,'By Lot'!G1637,'By Lot'!G1654,'By Lot'!G1671)</f>
        <v>5</v>
      </c>
      <c r="H55" s="2">
        <f>SUM('By Lot'!H1584,'By Lot'!H1602,'By Lot'!H1620,'By Lot'!H1637,'By Lot'!H1654,'By Lot'!H1671)</f>
        <v>5</v>
      </c>
      <c r="I55" s="2">
        <f>SUM('By Lot'!I1584,'By Lot'!I1602,'By Lot'!I1620,'By Lot'!I1637,'By Lot'!I1654,'By Lot'!I1671)</f>
        <v>4</v>
      </c>
      <c r="J55" s="2">
        <f>SUM('By Lot'!J1584,'By Lot'!J1602,'By Lot'!J1620,'By Lot'!J1637,'By Lot'!J1654,'By Lot'!J1671)</f>
        <v>5</v>
      </c>
      <c r="K55" s="2">
        <f>SUM('By Lot'!K1584,'By Lot'!K1602,'By Lot'!K1620,'By Lot'!K1637,'By Lot'!K1654,'By Lot'!K1671)</f>
        <v>5</v>
      </c>
      <c r="L55" s="2">
        <f>SUM('By Lot'!L1584,'By Lot'!L1602,'By Lot'!L1620,'By Lot'!L1637,'By Lot'!L1654,'By Lot'!L1671)</f>
        <v>5</v>
      </c>
      <c r="M55" s="27">
        <f>SUM('By Lot'!M1584,'By Lot'!M1602,'By Lot'!M1620,'By Lot'!M1637,'By Lot'!M1654,'By Lot'!M1671)</f>
        <v>5</v>
      </c>
      <c r="N55" s="26">
        <f t="shared" si="25"/>
        <v>4</v>
      </c>
      <c r="O55" s="2">
        <f t="shared" si="26"/>
        <v>3</v>
      </c>
      <c r="P55" s="24">
        <f t="shared" si="27"/>
        <v>0.42857142857142855</v>
      </c>
      <c r="Q55" s="2"/>
    </row>
    <row r="56" spans="1:17" ht="11.25" customHeight="1">
      <c r="A56" s="18"/>
      <c r="B56" s="18" t="s">
        <v>33</v>
      </c>
      <c r="C56" s="18">
        <f>SUM('By Lot'!C1585:C1590,'By Lot'!C1603:C1607,'By Lot'!C1621:C1626,'By Lot'!C1638:C1643,'By Lot'!C1655:C1660,'By Lot'!C1672:C1677)</f>
        <v>61</v>
      </c>
      <c r="D56" s="26">
        <f>SUM('By Lot'!D1585:D1590,'By Lot'!D1603:D1607,'By Lot'!D1621:D1626,'By Lot'!D1638:D1643,'By Lot'!D1655:D1660,'By Lot'!D1672:D1677)</f>
        <v>52</v>
      </c>
      <c r="E56" s="2">
        <f>SUM('By Lot'!E1585:E1590,'By Lot'!E1603:E1607,'By Lot'!E1621:E1626,'By Lot'!E1638:E1643,'By Lot'!E1655:E1660,'By Lot'!E1672:E1677)</f>
        <v>46</v>
      </c>
      <c r="F56" s="2">
        <f>SUM('By Lot'!F1585:F1590,'By Lot'!F1603:F1607,'By Lot'!F1621:F1626,'By Lot'!F1638:F1643,'By Lot'!F1655:F1660,'By Lot'!F1672:F1677)</f>
        <v>46</v>
      </c>
      <c r="G56" s="2">
        <f>SUM('By Lot'!G1585:G1590,'By Lot'!G1603:G1607,'By Lot'!G1621:G1626,'By Lot'!G1638:G1643,'By Lot'!G1655:G1660,'By Lot'!G1672:G1677)</f>
        <v>46</v>
      </c>
      <c r="H56" s="2">
        <f>SUM('By Lot'!H1585:H1590,'By Lot'!H1603:H1607,'By Lot'!H1621:H1626,'By Lot'!H1638:H1643,'By Lot'!H1655:H1660,'By Lot'!H1672:H1677)</f>
        <v>44</v>
      </c>
      <c r="I56" s="2">
        <f>SUM('By Lot'!I1585:I1590,'By Lot'!I1603:I1607,'By Lot'!I1621:I1626,'By Lot'!I1638:I1643,'By Lot'!I1655:I1660,'By Lot'!I1672:I1677)</f>
        <v>44</v>
      </c>
      <c r="J56" s="2">
        <f>SUM('By Lot'!J1585:J1590,'By Lot'!J1603:J1607,'By Lot'!J1621:J1626,'By Lot'!J1638:J1643,'By Lot'!J1655:J1660,'By Lot'!J1672:J1677)</f>
        <v>44</v>
      </c>
      <c r="K56" s="2">
        <f>SUM('By Lot'!K1585:K1590,'By Lot'!K1603:K1607,'By Lot'!K1621:K1626,'By Lot'!K1638:K1643,'By Lot'!K1655:K1660,'By Lot'!K1672:K1677)</f>
        <v>45</v>
      </c>
      <c r="L56" s="2">
        <f>SUM('By Lot'!L1585:L1590,'By Lot'!L1603:L1607,'By Lot'!L1621:L1626,'By Lot'!L1638:L1643,'By Lot'!L1655:L1660,'By Lot'!L1672:L1677)</f>
        <v>46</v>
      </c>
      <c r="M56" s="27">
        <f>SUM('By Lot'!M1585:M1590,'By Lot'!M1603:M1607,'By Lot'!M1621:M1626,'By Lot'!M1638:M1643,'By Lot'!M1655:M1660,'By Lot'!M1672:M1677)</f>
        <v>46</v>
      </c>
      <c r="N56" s="26">
        <f t="shared" si="25"/>
        <v>44</v>
      </c>
      <c r="O56" s="2">
        <f t="shared" si="26"/>
        <v>17</v>
      </c>
      <c r="P56" s="24">
        <f t="shared" si="27"/>
        <v>0.27868852459016391</v>
      </c>
      <c r="Q56" s="2"/>
    </row>
    <row r="57" spans="1:17" ht="11.25" customHeight="1">
      <c r="A57" s="18"/>
      <c r="B57" s="18" t="s">
        <v>34</v>
      </c>
      <c r="C57" s="18">
        <f>SUM('By Lot'!C1591,'By Lot'!C1610,'By Lot'!C1627,'By Lot'!C1644,'By Lot'!C1661,'By Lot'!C1678)</f>
        <v>20</v>
      </c>
      <c r="D57" s="26">
        <f>SUM('By Lot'!D1591,'By Lot'!D1610,'By Lot'!D1627,'By Lot'!D1644,'By Lot'!D1661,'By Lot'!D1678)</f>
        <v>7</v>
      </c>
      <c r="E57" s="2">
        <f>SUM('By Lot'!E1591,'By Lot'!E1610,'By Lot'!E1627,'By Lot'!E1644,'By Lot'!E1661,'By Lot'!E1678)</f>
        <v>4</v>
      </c>
      <c r="F57" s="2">
        <f>SUM('By Lot'!F1591,'By Lot'!F1610,'By Lot'!F1627,'By Lot'!F1644,'By Lot'!F1661,'By Lot'!F1678)</f>
        <v>4</v>
      </c>
      <c r="G57" s="2">
        <f>SUM('By Lot'!G1591,'By Lot'!G1610,'By Lot'!G1627,'By Lot'!G1644,'By Lot'!G1661,'By Lot'!G1678)</f>
        <v>5</v>
      </c>
      <c r="H57" s="2">
        <f>SUM('By Lot'!H1591,'By Lot'!H1610,'By Lot'!H1627,'By Lot'!H1644,'By Lot'!H1661,'By Lot'!H1678)</f>
        <v>6</v>
      </c>
      <c r="I57" s="2">
        <f>SUM('By Lot'!I1591,'By Lot'!I1610,'By Lot'!I1627,'By Lot'!I1644,'By Lot'!I1661,'By Lot'!I1678)</f>
        <v>9</v>
      </c>
      <c r="J57" s="2">
        <f>SUM('By Lot'!J1591,'By Lot'!J1610,'By Lot'!J1627,'By Lot'!J1644,'By Lot'!J1661,'By Lot'!J1678)</f>
        <v>9</v>
      </c>
      <c r="K57" s="2">
        <f>SUM('By Lot'!K1591,'By Lot'!K1610,'By Lot'!K1627,'By Lot'!K1644,'By Lot'!K1661,'By Lot'!K1678)</f>
        <v>7</v>
      </c>
      <c r="L57" s="2">
        <f>SUM('By Lot'!L1591,'By Lot'!L1610,'By Lot'!L1627,'By Lot'!L1644,'By Lot'!L1661,'By Lot'!L1678)</f>
        <v>7</v>
      </c>
      <c r="M57" s="27">
        <f>SUM('By Lot'!M1591,'By Lot'!M1610,'By Lot'!M1627,'By Lot'!M1644,'By Lot'!M1661,'By Lot'!M1678)</f>
        <v>9</v>
      </c>
      <c r="N57" s="26">
        <f t="shared" si="25"/>
        <v>4</v>
      </c>
      <c r="O57" s="2">
        <f t="shared" si="26"/>
        <v>16</v>
      </c>
      <c r="P57" s="24">
        <f t="shared" si="27"/>
        <v>0.8</v>
      </c>
      <c r="Q57" s="2"/>
    </row>
    <row r="58" spans="1:17" ht="11.25" customHeight="1">
      <c r="A58" s="18"/>
      <c r="B58" s="18" t="s">
        <v>35</v>
      </c>
      <c r="C58" s="18"/>
      <c r="D58" s="26"/>
      <c r="E58" s="2"/>
      <c r="F58" s="2"/>
      <c r="G58" s="2"/>
      <c r="H58" s="2"/>
      <c r="I58" s="2"/>
      <c r="J58" s="2"/>
      <c r="K58" s="2"/>
      <c r="L58" s="2"/>
      <c r="M58" s="27"/>
      <c r="N58" s="26"/>
      <c r="O58" s="2"/>
      <c r="P58" s="24"/>
      <c r="Q58" s="2"/>
    </row>
    <row r="59" spans="1:17" ht="11.25" customHeight="1">
      <c r="A59" s="18"/>
      <c r="B59" s="18" t="s">
        <v>36</v>
      </c>
      <c r="C59" s="18"/>
      <c r="D59" s="26"/>
      <c r="E59" s="2"/>
      <c r="F59" s="2"/>
      <c r="G59" s="2"/>
      <c r="H59" s="2"/>
      <c r="I59" s="2"/>
      <c r="J59" s="2"/>
      <c r="K59" s="2"/>
      <c r="L59" s="2"/>
      <c r="M59" s="27"/>
      <c r="N59" s="26"/>
      <c r="O59" s="2"/>
      <c r="P59" s="24"/>
      <c r="Q59" s="2"/>
    </row>
    <row r="60" spans="1:17" ht="11.25" customHeight="1">
      <c r="A60" s="18"/>
      <c r="B60" s="18" t="s">
        <v>37</v>
      </c>
      <c r="C60" s="18"/>
      <c r="D60" s="26"/>
      <c r="E60" s="2"/>
      <c r="F60" s="2"/>
      <c r="G60" s="2"/>
      <c r="H60" s="2"/>
      <c r="I60" s="2"/>
      <c r="J60" s="2"/>
      <c r="K60" s="2"/>
      <c r="L60" s="2"/>
      <c r="M60" s="27"/>
      <c r="N60" s="26"/>
      <c r="O60" s="2"/>
      <c r="P60" s="24"/>
      <c r="Q60" s="2"/>
    </row>
    <row r="61" spans="1:17" ht="11.25" customHeight="1">
      <c r="A61" s="32"/>
      <c r="B61" s="33" t="s">
        <v>38</v>
      </c>
      <c r="C61" s="94">
        <f t="shared" ref="C61:M61" si="28">SUM(C51:C60)</f>
        <v>834</v>
      </c>
      <c r="D61" s="67">
        <f t="shared" si="28"/>
        <v>674</v>
      </c>
      <c r="E61" s="68">
        <f t="shared" si="28"/>
        <v>611</v>
      </c>
      <c r="F61" s="68">
        <f t="shared" si="28"/>
        <v>572</v>
      </c>
      <c r="G61" s="68">
        <f t="shared" si="28"/>
        <v>550</v>
      </c>
      <c r="H61" s="68">
        <f t="shared" si="28"/>
        <v>549</v>
      </c>
      <c r="I61" s="68">
        <f t="shared" si="28"/>
        <v>550</v>
      </c>
      <c r="J61" s="68">
        <f t="shared" si="28"/>
        <v>566</v>
      </c>
      <c r="K61" s="68">
        <f t="shared" si="28"/>
        <v>566</v>
      </c>
      <c r="L61" s="68">
        <f t="shared" si="28"/>
        <v>600</v>
      </c>
      <c r="M61" s="69">
        <f t="shared" si="28"/>
        <v>645</v>
      </c>
      <c r="N61" s="70">
        <f t="shared" ref="N61:N65" si="29">MIN(D61:M61)</f>
        <v>549</v>
      </c>
      <c r="O61" s="71">
        <f t="shared" ref="O61:O65" si="30">C61-N61</f>
        <v>285</v>
      </c>
      <c r="P61" s="40">
        <f t="shared" ref="P61:P65" si="31">O61/C61</f>
        <v>0.34172661870503596</v>
      </c>
      <c r="Q61" s="2"/>
    </row>
    <row r="62" spans="1:17" ht="11.25" customHeight="1">
      <c r="A62" s="18" t="s">
        <v>436</v>
      </c>
      <c r="B62" s="26" t="s">
        <v>23</v>
      </c>
      <c r="C62" s="66">
        <f>SUM('By Lot'!C2027,'By Lot'!C2044,'By Lot'!C2061,'By Lot'!C2078,'By Lot'!C2095)</f>
        <v>156</v>
      </c>
      <c r="D62" s="72">
        <f>SUM('By Lot'!D2078)</f>
        <v>139</v>
      </c>
      <c r="E62" s="72">
        <f>SUM('By Lot'!E2078)</f>
        <v>102</v>
      </c>
      <c r="F62" s="72">
        <f>SUM('By Lot'!F2078)</f>
        <v>86</v>
      </c>
      <c r="G62" s="72">
        <f>SUM('By Lot'!G2078)</f>
        <v>78</v>
      </c>
      <c r="H62" s="72">
        <f>SUM('By Lot'!H2078)</f>
        <v>78</v>
      </c>
      <c r="I62" s="72">
        <f>SUM('By Lot'!I2078)</f>
        <v>72</v>
      </c>
      <c r="J62" s="72">
        <f>SUM('By Lot'!J2078)</f>
        <v>85</v>
      </c>
      <c r="K62" s="72">
        <f>SUM('By Lot'!K2078)</f>
        <v>72</v>
      </c>
      <c r="L62" s="72">
        <f>SUM('By Lot'!L2078)</f>
        <v>96</v>
      </c>
      <c r="M62" s="73">
        <f>SUM('By Lot'!M2078)</f>
        <v>110</v>
      </c>
      <c r="N62" s="2">
        <f t="shared" si="29"/>
        <v>72</v>
      </c>
      <c r="O62" s="2">
        <f t="shared" si="30"/>
        <v>84</v>
      </c>
      <c r="P62" s="24">
        <f t="shared" si="31"/>
        <v>0.53846153846153844</v>
      </c>
      <c r="Q62" s="2"/>
    </row>
    <row r="63" spans="1:17" ht="11.25" customHeight="1">
      <c r="A63" s="18" t="s">
        <v>437</v>
      </c>
      <c r="B63" s="26" t="s">
        <v>25</v>
      </c>
      <c r="C63" s="18">
        <f>SUM('By Lot'!C2028,'By Lot'!C2045,'By Lot'!C2062,'By Lot'!C2079,'By Lot'!C2096)</f>
        <v>522</v>
      </c>
      <c r="D63" s="2">
        <f>SUM('By Lot'!D2062+'By Lot'!D2079+'By Lot'!D2096)</f>
        <v>404</v>
      </c>
      <c r="E63" s="2">
        <f>SUM('By Lot'!E2062+'By Lot'!E2079+'By Lot'!E2096)</f>
        <v>346</v>
      </c>
      <c r="F63" s="2">
        <f>SUM('By Lot'!F2062+'By Lot'!F2079+'By Lot'!F2096)</f>
        <v>318</v>
      </c>
      <c r="G63" s="2">
        <f>SUM('By Lot'!G2062+'By Lot'!G2079+'By Lot'!G2096)</f>
        <v>307</v>
      </c>
      <c r="H63" s="2">
        <f>SUM('By Lot'!H2062+'By Lot'!H2079+'By Lot'!H2096)</f>
        <v>308</v>
      </c>
      <c r="I63" s="2">
        <f>SUM('By Lot'!I2062+'By Lot'!I2079+'By Lot'!I2096)</f>
        <v>320</v>
      </c>
      <c r="J63" s="2">
        <f>SUM('By Lot'!J2062+'By Lot'!J2079+'By Lot'!J2096)</f>
        <v>312</v>
      </c>
      <c r="K63" s="2">
        <f>SUM('By Lot'!K2062+'By Lot'!K2079+'By Lot'!K2096)</f>
        <v>332</v>
      </c>
      <c r="L63" s="2">
        <f>SUM('By Lot'!L2062+'By Lot'!L2079+'By Lot'!L2096)</f>
        <v>355</v>
      </c>
      <c r="M63" s="27">
        <f>SUM('By Lot'!M2062+'By Lot'!M2079+'By Lot'!M2096)</f>
        <v>403</v>
      </c>
      <c r="N63" s="2">
        <f t="shared" si="29"/>
        <v>307</v>
      </c>
      <c r="O63" s="2">
        <f t="shared" si="30"/>
        <v>215</v>
      </c>
      <c r="P63" s="24">
        <f t="shared" si="31"/>
        <v>0.4118773946360153</v>
      </c>
      <c r="Q63" s="2"/>
    </row>
    <row r="64" spans="1:17" ht="11.25" customHeight="1">
      <c r="A64" s="57"/>
      <c r="B64" s="26" t="s">
        <v>27</v>
      </c>
      <c r="C64" s="18">
        <f>SUM('By Lot'!C2029,'By Lot'!C2046,'By Lot'!C2063,'By Lot'!C2080,'By Lot'!C2097)</f>
        <v>428</v>
      </c>
      <c r="D64" s="2">
        <f>SUM('By Lot'!D2029+'By Lot'!D2046)</f>
        <v>418</v>
      </c>
      <c r="E64" s="2">
        <f>SUM('By Lot'!E2029+'By Lot'!E2046)</f>
        <v>408</v>
      </c>
      <c r="F64" s="2">
        <f>SUM('By Lot'!F2029+'By Lot'!F2046)</f>
        <v>404</v>
      </c>
      <c r="G64" s="2">
        <f>SUM('By Lot'!G2029+'By Lot'!G2046)</f>
        <v>401</v>
      </c>
      <c r="H64" s="2">
        <f>SUM('By Lot'!H2029+'By Lot'!H2046)</f>
        <v>399</v>
      </c>
      <c r="I64" s="2">
        <f>SUM('By Lot'!I2029+'By Lot'!I2046)</f>
        <v>397</v>
      </c>
      <c r="J64" s="2">
        <f>SUM('By Lot'!J2029+'By Lot'!J2046)</f>
        <v>401</v>
      </c>
      <c r="K64" s="2">
        <f>SUM('By Lot'!K2029+'By Lot'!K2046)</f>
        <v>405</v>
      </c>
      <c r="L64" s="2">
        <f>SUM('By Lot'!L2029+'By Lot'!L2046)</f>
        <v>406</v>
      </c>
      <c r="M64" s="27">
        <f>SUM('By Lot'!M2029+'By Lot'!M2046)</f>
        <v>412</v>
      </c>
      <c r="N64" s="2">
        <f t="shared" si="29"/>
        <v>397</v>
      </c>
      <c r="O64" s="2">
        <f t="shared" si="30"/>
        <v>31</v>
      </c>
      <c r="P64" s="24">
        <f t="shared" si="31"/>
        <v>7.2429906542056069E-2</v>
      </c>
      <c r="Q64" s="2"/>
    </row>
    <row r="65" spans="1:17" ht="11.25" customHeight="1">
      <c r="A65" s="57"/>
      <c r="B65" s="26" t="s">
        <v>31</v>
      </c>
      <c r="C65" s="18">
        <f>SUM('By Lot'!C2030:C2031,'By Lot'!C2047:C2048,'By Lot'!C2064:C2065,'By Lot'!C2081:C2082,'By Lot'!C2098:C2099)</f>
        <v>47</v>
      </c>
      <c r="D65" s="2">
        <f>SUM('By Lot'!D2064)</f>
        <v>34</v>
      </c>
      <c r="E65" s="2">
        <f>SUM('By Lot'!E2064)</f>
        <v>21</v>
      </c>
      <c r="F65" s="2">
        <f>SUM('By Lot'!F2064)</f>
        <v>12</v>
      </c>
      <c r="G65" s="2">
        <f>SUM('By Lot'!G2064)</f>
        <v>11</v>
      </c>
      <c r="H65" s="2">
        <f>SUM('By Lot'!H2064)</f>
        <v>7</v>
      </c>
      <c r="I65" s="2">
        <f>SUM('By Lot'!I2064)</f>
        <v>4</v>
      </c>
      <c r="J65" s="2">
        <f>SUM('By Lot'!J2064)</f>
        <v>3</v>
      </c>
      <c r="K65" s="2">
        <f>SUM('By Lot'!K2064)</f>
        <v>11</v>
      </c>
      <c r="L65" s="2">
        <f>SUM('By Lot'!L2064)</f>
        <v>18</v>
      </c>
      <c r="M65" s="27">
        <f>SUM('By Lot'!M2064)</f>
        <v>25</v>
      </c>
      <c r="N65" s="2">
        <f t="shared" si="29"/>
        <v>3</v>
      </c>
      <c r="O65" s="2">
        <f t="shared" si="30"/>
        <v>44</v>
      </c>
      <c r="P65" s="24">
        <f t="shared" si="31"/>
        <v>0.93617021276595747</v>
      </c>
      <c r="Q65" s="2"/>
    </row>
    <row r="66" spans="1:17" ht="11.25" customHeight="1">
      <c r="A66" s="57"/>
      <c r="B66" s="26" t="s">
        <v>32</v>
      </c>
      <c r="C66" s="18"/>
      <c r="D66" s="2"/>
      <c r="E66" s="2"/>
      <c r="F66" s="2"/>
      <c r="G66" s="2"/>
      <c r="H66" s="2"/>
      <c r="I66" s="2"/>
      <c r="J66" s="2"/>
      <c r="K66" s="2"/>
      <c r="L66" s="2"/>
      <c r="M66" s="27"/>
      <c r="N66" s="2"/>
      <c r="O66" s="2"/>
      <c r="P66" s="24"/>
      <c r="Q66" s="2"/>
    </row>
    <row r="67" spans="1:17" ht="11.25" customHeight="1">
      <c r="A67" s="18"/>
      <c r="B67" s="26" t="s">
        <v>33</v>
      </c>
      <c r="C67" s="18">
        <f>SUM('By Lot'!C2033:C2038,'By Lot'!C2050:C2055,'By Lot'!C2067:C2072,'By Lot'!C2084:C2089,'By Lot'!C2101:C2106)</f>
        <v>109</v>
      </c>
      <c r="D67" s="2">
        <f>SUM('By Lot'!C2033+'By Lot'!C2050+'By Lot'!C2051+'By Lot'!C2067+'By Lot'!C2068+'By Lot'!C2069+'By Lot'!C2084+'By Lot'!C2101)</f>
        <v>109</v>
      </c>
      <c r="E67" s="2">
        <f>SUM('By Lot'!D2033+'By Lot'!D2050+'By Lot'!D2051+'By Lot'!D2067+'By Lot'!D2068+'By Lot'!D2069+'By Lot'!D2084+'By Lot'!D2101)</f>
        <v>108</v>
      </c>
      <c r="F67" s="2">
        <f>SUM('By Lot'!E2033+'By Lot'!E2050+'By Lot'!E2051+'By Lot'!E2067+'By Lot'!E2068+'By Lot'!E2069+'By Lot'!E2084+'By Lot'!E2101)</f>
        <v>106</v>
      </c>
      <c r="G67" s="2">
        <f>SUM('By Lot'!F2033+'By Lot'!F2050+'By Lot'!F2051+'By Lot'!F2067+'By Lot'!F2068+'By Lot'!F2069+'By Lot'!F2084+'By Lot'!F2101)</f>
        <v>102</v>
      </c>
      <c r="H67" s="2">
        <f>SUM('By Lot'!G2033+'By Lot'!G2050+'By Lot'!G2051+'By Lot'!G2067+'By Lot'!G2068+'By Lot'!G2069+'By Lot'!G2084+'By Lot'!G2101)</f>
        <v>101</v>
      </c>
      <c r="I67" s="2">
        <f>SUM('By Lot'!H2033+'By Lot'!H2050+'By Lot'!H2051+'By Lot'!H2067+'By Lot'!H2068+'By Lot'!H2069+'By Lot'!H2084+'By Lot'!H2101)</f>
        <v>102</v>
      </c>
      <c r="J67" s="2">
        <f>SUM('By Lot'!I2033+'By Lot'!I2050+'By Lot'!I2051+'By Lot'!I2067+'By Lot'!I2068+'By Lot'!I2069+'By Lot'!I2084+'By Lot'!I2101)</f>
        <v>98</v>
      </c>
      <c r="K67" s="2">
        <f>SUM('By Lot'!J2033+'By Lot'!J2050+'By Lot'!J2051+'By Lot'!J2067+'By Lot'!J2068+'By Lot'!J2069+'By Lot'!J2084+'By Lot'!J2101)</f>
        <v>103</v>
      </c>
      <c r="L67" s="2">
        <f>SUM('By Lot'!K2033+'By Lot'!K2050+'By Lot'!K2051+'By Lot'!K2067+'By Lot'!K2068+'By Lot'!K2069+'By Lot'!K2084+'By Lot'!K2101)</f>
        <v>103</v>
      </c>
      <c r="M67" s="27">
        <f>SUM('By Lot'!L2033+'By Lot'!L2050+'By Lot'!L2051+'By Lot'!L2067+'By Lot'!L2068+'By Lot'!L2069+'By Lot'!L2084+'By Lot'!L2101)</f>
        <v>104</v>
      </c>
      <c r="N67" s="2">
        <f t="shared" ref="N67:N70" si="32">MIN(D67:M67)</f>
        <v>98</v>
      </c>
      <c r="O67" s="2">
        <f t="shared" ref="O67:O70" si="33">C67-N67</f>
        <v>11</v>
      </c>
      <c r="P67" s="24">
        <f t="shared" ref="P67:P70" si="34">O67/C67</f>
        <v>0.10091743119266056</v>
      </c>
      <c r="Q67" s="2"/>
    </row>
    <row r="68" spans="1:17" ht="11.25" customHeight="1">
      <c r="A68" s="18"/>
      <c r="B68" s="26" t="s">
        <v>34</v>
      </c>
      <c r="C68" s="18">
        <f>SUM('By Lot'!C2039,'By Lot'!C2056,'By Lot'!C2073,'By Lot'!C2090,'By Lot'!C2107)</f>
        <v>24</v>
      </c>
      <c r="D68" s="2">
        <f>SUM('By Lot'!D2039+'By Lot'!D2056+'By Lot'!D2073+'By Lot'!D2090+'By Lot'!D2107)</f>
        <v>23</v>
      </c>
      <c r="E68" s="2">
        <f>SUM('By Lot'!E2039+'By Lot'!E2056+'By Lot'!E2073+'By Lot'!E2090+'By Lot'!E2107)</f>
        <v>23</v>
      </c>
      <c r="F68" s="2">
        <f>SUM('By Lot'!F2039+'By Lot'!F2056+'By Lot'!F2073+'By Lot'!F2090+'By Lot'!F2107)</f>
        <v>23</v>
      </c>
      <c r="G68" s="2">
        <f>SUM('By Lot'!G2039+'By Lot'!G2056+'By Lot'!G2073+'By Lot'!G2090+'By Lot'!G2107)</f>
        <v>23</v>
      </c>
      <c r="H68" s="2">
        <f>SUM('By Lot'!H2039+'By Lot'!H2056+'By Lot'!H2073+'By Lot'!H2090+'By Lot'!H2107)</f>
        <v>23</v>
      </c>
      <c r="I68" s="2">
        <f>SUM('By Lot'!I2039+'By Lot'!I2056+'By Lot'!I2073+'By Lot'!I2090+'By Lot'!I2107)</f>
        <v>23</v>
      </c>
      <c r="J68" s="2">
        <f>SUM('By Lot'!J2039+'By Lot'!J2056+'By Lot'!J2073+'By Lot'!J2090+'By Lot'!J2107)</f>
        <v>23</v>
      </c>
      <c r="K68" s="2">
        <f>SUM('By Lot'!K2039+'By Lot'!K2056+'By Lot'!K2073+'By Lot'!K2090+'By Lot'!K2107)</f>
        <v>24</v>
      </c>
      <c r="L68" s="2">
        <f>SUM('By Lot'!L2039+'By Lot'!L2056+'By Lot'!L2073+'By Lot'!L2090+'By Lot'!L2107)</f>
        <v>24</v>
      </c>
      <c r="M68" s="27">
        <f>SUM('By Lot'!M2039+'By Lot'!M2056+'By Lot'!M2073+'By Lot'!M2090+'By Lot'!M2107)</f>
        <v>24</v>
      </c>
      <c r="N68" s="2">
        <f t="shared" si="32"/>
        <v>23</v>
      </c>
      <c r="O68" s="2">
        <f t="shared" si="33"/>
        <v>1</v>
      </c>
      <c r="P68" s="24">
        <f t="shared" si="34"/>
        <v>4.1666666666666664E-2</v>
      </c>
      <c r="Q68" s="2"/>
    </row>
    <row r="69" spans="1:17" ht="11.25" customHeight="1">
      <c r="A69" s="18"/>
      <c r="B69" s="26" t="s">
        <v>35</v>
      </c>
      <c r="C69" s="18">
        <f>SUM('By Lot'!C2040,'By Lot'!C2057,'By Lot'!C2074,'By Lot'!C2091,'By Lot'!C2108)</f>
        <v>16</v>
      </c>
      <c r="D69" s="2">
        <f>SUM('By Lot'!D2040+'By Lot'!D2057+'By Lot'!D2074+'By Lot'!D2091+'By Lot'!D2108)</f>
        <v>11</v>
      </c>
      <c r="E69" s="2">
        <f>SUM('By Lot'!E2040+'By Lot'!E2057+'By Lot'!E2074+'By Lot'!E2091+'By Lot'!E2108)</f>
        <v>11</v>
      </c>
      <c r="F69" s="2">
        <f>SUM('By Lot'!F2040+'By Lot'!F2057+'By Lot'!F2074+'By Lot'!F2091+'By Lot'!F2108)</f>
        <v>11</v>
      </c>
      <c r="G69" s="2">
        <f>SUM('By Lot'!G2040+'By Lot'!G2057+'By Lot'!G2074+'By Lot'!G2091+'By Lot'!G2108)</f>
        <v>12</v>
      </c>
      <c r="H69" s="2">
        <f>SUM('By Lot'!H2040+'By Lot'!H2057+'By Lot'!H2074+'By Lot'!H2091+'By Lot'!H2108)</f>
        <v>13</v>
      </c>
      <c r="I69" s="2">
        <f>SUM('By Lot'!I2040+'By Lot'!I2057+'By Lot'!I2074+'By Lot'!I2091+'By Lot'!I2108)</f>
        <v>12</v>
      </c>
      <c r="J69" s="2">
        <f>SUM('By Lot'!J2040+'By Lot'!J2057+'By Lot'!J2074+'By Lot'!J2091+'By Lot'!J2108)</f>
        <v>11</v>
      </c>
      <c r="K69" s="2">
        <f>SUM('By Lot'!K2040+'By Lot'!K2057+'By Lot'!K2074+'By Lot'!K2091+'By Lot'!K2108)</f>
        <v>10</v>
      </c>
      <c r="L69" s="2">
        <f>SUM('By Lot'!L2040+'By Lot'!L2057+'By Lot'!L2074+'By Lot'!L2091+'By Lot'!L2108)</f>
        <v>10</v>
      </c>
      <c r="M69" s="27">
        <f>SUM('By Lot'!M2040+'By Lot'!M2057+'By Lot'!M2074+'By Lot'!M2091+'By Lot'!M2108)</f>
        <v>10</v>
      </c>
      <c r="N69" s="2">
        <f t="shared" si="32"/>
        <v>10</v>
      </c>
      <c r="O69" s="2">
        <f t="shared" si="33"/>
        <v>6</v>
      </c>
      <c r="P69" s="24">
        <f t="shared" si="34"/>
        <v>0.375</v>
      </c>
      <c r="Q69" s="2"/>
    </row>
    <row r="70" spans="1:17" ht="11.25" customHeight="1">
      <c r="A70" s="18"/>
      <c r="B70" s="26" t="s">
        <v>36</v>
      </c>
      <c r="C70" s="18">
        <f>SUM('By Lot'!C2041,'By Lot'!C2058,'By Lot'!C2075,'By Lot'!C2092,'By Lot'!C2109)</f>
        <v>2</v>
      </c>
      <c r="D70" s="2">
        <f>SUM('By Lot'!D2041)</f>
        <v>2</v>
      </c>
      <c r="E70" s="2">
        <f>SUM('By Lot'!E2041)</f>
        <v>2</v>
      </c>
      <c r="F70" s="2">
        <f>SUM('By Lot'!F2041)</f>
        <v>2</v>
      </c>
      <c r="G70" s="2">
        <f>SUM('By Lot'!G2041)</f>
        <v>2</v>
      </c>
      <c r="H70" s="2">
        <f>SUM('By Lot'!H2041)</f>
        <v>2</v>
      </c>
      <c r="I70" s="2">
        <f>SUM('By Lot'!I2041)</f>
        <v>2</v>
      </c>
      <c r="J70" s="2">
        <f>SUM('By Lot'!J2041)</f>
        <v>2</v>
      </c>
      <c r="K70" s="2">
        <f>SUM('By Lot'!K2041)</f>
        <v>0</v>
      </c>
      <c r="L70" s="2">
        <f>SUM('By Lot'!L2041)</f>
        <v>0</v>
      </c>
      <c r="M70" s="27">
        <f>SUM('By Lot'!M2041)</f>
        <v>0</v>
      </c>
      <c r="N70" s="2">
        <f t="shared" si="32"/>
        <v>0</v>
      </c>
      <c r="O70" s="2">
        <f t="shared" si="33"/>
        <v>2</v>
      </c>
      <c r="P70" s="24">
        <f t="shared" si="34"/>
        <v>1</v>
      </c>
      <c r="Q70" s="2"/>
    </row>
    <row r="71" spans="1:17" ht="11.25" customHeight="1">
      <c r="A71" s="18"/>
      <c r="B71" s="26" t="s">
        <v>37</v>
      </c>
      <c r="C71" s="32"/>
      <c r="D71" s="2"/>
      <c r="E71" s="2"/>
      <c r="F71" s="2"/>
      <c r="G71" s="2"/>
      <c r="H71" s="2"/>
      <c r="I71" s="2"/>
      <c r="J71" s="2"/>
      <c r="K71" s="2"/>
      <c r="L71" s="2"/>
      <c r="M71" s="27"/>
      <c r="N71" s="2"/>
      <c r="O71" s="2"/>
      <c r="P71" s="24"/>
      <c r="Q71" s="2"/>
    </row>
    <row r="72" spans="1:17" ht="11.25" customHeight="1">
      <c r="A72" s="229"/>
      <c r="B72" s="230" t="s">
        <v>38</v>
      </c>
      <c r="C72" s="235">
        <f>SUM(C62:C71)</f>
        <v>1304</v>
      </c>
      <c r="D72" s="236">
        <f t="shared" ref="D72:M72" si="35">SUM(D62:D71)</f>
        <v>1140</v>
      </c>
      <c r="E72" s="237">
        <f t="shared" si="35"/>
        <v>1021</v>
      </c>
      <c r="F72" s="237">
        <f t="shared" si="35"/>
        <v>962</v>
      </c>
      <c r="G72" s="237">
        <f t="shared" si="35"/>
        <v>936</v>
      </c>
      <c r="H72" s="237">
        <f t="shared" si="35"/>
        <v>931</v>
      </c>
      <c r="I72" s="237">
        <f t="shared" si="35"/>
        <v>932</v>
      </c>
      <c r="J72" s="237">
        <f t="shared" si="35"/>
        <v>935</v>
      </c>
      <c r="K72" s="237">
        <f t="shared" si="35"/>
        <v>957</v>
      </c>
      <c r="L72" s="237">
        <f t="shared" si="35"/>
        <v>1012</v>
      </c>
      <c r="M72" s="238">
        <f t="shared" si="35"/>
        <v>1088</v>
      </c>
      <c r="N72" s="239">
        <f t="shared" ref="N72:N74" si="36">MIN(D72:M72)</f>
        <v>931</v>
      </c>
      <c r="O72" s="232">
        <f t="shared" ref="O72:O74" si="37">C72-N72</f>
        <v>373</v>
      </c>
      <c r="P72" s="234">
        <f t="shared" ref="P72:P74" si="38">O72/C72</f>
        <v>0.28604294478527609</v>
      </c>
      <c r="Q72" s="2"/>
    </row>
    <row r="73" spans="1:17" ht="11.25" customHeight="1">
      <c r="A73" s="18" t="s">
        <v>438</v>
      </c>
      <c r="B73" s="18" t="s">
        <v>23</v>
      </c>
      <c r="C73" s="18">
        <f>SUM('By Lot'!C2198,'By Lot'!C2215)</f>
        <v>194</v>
      </c>
      <c r="D73" s="26">
        <f>SUM('By Lot'!D2198,'By Lot'!D2215)</f>
        <v>38</v>
      </c>
      <c r="E73" s="2">
        <f>SUM('By Lot'!E2198,'By Lot'!E2215)</f>
        <v>14</v>
      </c>
      <c r="F73" s="2">
        <f>SUM('By Lot'!F2198,'By Lot'!F2215)</f>
        <v>14</v>
      </c>
      <c r="G73" s="2">
        <f>SUM('By Lot'!G2198,'By Lot'!G2215)</f>
        <v>13</v>
      </c>
      <c r="H73" s="2">
        <f>SUM('By Lot'!H2198,'By Lot'!H2215)</f>
        <v>10</v>
      </c>
      <c r="I73" s="2">
        <f>SUM('By Lot'!I2198,'By Lot'!I2215)</f>
        <v>8</v>
      </c>
      <c r="J73" s="2">
        <f>SUM('By Lot'!J2198,'By Lot'!J2215)</f>
        <v>9</v>
      </c>
      <c r="K73" s="2">
        <f>SUM('By Lot'!K2198,'By Lot'!K2215)</f>
        <v>20</v>
      </c>
      <c r="L73" s="2">
        <f>SUM('By Lot'!L2198,'By Lot'!L2215)</f>
        <v>36</v>
      </c>
      <c r="M73" s="27">
        <f>SUM('By Lot'!M2198,'By Lot'!M2215)</f>
        <v>43</v>
      </c>
      <c r="N73" s="26">
        <f t="shared" si="36"/>
        <v>8</v>
      </c>
      <c r="O73" s="2">
        <f t="shared" si="37"/>
        <v>186</v>
      </c>
      <c r="P73" s="24">
        <f t="shared" si="38"/>
        <v>0.95876288659793818</v>
      </c>
      <c r="Q73" s="2"/>
    </row>
    <row r="74" spans="1:17" ht="11.25" customHeight="1">
      <c r="A74" s="18" t="s">
        <v>58</v>
      </c>
      <c r="B74" s="18" t="s">
        <v>25</v>
      </c>
      <c r="C74" s="18">
        <f>SUM('By Lot'!C2199,'By Lot'!C2216)</f>
        <v>177</v>
      </c>
      <c r="D74" s="26">
        <f>SUM('By Lot'!D2199,'By Lot'!D2216)</f>
        <v>112</v>
      </c>
      <c r="E74" s="2">
        <f>SUM('By Lot'!E2199,'By Lot'!E2216)</f>
        <v>83</v>
      </c>
      <c r="F74" s="2">
        <f>SUM('By Lot'!F2199,'By Lot'!F2216)</f>
        <v>67</v>
      </c>
      <c r="G74" s="2">
        <f>SUM('By Lot'!G2199,'By Lot'!G2216)</f>
        <v>59</v>
      </c>
      <c r="H74" s="2">
        <f>SUM('By Lot'!H2199,'By Lot'!H2216)</f>
        <v>62</v>
      </c>
      <c r="I74" s="2">
        <f>SUM('By Lot'!I2199,'By Lot'!I2216)</f>
        <v>48</v>
      </c>
      <c r="J74" s="2">
        <f>SUM('By Lot'!J2199,'By Lot'!J2216)</f>
        <v>50</v>
      </c>
      <c r="K74" s="2">
        <f>SUM('By Lot'!K2199,'By Lot'!K2216)</f>
        <v>55</v>
      </c>
      <c r="L74" s="2">
        <f>SUM('By Lot'!L2199,'By Lot'!L2216)</f>
        <v>60</v>
      </c>
      <c r="M74" s="27">
        <f>SUM('By Lot'!M2199,'By Lot'!M2216)</f>
        <v>69</v>
      </c>
      <c r="N74" s="26">
        <f t="shared" si="36"/>
        <v>48</v>
      </c>
      <c r="O74" s="2">
        <f t="shared" si="37"/>
        <v>129</v>
      </c>
      <c r="P74" s="24">
        <f t="shared" si="38"/>
        <v>0.72881355932203384</v>
      </c>
      <c r="Q74" s="2"/>
    </row>
    <row r="75" spans="1:17" ht="11.25" customHeight="1">
      <c r="A75" s="18" t="s">
        <v>439</v>
      </c>
      <c r="B75" s="18" t="s">
        <v>27</v>
      </c>
      <c r="C75" s="18"/>
      <c r="D75" s="26"/>
      <c r="E75" s="2"/>
      <c r="F75" s="2"/>
      <c r="G75" s="2"/>
      <c r="H75" s="2"/>
      <c r="I75" s="2"/>
      <c r="J75" s="2"/>
      <c r="K75" s="2"/>
      <c r="L75" s="2"/>
      <c r="M75" s="27"/>
      <c r="N75" s="26"/>
      <c r="O75" s="2"/>
      <c r="P75" s="24"/>
      <c r="Q75" s="2"/>
    </row>
    <row r="76" spans="1:17" ht="11.25" customHeight="1">
      <c r="A76" s="18"/>
      <c r="B76" s="18" t="s">
        <v>31</v>
      </c>
      <c r="C76" s="18"/>
      <c r="D76" s="26"/>
      <c r="E76" s="2"/>
      <c r="F76" s="2"/>
      <c r="G76" s="2"/>
      <c r="H76" s="2"/>
      <c r="I76" s="2"/>
      <c r="J76" s="2"/>
      <c r="K76" s="2"/>
      <c r="L76" s="2"/>
      <c r="M76" s="27"/>
      <c r="N76" s="26"/>
      <c r="O76" s="2"/>
      <c r="P76" s="24"/>
      <c r="Q76" s="2"/>
    </row>
    <row r="77" spans="1:17" ht="11.25" customHeight="1">
      <c r="A77" s="18"/>
      <c r="B77" s="18" t="s">
        <v>32</v>
      </c>
      <c r="C77" s="18">
        <f>SUM('By Lot'!C2203,'By Lot'!C2220)</f>
        <v>40</v>
      </c>
      <c r="D77" s="26">
        <f>SUM('By Lot'!D2203,'By Lot'!D2220)</f>
        <v>28</v>
      </c>
      <c r="E77" s="2">
        <f>SUM('By Lot'!E2203,'By Lot'!E2220)</f>
        <v>27</v>
      </c>
      <c r="F77" s="2">
        <f>SUM('By Lot'!F2203,'By Lot'!F2220)</f>
        <v>25</v>
      </c>
      <c r="G77" s="2">
        <f>SUM('By Lot'!G2203,'By Lot'!G2220)</f>
        <v>24</v>
      </c>
      <c r="H77" s="2">
        <f>SUM('By Lot'!H2203,'By Lot'!H2220)</f>
        <v>23</v>
      </c>
      <c r="I77" s="2">
        <f>SUM('By Lot'!I2203,'By Lot'!I2220)</f>
        <v>25</v>
      </c>
      <c r="J77" s="2">
        <f>SUM('By Lot'!J2203,'By Lot'!J2220)</f>
        <v>23</v>
      </c>
      <c r="K77" s="2">
        <f>SUM('By Lot'!K2203,'By Lot'!K2220)</f>
        <v>24</v>
      </c>
      <c r="L77" s="2">
        <f>SUM('By Lot'!L2203,'By Lot'!L2220)</f>
        <v>25</v>
      </c>
      <c r="M77" s="27">
        <f>SUM('By Lot'!M2203,'By Lot'!M2220)</f>
        <v>25</v>
      </c>
      <c r="N77" s="26">
        <f t="shared" ref="N77:N79" si="39">MIN(D77:M77)</f>
        <v>23</v>
      </c>
      <c r="O77" s="2">
        <f t="shared" ref="O77:O79" si="40">C77-N77</f>
        <v>17</v>
      </c>
      <c r="P77" s="24">
        <f t="shared" ref="P77:P79" si="41">O77/C77</f>
        <v>0.42499999999999999</v>
      </c>
      <c r="Q77" s="2"/>
    </row>
    <row r="78" spans="1:17" ht="11.25" customHeight="1">
      <c r="A78" s="18"/>
      <c r="B78" s="18" t="s">
        <v>33</v>
      </c>
      <c r="C78" s="18">
        <f>SUM('By Lot'!C2204:C2209,'By Lot'!C2221:C2226)</f>
        <v>3</v>
      </c>
      <c r="D78" s="26">
        <f>SUM('By Lot'!D2204:D2209,'By Lot'!D2221:D2226)</f>
        <v>1</v>
      </c>
      <c r="E78" s="2">
        <f>SUM('By Lot'!E2204:E2209,'By Lot'!E2221:E2226)</f>
        <v>1</v>
      </c>
      <c r="F78" s="2">
        <f>SUM('By Lot'!F2204:F2209,'By Lot'!F2221:F2226)</f>
        <v>1</v>
      </c>
      <c r="G78" s="2">
        <f>SUM('By Lot'!G2204:G2209,'By Lot'!G2221:G2226)</f>
        <v>1</v>
      </c>
      <c r="H78" s="2">
        <f>SUM('By Lot'!H2204:H2209,'By Lot'!H2221:H2226)</f>
        <v>1</v>
      </c>
      <c r="I78" s="2">
        <f>SUM('By Lot'!I2204:I2209,'By Lot'!I2221:I2226)</f>
        <v>2</v>
      </c>
      <c r="J78" s="2">
        <f>SUM('By Lot'!J2204:J2209,'By Lot'!J2221:J2226)</f>
        <v>2</v>
      </c>
      <c r="K78" s="2">
        <f>SUM('By Lot'!K2204:K2209,'By Lot'!K2221:K2226)</f>
        <v>3</v>
      </c>
      <c r="L78" s="2">
        <f>SUM('By Lot'!L2204:L2209,'By Lot'!L2221:L2226)</f>
        <v>2</v>
      </c>
      <c r="M78" s="27">
        <f>SUM('By Lot'!M2204:M2209,'By Lot'!M2221:M2226)</f>
        <v>2</v>
      </c>
      <c r="N78" s="26">
        <f t="shared" si="39"/>
        <v>1</v>
      </c>
      <c r="O78" s="2">
        <f t="shared" si="40"/>
        <v>2</v>
      </c>
      <c r="P78" s="24">
        <f t="shared" si="41"/>
        <v>0.66666666666666663</v>
      </c>
      <c r="Q78" s="2"/>
    </row>
    <row r="79" spans="1:17" ht="11.25" customHeight="1">
      <c r="A79" s="18"/>
      <c r="B79" s="18" t="s">
        <v>34</v>
      </c>
      <c r="C79" s="18">
        <f>SUM('By Lot'!C2210,'By Lot'!C2227)</f>
        <v>12</v>
      </c>
      <c r="D79" s="26">
        <f>SUM('By Lot'!D2210,'By Lot'!D2227)</f>
        <v>12</v>
      </c>
      <c r="E79" s="2">
        <f>SUM('By Lot'!E2210,'By Lot'!E2227)</f>
        <v>12</v>
      </c>
      <c r="F79" s="2">
        <f>SUM('By Lot'!F2210,'By Lot'!F2227)</f>
        <v>11</v>
      </c>
      <c r="G79" s="2">
        <f>SUM('By Lot'!G2210,'By Lot'!G2227)</f>
        <v>10</v>
      </c>
      <c r="H79" s="2">
        <f>SUM('By Lot'!H2210,'By Lot'!H2227)</f>
        <v>11</v>
      </c>
      <c r="I79" s="2">
        <f>SUM('By Lot'!I2210,'By Lot'!I2227)</f>
        <v>11</v>
      </c>
      <c r="J79" s="2">
        <f>SUM('By Lot'!J2210,'By Lot'!J2227)</f>
        <v>11</v>
      </c>
      <c r="K79" s="2">
        <f>SUM('By Lot'!K2210,'By Lot'!K2227)</f>
        <v>11</v>
      </c>
      <c r="L79" s="2">
        <f>SUM('By Lot'!L2210,'By Lot'!L2227)</f>
        <v>11</v>
      </c>
      <c r="M79" s="27">
        <f>SUM('By Lot'!M2210,'By Lot'!M2227)</f>
        <v>11</v>
      </c>
      <c r="N79" s="26">
        <f t="shared" si="39"/>
        <v>10</v>
      </c>
      <c r="O79" s="2">
        <f t="shared" si="40"/>
        <v>2</v>
      </c>
      <c r="P79" s="24">
        <f t="shared" si="41"/>
        <v>0.16666666666666666</v>
      </c>
      <c r="Q79" s="2"/>
    </row>
    <row r="80" spans="1:17" ht="11.25" customHeight="1">
      <c r="A80" s="18"/>
      <c r="B80" s="18" t="s">
        <v>35</v>
      </c>
      <c r="C80" s="18"/>
      <c r="D80" s="26"/>
      <c r="E80" s="2"/>
      <c r="F80" s="2"/>
      <c r="G80" s="2"/>
      <c r="H80" s="2"/>
      <c r="I80" s="2"/>
      <c r="J80" s="2"/>
      <c r="K80" s="2"/>
      <c r="L80" s="2"/>
      <c r="M80" s="27"/>
      <c r="N80" s="26"/>
      <c r="O80" s="2"/>
      <c r="P80" s="24"/>
      <c r="Q80" s="2"/>
    </row>
    <row r="81" spans="1:17" ht="11.25" customHeight="1">
      <c r="A81" s="18"/>
      <c r="B81" s="18" t="s">
        <v>36</v>
      </c>
      <c r="C81" s="18"/>
      <c r="D81" s="26"/>
      <c r="E81" s="2"/>
      <c r="F81" s="2"/>
      <c r="G81" s="2"/>
      <c r="H81" s="2"/>
      <c r="I81" s="2"/>
      <c r="J81" s="2"/>
      <c r="K81" s="2"/>
      <c r="L81" s="2"/>
      <c r="M81" s="27"/>
      <c r="N81" s="26"/>
      <c r="O81" s="2"/>
      <c r="P81" s="24"/>
      <c r="Q81" s="2"/>
    </row>
    <row r="82" spans="1:17" ht="11.25" customHeight="1">
      <c r="A82" s="18"/>
      <c r="B82" s="18" t="s">
        <v>37</v>
      </c>
      <c r="C82" s="18"/>
      <c r="D82" s="26"/>
      <c r="E82" s="2"/>
      <c r="F82" s="2"/>
      <c r="G82" s="2"/>
      <c r="H82" s="2"/>
      <c r="I82" s="2"/>
      <c r="J82" s="2"/>
      <c r="K82" s="2"/>
      <c r="L82" s="2"/>
      <c r="M82" s="27"/>
      <c r="N82" s="26"/>
      <c r="O82" s="2"/>
      <c r="P82" s="24"/>
      <c r="Q82" s="2"/>
    </row>
    <row r="83" spans="1:17" ht="11.25" customHeight="1">
      <c r="A83" s="32"/>
      <c r="B83" s="33" t="s">
        <v>38</v>
      </c>
      <c r="C83" s="33">
        <f t="shared" ref="C83:M83" si="42">SUM(C73:C82)</f>
        <v>426</v>
      </c>
      <c r="D83" s="70">
        <f t="shared" si="42"/>
        <v>191</v>
      </c>
      <c r="E83" s="71">
        <f t="shared" si="42"/>
        <v>137</v>
      </c>
      <c r="F83" s="71">
        <f t="shared" si="42"/>
        <v>118</v>
      </c>
      <c r="G83" s="71">
        <f t="shared" si="42"/>
        <v>107</v>
      </c>
      <c r="H83" s="71">
        <f t="shared" si="42"/>
        <v>107</v>
      </c>
      <c r="I83" s="71">
        <f t="shared" si="42"/>
        <v>94</v>
      </c>
      <c r="J83" s="71">
        <f t="shared" si="42"/>
        <v>95</v>
      </c>
      <c r="K83" s="71">
        <f t="shared" si="42"/>
        <v>113</v>
      </c>
      <c r="L83" s="71">
        <f t="shared" si="42"/>
        <v>134</v>
      </c>
      <c r="M83" s="93">
        <f t="shared" si="42"/>
        <v>150</v>
      </c>
      <c r="N83" s="70">
        <f t="shared" ref="N83:N84" si="43">MIN(D83:M83)</f>
        <v>94</v>
      </c>
      <c r="O83" s="71">
        <f t="shared" ref="O83:O84" si="44">C83-N83</f>
        <v>332</v>
      </c>
      <c r="P83" s="40">
        <f t="shared" ref="P83:P84" si="45">O83/C83</f>
        <v>0.77934272300469487</v>
      </c>
      <c r="Q83" s="2"/>
    </row>
    <row r="84" spans="1:17" ht="11.25" customHeight="1">
      <c r="A84" s="66" t="s">
        <v>438</v>
      </c>
      <c r="B84" s="18" t="s">
        <v>23</v>
      </c>
      <c r="C84" s="18">
        <f>SUM('By Lot'!C2249,'By Lot'!C2266,'By Lot'!C2283,'By Lot'!C2300,'By Lot'!C2317)</f>
        <v>7</v>
      </c>
      <c r="D84" s="26">
        <f>SUM('By Lot'!D2249,'By Lot'!D2266,'By Lot'!D2283,'By Lot'!D2300,'By Lot'!D2317)</f>
        <v>6</v>
      </c>
      <c r="E84" s="2">
        <f>SUM('By Lot'!E2249,'By Lot'!E2266,'By Lot'!E2283,'By Lot'!E2300,'By Lot'!E2317)</f>
        <v>3</v>
      </c>
      <c r="F84" s="2">
        <f>SUM('By Lot'!F2249,'By Lot'!F2266,'By Lot'!F2283,'By Lot'!F2300,'By Lot'!F2317)</f>
        <v>2</v>
      </c>
      <c r="G84" s="2">
        <f>SUM('By Lot'!G2249,'By Lot'!G2266,'By Lot'!G2283,'By Lot'!G2300,'By Lot'!G2317)</f>
        <v>2</v>
      </c>
      <c r="H84" s="2">
        <f>SUM('By Lot'!H2249,'By Lot'!H2266,'By Lot'!H2283,'By Lot'!H2300,'By Lot'!H2317)</f>
        <v>1</v>
      </c>
      <c r="I84" s="2">
        <f>SUM('By Lot'!I2249,'By Lot'!I2266,'By Lot'!I2283,'By Lot'!I2300,'By Lot'!I2317)</f>
        <v>0</v>
      </c>
      <c r="J84" s="2">
        <f>SUM('By Lot'!J2249,'By Lot'!J2266,'By Lot'!J2283,'By Lot'!J2300,'By Lot'!J2317)</f>
        <v>0</v>
      </c>
      <c r="K84" s="2">
        <f>SUM('By Lot'!K2249,'By Lot'!K2266,'By Lot'!K2283,'By Lot'!K2300,'By Lot'!K2317)</f>
        <v>1</v>
      </c>
      <c r="L84" s="2">
        <f>SUM('By Lot'!L2249,'By Lot'!L2266,'By Lot'!L2283,'By Lot'!L2300,'By Lot'!L2317)</f>
        <v>2</v>
      </c>
      <c r="M84" s="27">
        <f>SUM('By Lot'!M2249,'By Lot'!M2266,'By Lot'!M2283,'By Lot'!M2300,'By Lot'!M2317)</f>
        <v>3</v>
      </c>
      <c r="N84" s="26">
        <f t="shared" si="43"/>
        <v>0</v>
      </c>
      <c r="O84" s="2">
        <f t="shared" si="44"/>
        <v>7</v>
      </c>
      <c r="P84" s="24">
        <f t="shared" si="45"/>
        <v>1</v>
      </c>
      <c r="Q84" s="2"/>
    </row>
    <row r="85" spans="1:17" ht="11.25" customHeight="1">
      <c r="A85" s="18" t="s">
        <v>53</v>
      </c>
      <c r="B85" s="18" t="s">
        <v>25</v>
      </c>
      <c r="C85" s="18"/>
      <c r="D85" s="26"/>
      <c r="E85" s="2"/>
      <c r="F85" s="2"/>
      <c r="G85" s="2"/>
      <c r="H85" s="2"/>
      <c r="I85" s="2"/>
      <c r="J85" s="2"/>
      <c r="K85" s="2"/>
      <c r="L85" s="2"/>
      <c r="M85" s="27"/>
      <c r="N85" s="26"/>
      <c r="O85" s="2"/>
      <c r="P85" s="24"/>
      <c r="Q85" s="2"/>
    </row>
    <row r="86" spans="1:17" ht="11.25" customHeight="1">
      <c r="A86" s="18" t="s">
        <v>440</v>
      </c>
      <c r="B86" s="18" t="s">
        <v>27</v>
      </c>
      <c r="C86" s="18"/>
      <c r="D86" s="26"/>
      <c r="E86" s="2"/>
      <c r="F86" s="2"/>
      <c r="G86" s="2"/>
      <c r="H86" s="2"/>
      <c r="I86" s="2"/>
      <c r="J86" s="2"/>
      <c r="K86" s="2"/>
      <c r="L86" s="2"/>
      <c r="M86" s="27"/>
      <c r="N86" s="26"/>
      <c r="O86" s="2"/>
      <c r="P86" s="24"/>
      <c r="Q86" s="2"/>
    </row>
    <row r="87" spans="1:17" ht="11.25" customHeight="1">
      <c r="A87" s="18"/>
      <c r="B87" s="18" t="s">
        <v>31</v>
      </c>
      <c r="C87" s="18">
        <f>SUM('By Lot'!C2252:C2253,'By Lot'!C2269:C2270,'By Lot'!C2286:C2287,'By Lot'!C2303:C2304,'By Lot'!C2320:C2321)</f>
        <v>614</v>
      </c>
      <c r="D87" s="26">
        <f>SUM('By Lot'!D2252:D2253,'By Lot'!D2269:D2270,'By Lot'!D2286:D2287,'By Lot'!D2303:D2304,'By Lot'!D2320:D2321)</f>
        <v>342</v>
      </c>
      <c r="E87" s="2">
        <f>SUM('By Lot'!E2252:E2253,'By Lot'!E2269:E2270,'By Lot'!E2286:E2287,'By Lot'!E2303:E2304,'By Lot'!E2320:E2321)</f>
        <v>279</v>
      </c>
      <c r="F87" s="2">
        <f>SUM('By Lot'!F2252:F2253,'By Lot'!F2269:F2270,'By Lot'!F2286:F2287,'By Lot'!F2303:F2304,'By Lot'!F2320:F2321)</f>
        <v>228</v>
      </c>
      <c r="G87" s="2">
        <f>SUM('By Lot'!G2252:G2253,'By Lot'!G2269:G2270,'By Lot'!G2286:G2287,'By Lot'!G2303:G2304,'By Lot'!G2320:G2321)</f>
        <v>232</v>
      </c>
      <c r="H87" s="2">
        <f>SUM('By Lot'!H2252:H2253,'By Lot'!H2269:H2270,'By Lot'!H2286:H2287,'By Lot'!H2303:H2304,'By Lot'!H2320:H2321)</f>
        <v>251</v>
      </c>
      <c r="I87" s="2">
        <f>SUM('By Lot'!I2252:I2253,'By Lot'!I2269:I2270,'By Lot'!I2286:I2287,'By Lot'!I2303:I2304,'By Lot'!I2320:I2321)</f>
        <v>183</v>
      </c>
      <c r="J87" s="2">
        <f>SUM('By Lot'!J2252:J2253,'By Lot'!J2269:J2270,'By Lot'!J2286:J2287,'By Lot'!J2303:J2304,'By Lot'!J2320:J2321)</f>
        <v>200</v>
      </c>
      <c r="K87" s="2">
        <f>SUM('By Lot'!K2252:K2253,'By Lot'!K2269:K2270,'By Lot'!K2286:K2287,'By Lot'!K2303:K2304,'By Lot'!K2320:K2321)</f>
        <v>253</v>
      </c>
      <c r="L87" s="2">
        <f>SUM('By Lot'!L2252:L2253,'By Lot'!L2269:L2270,'By Lot'!L2286:L2287,'By Lot'!L2303:L2304,'By Lot'!L2320:L2321)</f>
        <v>273</v>
      </c>
      <c r="M87" s="27">
        <f>SUM('By Lot'!M2252:M2253,'By Lot'!M2269:M2270,'By Lot'!M2286:M2287,'By Lot'!M2303:M2304,'By Lot'!M2320:M2321)</f>
        <v>270</v>
      </c>
      <c r="N87" s="26">
        <f t="shared" ref="N87:N90" si="46">MIN(D87:M87)</f>
        <v>183</v>
      </c>
      <c r="O87" s="2">
        <f t="shared" ref="O87:O90" si="47">C87-N87</f>
        <v>431</v>
      </c>
      <c r="P87" s="24">
        <f t="shared" ref="P87:P90" si="48">O87/C87</f>
        <v>0.70195439739413679</v>
      </c>
      <c r="Q87" s="2"/>
    </row>
    <row r="88" spans="1:17" ht="11.25" customHeight="1">
      <c r="A88" s="18"/>
      <c r="B88" s="18" t="s">
        <v>32</v>
      </c>
      <c r="C88" s="18">
        <f>SUM('By Lot'!C2254,'By Lot'!C2271,'By Lot'!C2288,'By Lot'!C2305,'By Lot'!C2322)</f>
        <v>15</v>
      </c>
      <c r="D88" s="26">
        <f>SUM('By Lot'!D2254,'By Lot'!D2271,'By Lot'!D2288,'By Lot'!D2305,'By Lot'!D2322)</f>
        <v>14</v>
      </c>
      <c r="E88" s="2">
        <f>SUM('By Lot'!E2254,'By Lot'!E2271,'By Lot'!E2288,'By Lot'!E2305,'By Lot'!E2322)</f>
        <v>14</v>
      </c>
      <c r="F88" s="2">
        <f>SUM('By Lot'!F2254,'By Lot'!F2271,'By Lot'!F2288,'By Lot'!F2305,'By Lot'!F2322)</f>
        <v>14</v>
      </c>
      <c r="G88" s="2">
        <f>SUM('By Lot'!G2254,'By Lot'!G2271,'By Lot'!G2288,'By Lot'!G2305,'By Lot'!G2322)</f>
        <v>14</v>
      </c>
      <c r="H88" s="2">
        <f>SUM('By Lot'!H2254,'By Lot'!H2271,'By Lot'!H2288,'By Lot'!H2305,'By Lot'!H2322)</f>
        <v>13</v>
      </c>
      <c r="I88" s="2">
        <f>SUM('By Lot'!I2254,'By Lot'!I2271,'By Lot'!I2288,'By Lot'!I2305,'By Lot'!I2322)</f>
        <v>15</v>
      </c>
      <c r="J88" s="2">
        <f>SUM('By Lot'!J2254,'By Lot'!J2271,'By Lot'!J2288,'By Lot'!J2305,'By Lot'!J2322)</f>
        <v>15</v>
      </c>
      <c r="K88" s="2">
        <f>SUM('By Lot'!K2254,'By Lot'!K2271,'By Lot'!K2288,'By Lot'!K2305,'By Lot'!K2322)</f>
        <v>15</v>
      </c>
      <c r="L88" s="2">
        <f>SUM('By Lot'!L2254,'By Lot'!L2271,'By Lot'!L2288,'By Lot'!L2305,'By Lot'!L2322)</f>
        <v>15</v>
      </c>
      <c r="M88" s="27">
        <f>SUM('By Lot'!M2254,'By Lot'!M2271,'By Lot'!M2288,'By Lot'!M2305,'By Lot'!M2322)</f>
        <v>15</v>
      </c>
      <c r="N88" s="26">
        <f t="shared" si="46"/>
        <v>13</v>
      </c>
      <c r="O88" s="2">
        <f t="shared" si="47"/>
        <v>2</v>
      </c>
      <c r="P88" s="24">
        <f t="shared" si="48"/>
        <v>0.13333333333333333</v>
      </c>
      <c r="Q88" s="2"/>
    </row>
    <row r="89" spans="1:17" ht="11.25" customHeight="1">
      <c r="A89" s="18"/>
      <c r="B89" s="18" t="s">
        <v>33</v>
      </c>
      <c r="C89" s="18">
        <f>SUM('By Lot'!C2252:C2260,'By Lot'!C2272:C2277,'By Lot'!C2289:C2294,'By Lot'!C2306:C2311,'By Lot'!C2323:C2328)</f>
        <v>147</v>
      </c>
      <c r="D89" s="26">
        <f>SUM('By Lot'!D2252:D2260,'By Lot'!D2272:D2277,'By Lot'!D2289:D2294,'By Lot'!D2306:D2311,'By Lot'!D2323:D2328)</f>
        <v>133</v>
      </c>
      <c r="E89" s="2">
        <f>SUM('By Lot'!E2252:E2260,'By Lot'!E2272:E2277,'By Lot'!E2289:E2294,'By Lot'!E2306:E2311,'By Lot'!E2323:E2328)</f>
        <v>129</v>
      </c>
      <c r="F89" s="2">
        <f>SUM('By Lot'!F2252:F2260,'By Lot'!F2272:F2277,'By Lot'!F2289:F2294,'By Lot'!F2306:F2311,'By Lot'!F2323:F2328)</f>
        <v>117</v>
      </c>
      <c r="G89" s="2">
        <f>SUM('By Lot'!G2252:G2260,'By Lot'!G2272:G2277,'By Lot'!G2289:G2294,'By Lot'!G2306:G2311,'By Lot'!G2323:G2328)</f>
        <v>118</v>
      </c>
      <c r="H89" s="2">
        <f>SUM('By Lot'!H2252:H2260,'By Lot'!H2272:H2277,'By Lot'!H2289:H2294,'By Lot'!H2306:H2311,'By Lot'!H2323:H2328)</f>
        <v>116</v>
      </c>
      <c r="I89" s="2">
        <f>SUM('By Lot'!I2252:I2260,'By Lot'!I2272:I2277,'By Lot'!I2289:I2294,'By Lot'!I2306:I2311,'By Lot'!I2323:I2328)</f>
        <v>110</v>
      </c>
      <c r="J89" s="2">
        <f>SUM('By Lot'!J2252:J2260,'By Lot'!J2272:J2277,'By Lot'!J2289:J2294,'By Lot'!J2306:J2311,'By Lot'!J2323:J2328)</f>
        <v>109</v>
      </c>
      <c r="K89" s="2">
        <f>SUM('By Lot'!K2252:K2260,'By Lot'!K2272:K2277,'By Lot'!K2289:K2294,'By Lot'!K2306:K2311,'By Lot'!K2323:K2328)</f>
        <v>114</v>
      </c>
      <c r="L89" s="2">
        <f>SUM('By Lot'!L2252:L2260,'By Lot'!L2272:L2277,'By Lot'!L2289:L2294,'By Lot'!L2306:L2311,'By Lot'!L2323:L2328)</f>
        <v>120</v>
      </c>
      <c r="M89" s="27">
        <f>SUM('By Lot'!M2252:M2260,'By Lot'!M2272:M2277,'By Lot'!M2289:M2294,'By Lot'!M2306:M2311,'By Lot'!M2323:M2328)</f>
        <v>121</v>
      </c>
      <c r="N89" s="26">
        <f t="shared" si="46"/>
        <v>109</v>
      </c>
      <c r="O89" s="2">
        <f t="shared" si="47"/>
        <v>38</v>
      </c>
      <c r="P89" s="24">
        <f t="shared" si="48"/>
        <v>0.25850340136054423</v>
      </c>
      <c r="Q89" s="2"/>
    </row>
    <row r="90" spans="1:17" ht="11.25" customHeight="1">
      <c r="A90" s="18"/>
      <c r="B90" s="18" t="s">
        <v>34</v>
      </c>
      <c r="C90" s="18">
        <f>SUM('By Lot'!C2261,'By Lot'!C2278,'By Lot'!C2295,'By Lot'!C2312,'By Lot'!C2329)</f>
        <v>104</v>
      </c>
      <c r="D90" s="26">
        <f>SUM('By Lot'!D2261,'By Lot'!D2278,'By Lot'!D2295,'By Lot'!D2312,'By Lot'!D2329)</f>
        <v>52</v>
      </c>
      <c r="E90" s="2">
        <f>SUM('By Lot'!E2261,'By Lot'!E2278,'By Lot'!E2295,'By Lot'!E2312,'By Lot'!E2329)</f>
        <v>42</v>
      </c>
      <c r="F90" s="2">
        <f>SUM('By Lot'!F2261,'By Lot'!F2278,'By Lot'!F2295,'By Lot'!F2312,'By Lot'!F2329)</f>
        <v>34</v>
      </c>
      <c r="G90" s="2">
        <f>SUM('By Lot'!G2261,'By Lot'!G2278,'By Lot'!G2295,'By Lot'!G2312,'By Lot'!G2329)</f>
        <v>30</v>
      </c>
      <c r="H90" s="2">
        <f>SUM('By Lot'!H2261,'By Lot'!H2278,'By Lot'!H2295,'By Lot'!H2312,'By Lot'!H2329)</f>
        <v>38</v>
      </c>
      <c r="I90" s="2">
        <f>SUM('By Lot'!I2261,'By Lot'!I2278,'By Lot'!I2295,'By Lot'!I2312,'By Lot'!I2329)</f>
        <v>25</v>
      </c>
      <c r="J90" s="2">
        <f>SUM('By Lot'!J2261,'By Lot'!J2278,'By Lot'!J2295,'By Lot'!J2312,'By Lot'!J2329)</f>
        <v>25</v>
      </c>
      <c r="K90" s="2">
        <f>SUM('By Lot'!K2261,'By Lot'!K2278,'By Lot'!K2295,'By Lot'!K2312,'By Lot'!K2329)</f>
        <v>27</v>
      </c>
      <c r="L90" s="2">
        <f>SUM('By Lot'!L2261,'By Lot'!L2278,'By Lot'!L2295,'By Lot'!L2312,'By Lot'!L2329)</f>
        <v>26</v>
      </c>
      <c r="M90" s="27">
        <f>SUM('By Lot'!M2261,'By Lot'!M2278,'By Lot'!M2295,'By Lot'!M2312,'By Lot'!M2329)</f>
        <v>44</v>
      </c>
      <c r="N90" s="26">
        <f t="shared" si="46"/>
        <v>25</v>
      </c>
      <c r="O90" s="2">
        <f t="shared" si="47"/>
        <v>79</v>
      </c>
      <c r="P90" s="24">
        <f t="shared" si="48"/>
        <v>0.75961538461538458</v>
      </c>
      <c r="Q90" s="2"/>
    </row>
    <row r="91" spans="1:17" ht="11.25" customHeight="1">
      <c r="A91" s="18"/>
      <c r="B91" s="18" t="s">
        <v>35</v>
      </c>
      <c r="C91" s="18"/>
      <c r="D91" s="26"/>
      <c r="E91" s="2"/>
      <c r="F91" s="2"/>
      <c r="G91" s="2"/>
      <c r="H91" s="2"/>
      <c r="I91" s="2"/>
      <c r="J91" s="2"/>
      <c r="K91" s="2"/>
      <c r="L91" s="2"/>
      <c r="M91" s="27"/>
      <c r="N91" s="26"/>
      <c r="O91" s="2"/>
      <c r="P91" s="24"/>
      <c r="Q91" s="2"/>
    </row>
    <row r="92" spans="1:17" ht="11.25" customHeight="1">
      <c r="A92" s="18"/>
      <c r="B92" s="18" t="s">
        <v>36</v>
      </c>
      <c r="C92" s="18"/>
      <c r="D92" s="26"/>
      <c r="E92" s="2"/>
      <c r="F92" s="2"/>
      <c r="G92" s="2"/>
      <c r="H92" s="2"/>
      <c r="I92" s="2"/>
      <c r="J92" s="2"/>
      <c r="K92" s="2"/>
      <c r="L92" s="2"/>
      <c r="M92" s="27"/>
      <c r="N92" s="26"/>
      <c r="O92" s="2"/>
      <c r="P92" s="24"/>
      <c r="Q92" s="2"/>
    </row>
    <row r="93" spans="1:17" ht="11.25" customHeight="1">
      <c r="A93" s="18"/>
      <c r="B93" s="18" t="s">
        <v>37</v>
      </c>
      <c r="C93" s="18"/>
      <c r="D93" s="26"/>
      <c r="E93" s="2"/>
      <c r="F93" s="2"/>
      <c r="G93" s="2"/>
      <c r="H93" s="2"/>
      <c r="I93" s="2"/>
      <c r="J93" s="2"/>
      <c r="K93" s="2"/>
      <c r="L93" s="2"/>
      <c r="M93" s="27"/>
      <c r="N93" s="26"/>
      <c r="O93" s="2"/>
      <c r="P93" s="24"/>
      <c r="Q93" s="2"/>
    </row>
    <row r="94" spans="1:17" ht="11.25" customHeight="1">
      <c r="A94" s="32"/>
      <c r="B94" s="33" t="s">
        <v>38</v>
      </c>
      <c r="C94" s="33">
        <f t="shared" ref="C94:M94" si="49">SUM(C84:C93)</f>
        <v>887</v>
      </c>
      <c r="D94" s="67">
        <f t="shared" si="49"/>
        <v>547</v>
      </c>
      <c r="E94" s="68">
        <f t="shared" si="49"/>
        <v>467</v>
      </c>
      <c r="F94" s="68">
        <f t="shared" si="49"/>
        <v>395</v>
      </c>
      <c r="G94" s="68">
        <f t="shared" si="49"/>
        <v>396</v>
      </c>
      <c r="H94" s="68">
        <f t="shared" si="49"/>
        <v>419</v>
      </c>
      <c r="I94" s="68">
        <f t="shared" si="49"/>
        <v>333</v>
      </c>
      <c r="J94" s="68">
        <f t="shared" si="49"/>
        <v>349</v>
      </c>
      <c r="K94" s="68">
        <f t="shared" si="49"/>
        <v>410</v>
      </c>
      <c r="L94" s="68">
        <f t="shared" si="49"/>
        <v>436</v>
      </c>
      <c r="M94" s="69">
        <f t="shared" si="49"/>
        <v>453</v>
      </c>
      <c r="N94" s="70">
        <f t="shared" ref="N94:N96" si="50">MIN(D94:M94)</f>
        <v>333</v>
      </c>
      <c r="O94" s="71">
        <f t="shared" ref="O94:O96" si="51">C94-N94</f>
        <v>554</v>
      </c>
      <c r="P94" s="40">
        <f t="shared" ref="P94:P96" si="52">O94/C94</f>
        <v>0.62457722660653892</v>
      </c>
      <c r="Q94" s="2"/>
    </row>
    <row r="95" spans="1:17" ht="11.25" customHeight="1">
      <c r="A95" s="18" t="s">
        <v>441</v>
      </c>
      <c r="B95" s="18" t="s">
        <v>23</v>
      </c>
      <c r="C95" s="26">
        <f>SUM('By Lot'!C2334+'By Lot'!C2351+'By Lot'!C2368+'By Lot'!C2385)</f>
        <v>195</v>
      </c>
      <c r="D95" s="41">
        <f>SUM('By Lot'!D2334+'By Lot'!D2351+'By Lot'!D2368+'By Lot'!D2385)</f>
        <v>53</v>
      </c>
      <c r="E95" s="72">
        <f>SUM('By Lot'!E2334+'By Lot'!E2351+'By Lot'!E2368+'By Lot'!E2385)</f>
        <v>4</v>
      </c>
      <c r="F95" s="72">
        <f>SUM('By Lot'!F2334+'By Lot'!F2351+'By Lot'!F2368+'By Lot'!F2385)</f>
        <v>2</v>
      </c>
      <c r="G95" s="72">
        <f>SUM('By Lot'!G2334+'By Lot'!G2351+'By Lot'!G2368+'By Lot'!G2385)</f>
        <v>2</v>
      </c>
      <c r="H95" s="72">
        <f>SUM('By Lot'!H2334+'By Lot'!H2351+'By Lot'!H2368+'By Lot'!H2385)</f>
        <v>7</v>
      </c>
      <c r="I95" s="72">
        <f>SUM('By Lot'!I2334+'By Lot'!I2351+'By Lot'!I2368+'By Lot'!I2385)</f>
        <v>23</v>
      </c>
      <c r="J95" s="72">
        <f>SUM('By Lot'!J2334+'By Lot'!J2351+'By Lot'!J2368+'By Lot'!J2385)</f>
        <v>40</v>
      </c>
      <c r="K95" s="72">
        <f>SUM('By Lot'!K2334+'By Lot'!K2351+'By Lot'!K2368+'By Lot'!K2385)</f>
        <v>47</v>
      </c>
      <c r="L95" s="72">
        <f>SUM('By Lot'!L2334+'By Lot'!L2351+'By Lot'!L2368+'By Lot'!L2385)</f>
        <v>64</v>
      </c>
      <c r="M95" s="73">
        <f>SUM('By Lot'!M2334+'By Lot'!M2351+'By Lot'!M2368+'By Lot'!M2385)</f>
        <v>77</v>
      </c>
      <c r="N95" s="2">
        <f t="shared" si="50"/>
        <v>2</v>
      </c>
      <c r="O95" s="2">
        <f t="shared" si="51"/>
        <v>193</v>
      </c>
      <c r="P95" s="24">
        <f t="shared" si="52"/>
        <v>0.98974358974358978</v>
      </c>
      <c r="Q95" s="2"/>
    </row>
    <row r="96" spans="1:17" ht="11.25" customHeight="1">
      <c r="A96" s="18" t="s">
        <v>442</v>
      </c>
      <c r="B96" s="18" t="s">
        <v>25</v>
      </c>
      <c r="C96" s="26">
        <f>SUM('By Lot'!C2437+'By Lot'!C2420+'By Lot'!C2403+'By Lot'!C2386+'By Lot'!C2369)</f>
        <v>656</v>
      </c>
      <c r="D96" s="26">
        <f>SUM('By Lot'!D2437+'By Lot'!D2420+'By Lot'!D2403+'By Lot'!D2386+'By Lot'!D2369)</f>
        <v>413</v>
      </c>
      <c r="E96" s="2">
        <f>SUM('By Lot'!E2437+'By Lot'!E2420+'By Lot'!E2403+'By Lot'!E2386+'By Lot'!E2369)</f>
        <v>368</v>
      </c>
      <c r="F96" s="2">
        <f>SUM('By Lot'!F2437+'By Lot'!F2420+'By Lot'!F2403+'By Lot'!F2386+'By Lot'!F2369)</f>
        <v>350</v>
      </c>
      <c r="G96" s="2">
        <f>SUM('By Lot'!G2437+'By Lot'!G2420+'By Lot'!G2403+'By Lot'!G2386+'By Lot'!G2369)</f>
        <v>340</v>
      </c>
      <c r="H96" s="2">
        <f>SUM('By Lot'!H2437+'By Lot'!H2420+'By Lot'!H2403+'By Lot'!H2386+'By Lot'!H2369)</f>
        <v>334</v>
      </c>
      <c r="I96" s="2">
        <f>SUM('By Lot'!I2437+'By Lot'!I2420+'By Lot'!I2403+'By Lot'!I2386+'By Lot'!I2369)</f>
        <v>321</v>
      </c>
      <c r="J96" s="2">
        <f>SUM('By Lot'!J2437+'By Lot'!J2420+'By Lot'!J2403+'By Lot'!J2386+'By Lot'!J2369)</f>
        <v>324</v>
      </c>
      <c r="K96" s="2">
        <f>SUM('By Lot'!K2437+'By Lot'!K2420+'By Lot'!K2403+'By Lot'!K2386+'By Lot'!K2369)</f>
        <v>352</v>
      </c>
      <c r="L96" s="2">
        <f>SUM('By Lot'!L2437+'By Lot'!L2420+'By Lot'!L2403+'By Lot'!L2386+'By Lot'!L2369)</f>
        <v>374</v>
      </c>
      <c r="M96" s="27">
        <f>SUM('By Lot'!M2437+'By Lot'!M2420+'By Lot'!M2403+'By Lot'!M2386+'By Lot'!M2369)</f>
        <v>392</v>
      </c>
      <c r="N96" s="2">
        <f t="shared" si="50"/>
        <v>321</v>
      </c>
      <c r="O96" s="2">
        <f t="shared" si="51"/>
        <v>335</v>
      </c>
      <c r="P96" s="24">
        <f t="shared" si="52"/>
        <v>0.51067073170731703</v>
      </c>
      <c r="Q96" s="2"/>
    </row>
    <row r="97" spans="1:17" ht="11.25" customHeight="1">
      <c r="A97" s="18"/>
      <c r="B97" s="18" t="s">
        <v>27</v>
      </c>
      <c r="C97" s="18"/>
      <c r="D97" s="26"/>
      <c r="E97" s="2"/>
      <c r="F97" s="2"/>
      <c r="G97" s="2"/>
      <c r="H97" s="2"/>
      <c r="I97" s="2"/>
      <c r="J97" s="2"/>
      <c r="K97" s="2"/>
      <c r="L97" s="2"/>
      <c r="M97" s="27"/>
      <c r="N97" s="26"/>
      <c r="O97" s="2"/>
      <c r="P97" s="24"/>
      <c r="Q97" s="2"/>
    </row>
    <row r="98" spans="1:17" ht="11.25" customHeight="1">
      <c r="A98" s="18"/>
      <c r="B98" s="18" t="s">
        <v>31</v>
      </c>
      <c r="C98" s="26">
        <f>SUM('By Lot'!C2337+'By Lot'!C2354+'By Lot'!C2371)</f>
        <v>258</v>
      </c>
      <c r="D98" s="26">
        <f>SUM('By Lot'!D2337+'By Lot'!D2354+'By Lot'!D2371)</f>
        <v>185</v>
      </c>
      <c r="E98" s="2">
        <f>SUM('By Lot'!E2337+'By Lot'!E2354+'By Lot'!E2371)</f>
        <v>168</v>
      </c>
      <c r="F98" s="2">
        <f>SUM('By Lot'!F2337+'By Lot'!F2354+'By Lot'!F2371)</f>
        <v>170</v>
      </c>
      <c r="G98" s="2">
        <f>SUM('By Lot'!G2337+'By Lot'!G2354+'By Lot'!G2371)</f>
        <v>148</v>
      </c>
      <c r="H98" s="2">
        <f>SUM('By Lot'!H2337+'By Lot'!H2354+'By Lot'!H2371)</f>
        <v>170</v>
      </c>
      <c r="I98" s="2">
        <f>SUM('By Lot'!I2337+'By Lot'!I2354+'By Lot'!I2371)</f>
        <v>177</v>
      </c>
      <c r="J98" s="2">
        <f>SUM('By Lot'!J2337+'By Lot'!J2354+'By Lot'!J2371)</f>
        <v>174</v>
      </c>
      <c r="K98" s="2">
        <f>SUM('By Lot'!K2337+'By Lot'!K2354+'By Lot'!K2371)</f>
        <v>175</v>
      </c>
      <c r="L98" s="2">
        <f>SUM('By Lot'!L2337+'By Lot'!L2354+'By Lot'!L2371)</f>
        <v>176</v>
      </c>
      <c r="M98" s="27">
        <f>SUM('By Lot'!M2337+'By Lot'!M2354+'By Lot'!M2371)</f>
        <v>187</v>
      </c>
      <c r="N98" s="2">
        <f t="shared" ref="N98:N101" si="53">MIN(D98:M98)</f>
        <v>148</v>
      </c>
      <c r="O98" s="2">
        <f t="shared" ref="O98:O101" si="54">C98-N98</f>
        <v>110</v>
      </c>
      <c r="P98" s="24">
        <f t="shared" ref="P98:P101" si="55">O98/C98</f>
        <v>0.4263565891472868</v>
      </c>
      <c r="Q98" s="2"/>
    </row>
    <row r="99" spans="1:17" ht="11.25" customHeight="1">
      <c r="A99" s="18"/>
      <c r="B99" s="18" t="s">
        <v>32</v>
      </c>
      <c r="C99" s="26">
        <f>SUM('By Lot'!C2390)</f>
        <v>6</v>
      </c>
      <c r="D99" s="26">
        <f>SUM('By Lot'!D2390)</f>
        <v>6</v>
      </c>
      <c r="E99" s="2">
        <f>SUM('By Lot'!E2390)</f>
        <v>6</v>
      </c>
      <c r="F99" s="2">
        <f>SUM('By Lot'!F2390)</f>
        <v>6</v>
      </c>
      <c r="G99" s="2">
        <f>SUM('By Lot'!G2390)</f>
        <v>6</v>
      </c>
      <c r="H99" s="2">
        <f>SUM('By Lot'!H2390)</f>
        <v>6</v>
      </c>
      <c r="I99" s="2">
        <f>SUM('By Lot'!I2390)</f>
        <v>6</v>
      </c>
      <c r="J99" s="2">
        <f>SUM('By Lot'!J2390)</f>
        <v>6</v>
      </c>
      <c r="K99" s="2">
        <f>SUM('By Lot'!K2390)</f>
        <v>6</v>
      </c>
      <c r="L99" s="2">
        <f>SUM('By Lot'!L2390)</f>
        <v>6</v>
      </c>
      <c r="M99" s="27">
        <f>SUM('By Lot'!M2390)</f>
        <v>6</v>
      </c>
      <c r="N99" s="2">
        <f t="shared" si="53"/>
        <v>6</v>
      </c>
      <c r="O99" s="2">
        <f t="shared" si="54"/>
        <v>0</v>
      </c>
      <c r="P99" s="24">
        <f t="shared" si="55"/>
        <v>0</v>
      </c>
      <c r="Q99" s="2"/>
    </row>
    <row r="100" spans="1:17" ht="11.25" customHeight="1">
      <c r="A100" s="18"/>
      <c r="B100" s="18" t="s">
        <v>33</v>
      </c>
      <c r="C100" s="26">
        <f>SUM('By Lot'!C2340+'By Lot'!C2341+'By Lot'!C2408+'By Lot'!C2425)</f>
        <v>45</v>
      </c>
      <c r="D100" s="26">
        <f>SUM('By Lot'!D2340+'By Lot'!D2341+'By Lot'!D2408+'By Lot'!D2425)</f>
        <v>26</v>
      </c>
      <c r="E100" s="2">
        <f>SUM('By Lot'!E2340+'By Lot'!E2341+'By Lot'!E2408+'By Lot'!E2425)</f>
        <v>22</v>
      </c>
      <c r="F100" s="2">
        <f>SUM('By Lot'!F2340+'By Lot'!F2341+'By Lot'!F2408+'By Lot'!F2425)</f>
        <v>23</v>
      </c>
      <c r="G100" s="2">
        <f>SUM('By Lot'!G2340+'By Lot'!G2341+'By Lot'!G2408+'By Lot'!G2425)</f>
        <v>25</v>
      </c>
      <c r="H100" s="2">
        <f>SUM('By Lot'!H2340+'By Lot'!H2341+'By Lot'!H2408+'By Lot'!H2425)</f>
        <v>23</v>
      </c>
      <c r="I100" s="2">
        <f>SUM('By Lot'!I2340+'By Lot'!I2341+'By Lot'!I2408+'By Lot'!I2425)</f>
        <v>23</v>
      </c>
      <c r="J100" s="2">
        <f>SUM('By Lot'!J2340+'By Lot'!J2341+'By Lot'!J2408+'By Lot'!J2425)</f>
        <v>23</v>
      </c>
      <c r="K100" s="2">
        <f>SUM('By Lot'!K2340+'By Lot'!K2341+'By Lot'!K2408+'By Lot'!K2425)</f>
        <v>22</v>
      </c>
      <c r="L100" s="2">
        <f>SUM('By Lot'!L2340+'By Lot'!L2341+'By Lot'!L2408+'By Lot'!L2425)</f>
        <v>23</v>
      </c>
      <c r="M100" s="27">
        <f>SUM('By Lot'!M2340+'By Lot'!M2341+'By Lot'!M2408+'By Lot'!M2425)</f>
        <v>27</v>
      </c>
      <c r="N100" s="2">
        <f t="shared" si="53"/>
        <v>22</v>
      </c>
      <c r="O100" s="2">
        <f t="shared" si="54"/>
        <v>23</v>
      </c>
      <c r="P100" s="24">
        <f t="shared" si="55"/>
        <v>0.51111111111111107</v>
      </c>
      <c r="Q100" s="2"/>
    </row>
    <row r="101" spans="1:17" ht="11.25" customHeight="1">
      <c r="A101" s="18"/>
      <c r="B101" s="18" t="s">
        <v>34</v>
      </c>
      <c r="C101" s="26">
        <f>SUM('By Lot'!C2380+'By Lot'!C2363+'By Lot'!C2346)</f>
        <v>77</v>
      </c>
      <c r="D101" s="26">
        <f>SUM('By Lot'!D2380+'By Lot'!D2363+'By Lot'!D2346)</f>
        <v>53</v>
      </c>
      <c r="E101" s="2">
        <f>SUM('By Lot'!E2380+'By Lot'!E2363+'By Lot'!E2346)</f>
        <v>43</v>
      </c>
      <c r="F101" s="2">
        <f>SUM('By Lot'!F2380+'By Lot'!F2363+'By Lot'!F2346)</f>
        <v>37</v>
      </c>
      <c r="G101" s="2">
        <f>SUM('By Lot'!G2380+'By Lot'!G2363+'By Lot'!G2346)</f>
        <v>38</v>
      </c>
      <c r="H101" s="2">
        <f>SUM('By Lot'!H2380+'By Lot'!H2363+'By Lot'!H2346)</f>
        <v>36</v>
      </c>
      <c r="I101" s="2">
        <f>SUM('By Lot'!I2380+'By Lot'!I2363+'By Lot'!I2346)</f>
        <v>32</v>
      </c>
      <c r="J101" s="2">
        <f>SUM('By Lot'!J2380+'By Lot'!J2363+'By Lot'!J2346)</f>
        <v>30</v>
      </c>
      <c r="K101" s="2">
        <f>SUM('By Lot'!K2380+'By Lot'!K2363+'By Lot'!K2346)</f>
        <v>37</v>
      </c>
      <c r="L101" s="2">
        <f>SUM('By Lot'!L2380+'By Lot'!L2363+'By Lot'!L2346)</f>
        <v>42</v>
      </c>
      <c r="M101" s="27">
        <f>SUM('By Lot'!M2380+'By Lot'!M2363+'By Lot'!M2346)</f>
        <v>38</v>
      </c>
      <c r="N101" s="2">
        <f t="shared" si="53"/>
        <v>30</v>
      </c>
      <c r="O101" s="2">
        <f t="shared" si="54"/>
        <v>47</v>
      </c>
      <c r="P101" s="24">
        <f t="shared" si="55"/>
        <v>0.61038961038961037</v>
      </c>
      <c r="Q101" s="2"/>
    </row>
    <row r="102" spans="1:17" ht="11.25" customHeight="1">
      <c r="A102" s="18"/>
      <c r="B102" s="18" t="s">
        <v>35</v>
      </c>
      <c r="C102" s="18"/>
      <c r="D102" s="26"/>
      <c r="E102" s="2"/>
      <c r="F102" s="2"/>
      <c r="G102" s="2"/>
      <c r="H102" s="2"/>
      <c r="I102" s="2"/>
      <c r="J102" s="2"/>
      <c r="K102" s="2"/>
      <c r="L102" s="2"/>
      <c r="M102" s="27"/>
      <c r="N102" s="26"/>
      <c r="O102" s="2"/>
      <c r="P102" s="24"/>
      <c r="Q102" s="2"/>
    </row>
    <row r="103" spans="1:17" ht="11.25" customHeight="1">
      <c r="A103" s="18"/>
      <c r="B103" s="18" t="s">
        <v>36</v>
      </c>
      <c r="C103" s="18"/>
      <c r="D103" s="26"/>
      <c r="E103" s="2"/>
      <c r="F103" s="2"/>
      <c r="G103" s="2"/>
      <c r="H103" s="2"/>
      <c r="I103" s="2"/>
      <c r="J103" s="2"/>
      <c r="K103" s="2"/>
      <c r="L103" s="2"/>
      <c r="M103" s="27"/>
      <c r="N103" s="26"/>
      <c r="O103" s="2"/>
      <c r="P103" s="24"/>
      <c r="Q103" s="2"/>
    </row>
    <row r="104" spans="1:17" ht="11.25" customHeight="1">
      <c r="A104" s="18"/>
      <c r="B104" s="18" t="s">
        <v>37</v>
      </c>
      <c r="C104" s="18"/>
      <c r="D104" s="26"/>
      <c r="E104" s="2"/>
      <c r="F104" s="2"/>
      <c r="G104" s="2"/>
      <c r="H104" s="2"/>
      <c r="I104" s="2"/>
      <c r="J104" s="2"/>
      <c r="K104" s="2"/>
      <c r="L104" s="2"/>
      <c r="M104" s="27"/>
      <c r="N104" s="26"/>
      <c r="O104" s="2"/>
      <c r="P104" s="24"/>
      <c r="Q104" s="2"/>
    </row>
    <row r="105" spans="1:17" ht="11.25" customHeight="1">
      <c r="A105" s="229"/>
      <c r="B105" s="230" t="s">
        <v>38</v>
      </c>
      <c r="C105" s="230">
        <v>1255</v>
      </c>
      <c r="D105" s="231">
        <v>714</v>
      </c>
      <c r="E105" s="232">
        <v>467</v>
      </c>
      <c r="F105" s="232">
        <v>336</v>
      </c>
      <c r="G105" s="232">
        <v>270</v>
      </c>
      <c r="H105" s="232">
        <v>286</v>
      </c>
      <c r="I105" s="232">
        <v>298</v>
      </c>
      <c r="J105" s="232">
        <v>320</v>
      </c>
      <c r="K105" s="232">
        <v>416</v>
      </c>
      <c r="L105" s="232">
        <v>541</v>
      </c>
      <c r="M105" s="233">
        <v>759</v>
      </c>
      <c r="N105" s="231">
        <v>270</v>
      </c>
      <c r="O105" s="232">
        <v>985</v>
      </c>
      <c r="P105" s="234">
        <v>0.78486055776892427</v>
      </c>
      <c r="Q105" s="2"/>
    </row>
    <row r="106" spans="1:17" ht="11.25" customHeight="1">
      <c r="A106" s="18" t="s">
        <v>443</v>
      </c>
      <c r="B106" s="18" t="s">
        <v>23</v>
      </c>
      <c r="C106" s="18"/>
      <c r="D106" s="26"/>
      <c r="E106" s="2"/>
      <c r="F106" s="2"/>
      <c r="G106" s="2"/>
      <c r="H106" s="2"/>
      <c r="I106" s="2"/>
      <c r="J106" s="2"/>
      <c r="K106" s="2"/>
      <c r="L106" s="2"/>
      <c r="M106" s="27"/>
      <c r="N106" s="26"/>
      <c r="O106" s="2"/>
      <c r="P106" s="24"/>
      <c r="Q106" s="2"/>
    </row>
    <row r="107" spans="1:17" ht="11.25" customHeight="1">
      <c r="A107" s="18" t="s">
        <v>444</v>
      </c>
      <c r="B107" s="18" t="s">
        <v>25</v>
      </c>
      <c r="C107" s="26">
        <f>SUM('By Lot'!C2658+'By Lot'!C2675+'By Lot'!C2692)</f>
        <v>458</v>
      </c>
      <c r="D107" s="26">
        <f>SUM('By Lot'!D2658+'By Lot'!D2675+'By Lot'!D2692)</f>
        <v>296</v>
      </c>
      <c r="E107" s="2">
        <f>SUM('By Lot'!E2658+'By Lot'!E2675+'By Lot'!E2692)</f>
        <v>195</v>
      </c>
      <c r="F107" s="2">
        <f>SUM('By Lot'!F2658+'By Lot'!F2675+'By Lot'!F2692)</f>
        <v>178</v>
      </c>
      <c r="G107" s="2">
        <f>SUM('By Lot'!G2658+'By Lot'!G2675+'By Lot'!G2692)</f>
        <v>158</v>
      </c>
      <c r="H107" s="2">
        <f>SUM('By Lot'!H2658+'By Lot'!H2675+'By Lot'!H2692)</f>
        <v>163</v>
      </c>
      <c r="I107" s="2">
        <f>SUM('By Lot'!I2658+'By Lot'!I2675+'By Lot'!I2692)</f>
        <v>141</v>
      </c>
      <c r="J107" s="2">
        <f>SUM('By Lot'!J2658+'By Lot'!J2675+'By Lot'!J2692)</f>
        <v>140</v>
      </c>
      <c r="K107" s="2">
        <f>SUM('By Lot'!K2658+'By Lot'!K2675+'By Lot'!K2692)</f>
        <v>149</v>
      </c>
      <c r="L107" s="2">
        <f>SUM('By Lot'!L2658+'By Lot'!L2675+'By Lot'!L2692)</f>
        <v>185</v>
      </c>
      <c r="M107" s="27">
        <f>SUM('By Lot'!M2658+'By Lot'!M2675+'By Lot'!M2692)</f>
        <v>261</v>
      </c>
      <c r="N107" s="2">
        <f>MIN(D107:M107)</f>
        <v>140</v>
      </c>
      <c r="O107" s="2">
        <f>C107-N107</f>
        <v>318</v>
      </c>
      <c r="P107" s="24">
        <f>O107/C107</f>
        <v>0.69432314410480345</v>
      </c>
      <c r="Q107" s="2"/>
    </row>
    <row r="108" spans="1:17" ht="11.25" customHeight="1">
      <c r="A108" s="57"/>
      <c r="B108" s="18" t="s">
        <v>27</v>
      </c>
      <c r="C108" s="18"/>
      <c r="D108" s="26"/>
      <c r="E108" s="2"/>
      <c r="F108" s="2"/>
      <c r="G108" s="2"/>
      <c r="H108" s="2"/>
      <c r="I108" s="2"/>
      <c r="J108" s="2"/>
      <c r="K108" s="2"/>
      <c r="L108" s="2"/>
      <c r="M108" s="27"/>
      <c r="N108" s="26"/>
      <c r="O108" s="2"/>
      <c r="P108" s="24"/>
      <c r="Q108" s="2"/>
    </row>
    <row r="109" spans="1:17" ht="11.25" customHeight="1">
      <c r="A109" s="57"/>
      <c r="B109" s="18" t="s">
        <v>31</v>
      </c>
      <c r="C109" s="18"/>
      <c r="D109" s="26"/>
      <c r="E109" s="2"/>
      <c r="F109" s="2"/>
      <c r="G109" s="2"/>
      <c r="H109" s="2"/>
      <c r="I109" s="2"/>
      <c r="J109" s="2"/>
      <c r="K109" s="2"/>
      <c r="L109" s="2"/>
      <c r="M109" s="27"/>
      <c r="N109" s="26"/>
      <c r="O109" s="2"/>
      <c r="P109" s="24"/>
      <c r="Q109" s="2"/>
    </row>
    <row r="110" spans="1:17" ht="11.25" customHeight="1">
      <c r="A110" s="57"/>
      <c r="B110" s="18" t="s">
        <v>32</v>
      </c>
      <c r="C110" s="18"/>
      <c r="D110" s="26"/>
      <c r="E110" s="2"/>
      <c r="F110" s="2"/>
      <c r="G110" s="2"/>
      <c r="H110" s="2"/>
      <c r="I110" s="2"/>
      <c r="J110" s="2"/>
      <c r="K110" s="2"/>
      <c r="L110" s="2"/>
      <c r="M110" s="27"/>
      <c r="N110" s="26"/>
      <c r="O110" s="2"/>
      <c r="P110" s="24"/>
      <c r="Q110" s="2"/>
    </row>
    <row r="111" spans="1:17" ht="11.25" customHeight="1">
      <c r="A111" s="18"/>
      <c r="B111" s="18" t="s">
        <v>33</v>
      </c>
      <c r="C111" s="26">
        <f>SUM('By Lot'!C2663+'By Lot'!C2664+'By Lot'!C2665+'By Lot'!C2680+'By Lot'!C2681+'By Lot'!C2697)</f>
        <v>49</v>
      </c>
      <c r="D111" s="26">
        <f>SUM('By Lot'!D2663+'By Lot'!D2664+'By Lot'!D2665+'By Lot'!D2680+'By Lot'!D2697)</f>
        <v>42</v>
      </c>
      <c r="E111" s="2">
        <f>SUM('By Lot'!E2663+'By Lot'!E2664+'By Lot'!E2665+'By Lot'!E2680+'By Lot'!E2697)</f>
        <v>44</v>
      </c>
      <c r="F111" s="2">
        <f>SUM('By Lot'!F2663+'By Lot'!F2664+'By Lot'!F2665+'By Lot'!F2680+'By Lot'!F2697)</f>
        <v>44</v>
      </c>
      <c r="G111" s="2">
        <f>SUM('By Lot'!G2663+'By Lot'!G2664+'By Lot'!G2665+'By Lot'!G2680+'By Lot'!G2697)</f>
        <v>44</v>
      </c>
      <c r="H111" s="2">
        <f>SUM('By Lot'!H2663+'By Lot'!H2664+'By Lot'!H2665+'By Lot'!H2680+'By Lot'!H2697)</f>
        <v>44</v>
      </c>
      <c r="I111" s="23">
        <f>SUM('By Lot'!I2663+'By Lot'!I2664+'By Lot'!I2665+'By Lot'!I2680+'By Lot'!I2697)</f>
        <v>38</v>
      </c>
      <c r="J111" s="23">
        <f>SUM('By Lot'!J2663+'By Lot'!J2664+'By Lot'!J2665+'By Lot'!J2680+'By Lot'!J2697)</f>
        <v>36</v>
      </c>
      <c r="K111" s="23">
        <f>SUM('By Lot'!K2663+'By Lot'!K2664+'By Lot'!K2665+'By Lot'!K2680+'By Lot'!K2697)</f>
        <v>39</v>
      </c>
      <c r="L111" s="23">
        <f>SUM('By Lot'!L2663+'By Lot'!L2664+'By Lot'!L2665+'By Lot'!L2680+'By Lot'!L2697)</f>
        <v>40</v>
      </c>
      <c r="M111" s="25">
        <f>SUM('By Lot'!M2663+'By Lot'!M2664+'By Lot'!M2665+'By Lot'!M2680+'By Lot'!M2697)</f>
        <v>41</v>
      </c>
      <c r="N111" s="2">
        <f t="shared" ref="N111:N112" si="56">MIN(D111:M111)</f>
        <v>36</v>
      </c>
      <c r="O111" s="2">
        <f t="shared" ref="O111:O112" si="57">C111-N111</f>
        <v>13</v>
      </c>
      <c r="P111" s="24">
        <f t="shared" ref="P111:P112" si="58">O111/C111</f>
        <v>0.26530612244897961</v>
      </c>
      <c r="Q111" s="2"/>
    </row>
    <row r="112" spans="1:17" ht="11.25" customHeight="1">
      <c r="A112" s="18"/>
      <c r="B112" s="18" t="s">
        <v>34</v>
      </c>
      <c r="C112" s="26">
        <f>SUM('By Lot'!C2669+'By Lot'!C2686+'By Lot'!C2703)</f>
        <v>19</v>
      </c>
      <c r="D112" s="26">
        <f>SUM('By Lot'!C2669+'By Lot'!C2686+'By Lot'!C2703)</f>
        <v>19</v>
      </c>
      <c r="E112" s="2">
        <f>SUM('By Lot'!D2669+'By Lot'!D2686+'By Lot'!D2703)</f>
        <v>18</v>
      </c>
      <c r="F112" s="2">
        <f>SUM('By Lot'!E2669+'By Lot'!E2686+'By Lot'!E2703)</f>
        <v>17</v>
      </c>
      <c r="G112" s="2">
        <f>SUM('By Lot'!F2669+'By Lot'!F2686+'By Lot'!F2703)</f>
        <v>17</v>
      </c>
      <c r="H112" s="2">
        <f>SUM('By Lot'!G2669+'By Lot'!G2686+'By Lot'!G2703)</f>
        <v>17</v>
      </c>
      <c r="I112" s="2">
        <f>SUM('By Lot'!H2669+'By Lot'!H2686+'By Lot'!H2703)</f>
        <v>17</v>
      </c>
      <c r="J112" s="2">
        <f>SUM('By Lot'!I2669+'By Lot'!I2686+'By Lot'!I2703)</f>
        <v>17</v>
      </c>
      <c r="K112" s="2">
        <f>SUM('By Lot'!J2669+'By Lot'!J2686+'By Lot'!J2703)</f>
        <v>18</v>
      </c>
      <c r="L112" s="2">
        <f>SUM('By Lot'!K2669+'By Lot'!K2686+'By Lot'!K2703)</f>
        <v>18</v>
      </c>
      <c r="M112" s="27">
        <f>SUM('By Lot'!L2669+'By Lot'!L2686+'By Lot'!L2703)</f>
        <v>18</v>
      </c>
      <c r="N112" s="2">
        <f t="shared" si="56"/>
        <v>17</v>
      </c>
      <c r="O112" s="2">
        <f t="shared" si="57"/>
        <v>2</v>
      </c>
      <c r="P112" s="24">
        <f t="shared" si="58"/>
        <v>0.10526315789473684</v>
      </c>
      <c r="Q112" s="2"/>
    </row>
    <row r="113" spans="1:17" ht="11.25" customHeight="1">
      <c r="A113" s="18"/>
      <c r="B113" s="18" t="s">
        <v>35</v>
      </c>
      <c r="C113" s="18"/>
      <c r="D113" s="26"/>
      <c r="E113" s="2"/>
      <c r="F113" s="2"/>
      <c r="G113" s="2"/>
      <c r="H113" s="2"/>
      <c r="I113" s="2"/>
      <c r="J113" s="2"/>
      <c r="K113" s="2"/>
      <c r="L113" s="2"/>
      <c r="M113" s="27"/>
      <c r="N113" s="26"/>
      <c r="O113" s="2"/>
      <c r="P113" s="24"/>
      <c r="Q113" s="2"/>
    </row>
    <row r="114" spans="1:17" ht="11.25" customHeight="1">
      <c r="A114" s="18"/>
      <c r="B114" s="18" t="s">
        <v>36</v>
      </c>
      <c r="C114" s="18"/>
      <c r="D114" s="26"/>
      <c r="E114" s="2"/>
      <c r="F114" s="2"/>
      <c r="G114" s="2"/>
      <c r="H114" s="2"/>
      <c r="I114" s="2"/>
      <c r="J114" s="2"/>
      <c r="K114" s="2"/>
      <c r="L114" s="2"/>
      <c r="M114" s="27"/>
      <c r="N114" s="26"/>
      <c r="O114" s="2"/>
      <c r="P114" s="24"/>
      <c r="Q114" s="2"/>
    </row>
    <row r="115" spans="1:17" ht="11.25" customHeight="1">
      <c r="A115" s="18"/>
      <c r="B115" s="18" t="s">
        <v>37</v>
      </c>
      <c r="C115" s="18"/>
      <c r="D115" s="26"/>
      <c r="E115" s="2"/>
      <c r="F115" s="2"/>
      <c r="G115" s="2"/>
      <c r="H115" s="2"/>
      <c r="I115" s="2"/>
      <c r="J115" s="2"/>
      <c r="K115" s="2"/>
      <c r="L115" s="2"/>
      <c r="M115" s="27"/>
      <c r="N115" s="26"/>
      <c r="O115" s="2"/>
      <c r="P115" s="24"/>
      <c r="Q115" s="2"/>
    </row>
    <row r="116" spans="1:17" ht="11.25" customHeight="1">
      <c r="A116" s="229"/>
      <c r="B116" s="230" t="s">
        <v>38</v>
      </c>
      <c r="C116" s="240">
        <f>SUM(C107+C111+C112)</f>
        <v>526</v>
      </c>
      <c r="D116" s="241">
        <f t="shared" ref="D116:M116" si="59">SUM(D106:D115)</f>
        <v>357</v>
      </c>
      <c r="E116" s="242">
        <f t="shared" si="59"/>
        <v>257</v>
      </c>
      <c r="F116" s="242">
        <f t="shared" si="59"/>
        <v>239</v>
      </c>
      <c r="G116" s="242">
        <f t="shared" si="59"/>
        <v>219</v>
      </c>
      <c r="H116" s="242">
        <f t="shared" si="59"/>
        <v>224</v>
      </c>
      <c r="I116" s="242">
        <f t="shared" si="59"/>
        <v>196</v>
      </c>
      <c r="J116" s="242">
        <f t="shared" si="59"/>
        <v>193</v>
      </c>
      <c r="K116" s="242">
        <f t="shared" si="59"/>
        <v>206</v>
      </c>
      <c r="L116" s="242">
        <f t="shared" si="59"/>
        <v>243</v>
      </c>
      <c r="M116" s="243">
        <f t="shared" si="59"/>
        <v>320</v>
      </c>
      <c r="N116" s="239">
        <f t="shared" ref="N116:N117" si="60">MIN(D116:M116)</f>
        <v>193</v>
      </c>
      <c r="O116" s="232">
        <f t="shared" ref="O116:O117" si="61">C116-N116</f>
        <v>333</v>
      </c>
      <c r="P116" s="234">
        <f t="shared" ref="P116:P117" si="62">O116/C116</f>
        <v>0.63307984790874527</v>
      </c>
      <c r="Q116" s="2"/>
    </row>
    <row r="117" spans="1:17" ht="11.25" customHeight="1">
      <c r="A117" s="18" t="s">
        <v>445</v>
      </c>
      <c r="B117" s="18" t="s">
        <v>23</v>
      </c>
      <c r="C117" s="19">
        <f>SUM('By Lot'!C2929+'By Lot'!C2912+'By Lot'!C2895+'By Lot'!C2878+'By Lot'!C2861)</f>
        <v>226</v>
      </c>
      <c r="D117" s="20">
        <f>SUM('By Lot'!D2861+'By Lot'!D2878+'By Lot'!D2895+'By Lot'!D2912+'By Lot'!D2929)</f>
        <v>165</v>
      </c>
      <c r="E117" s="21">
        <f>SUM('By Lot'!E2861+'By Lot'!E2878+'By Lot'!E2895+'By Lot'!E2912+'By Lot'!E2929)</f>
        <v>51</v>
      </c>
      <c r="F117" s="21">
        <f>SUM('By Lot'!F2861+'By Lot'!F2878+'By Lot'!F2895+'By Lot'!F2912+'By Lot'!F2929)</f>
        <v>37</v>
      </c>
      <c r="G117" s="21">
        <f>SUM('By Lot'!G2861+'By Lot'!G2878+'By Lot'!G2895+'By Lot'!G2912+'By Lot'!G2929)</f>
        <v>36</v>
      </c>
      <c r="H117" s="21">
        <f>SUM('By Lot'!H2861+'By Lot'!H2878+'By Lot'!H2895+'By Lot'!H2912+'By Lot'!H2929)</f>
        <v>37</v>
      </c>
      <c r="I117" s="21">
        <f>SUM('By Lot'!I2861+'By Lot'!I2878+'By Lot'!I2895+'By Lot'!I2912+'By Lot'!I2929)</f>
        <v>52</v>
      </c>
      <c r="J117" s="21">
        <f>SUM('By Lot'!J2861+'By Lot'!J2878+'By Lot'!J2895+'By Lot'!J2912+'By Lot'!J2929)</f>
        <v>56</v>
      </c>
      <c r="K117" s="21">
        <f>SUM('By Lot'!K2861+'By Lot'!K2878+'By Lot'!K2895+'By Lot'!K2912+'By Lot'!K2929)</f>
        <v>51</v>
      </c>
      <c r="L117" s="21">
        <f>SUM('By Lot'!L2861+'By Lot'!L2878+'By Lot'!L2895+'By Lot'!L2912+'By Lot'!L2929)</f>
        <v>82</v>
      </c>
      <c r="M117" s="22">
        <f>SUM('By Lot'!M2861+'By Lot'!M2878+'By Lot'!M2895+'By Lot'!M2912+'By Lot'!M2929)</f>
        <v>107</v>
      </c>
      <c r="N117" s="23">
        <f t="shared" si="60"/>
        <v>36</v>
      </c>
      <c r="O117" s="23">
        <f t="shared" si="61"/>
        <v>190</v>
      </c>
      <c r="P117" s="24">
        <f t="shared" si="62"/>
        <v>0.84070796460176989</v>
      </c>
      <c r="Q117" s="2"/>
    </row>
    <row r="118" spans="1:17" ht="11.25" customHeight="1">
      <c r="A118" s="18" t="s">
        <v>446</v>
      </c>
      <c r="B118" s="18" t="s">
        <v>25</v>
      </c>
      <c r="C118" s="18"/>
      <c r="D118" s="26"/>
      <c r="E118" s="2"/>
      <c r="F118" s="2"/>
      <c r="G118" s="2"/>
      <c r="H118" s="2"/>
      <c r="I118" s="2"/>
      <c r="J118" s="2"/>
      <c r="K118" s="2"/>
      <c r="L118" s="2"/>
      <c r="M118" s="27"/>
      <c r="N118" s="26"/>
      <c r="O118" s="2"/>
      <c r="P118" s="24"/>
      <c r="Q118" s="2"/>
    </row>
    <row r="119" spans="1:17" ht="11.25" customHeight="1">
      <c r="A119" s="57"/>
      <c r="B119" s="18" t="s">
        <v>27</v>
      </c>
      <c r="C119" s="18"/>
      <c r="D119" s="26"/>
      <c r="E119" s="2"/>
      <c r="F119" s="2"/>
      <c r="G119" s="2"/>
      <c r="H119" s="2"/>
      <c r="I119" s="2"/>
      <c r="J119" s="2"/>
      <c r="K119" s="2"/>
      <c r="L119" s="2"/>
      <c r="M119" s="27"/>
      <c r="N119" s="26"/>
      <c r="O119" s="2"/>
      <c r="P119" s="24"/>
      <c r="Q119" s="2"/>
    </row>
    <row r="120" spans="1:17" ht="11.25" customHeight="1">
      <c r="A120" s="57"/>
      <c r="B120" s="18" t="s">
        <v>31</v>
      </c>
      <c r="C120" s="19">
        <f>SUM('By Lot'!C2711+'By Lot'!C2728+'By Lot'!C2745+'By Lot'!C2762+'By Lot'!C2779+'By Lot'!C2796+'By Lot'!C2813)</f>
        <v>273</v>
      </c>
      <c r="D120" s="19">
        <f>SUM('By Lot'!D2711+'By Lot'!D2728+'By Lot'!D2745+'By Lot'!D2762+'By Lot'!D2779+'By Lot'!D2796+'By Lot'!D2813)</f>
        <v>206</v>
      </c>
      <c r="E120" s="23">
        <f>SUM('By Lot'!E2711+'By Lot'!E2728+'By Lot'!E2745+'By Lot'!E2762+'By Lot'!E2779+'By Lot'!E2796+'By Lot'!E2813)</f>
        <v>174</v>
      </c>
      <c r="F120" s="23">
        <f>SUM('By Lot'!F2711+'By Lot'!F2728+'By Lot'!F2745+'By Lot'!F2762+'By Lot'!F2779+'By Lot'!F2796+'By Lot'!F2813)</f>
        <v>164</v>
      </c>
      <c r="G120" s="23">
        <f>SUM('By Lot'!G2711+'By Lot'!G2728+'By Lot'!G2745+'By Lot'!G2762+'By Lot'!G2779+'By Lot'!G2796+'By Lot'!G2813)</f>
        <v>159</v>
      </c>
      <c r="H120" s="23">
        <f>SUM('By Lot'!H2711+'By Lot'!H2728+'By Lot'!H2745+'By Lot'!H2762+'By Lot'!H2779+'By Lot'!H2796+'By Lot'!H2813)</f>
        <v>163</v>
      </c>
      <c r="I120" s="23">
        <f>SUM('By Lot'!I2711+'By Lot'!I2728+'By Lot'!I2745+'By Lot'!I2762+'By Lot'!I2779+'By Lot'!I2796+'By Lot'!I2813)</f>
        <v>170</v>
      </c>
      <c r="J120" s="23">
        <f>SUM('By Lot'!J2711+'By Lot'!J2728+'By Lot'!J2745+'By Lot'!J2762+'By Lot'!J2779+'By Lot'!J2796+'By Lot'!J2813)</f>
        <v>173</v>
      </c>
      <c r="K120" s="23">
        <f>SUM('By Lot'!K2711+'By Lot'!K2728+'By Lot'!K2745+'By Lot'!K2762+'By Lot'!K2779+'By Lot'!K2796+'By Lot'!K2813)</f>
        <v>180</v>
      </c>
      <c r="L120" s="23">
        <f>SUM('By Lot'!L2711+'By Lot'!L2728+'By Lot'!L2745+'By Lot'!L2762+'By Lot'!L2779+'By Lot'!L2796+'By Lot'!L2813)</f>
        <v>195</v>
      </c>
      <c r="M120" s="25">
        <f>SUM('By Lot'!M2711+'By Lot'!M2728+'By Lot'!M2745+'By Lot'!M2762+'By Lot'!M2779+'By Lot'!M2796+'By Lot'!M2813)</f>
        <v>205</v>
      </c>
      <c r="N120" s="23">
        <f t="shared" ref="N120:N123" si="63">MIN(D120:M120)</f>
        <v>159</v>
      </c>
      <c r="O120" s="23">
        <f t="shared" ref="O120:O123" si="64">C120-N120</f>
        <v>114</v>
      </c>
      <c r="P120" s="24">
        <f t="shared" ref="P120:P123" si="65">O120/C120</f>
        <v>0.4175824175824176</v>
      </c>
      <c r="Q120" s="2"/>
    </row>
    <row r="121" spans="1:17" ht="11.25" customHeight="1">
      <c r="A121" s="57"/>
      <c r="B121" s="18" t="s">
        <v>32</v>
      </c>
      <c r="C121" s="19">
        <f>SUM('By Lot'!C2849)</f>
        <v>18</v>
      </c>
      <c r="D121" s="19">
        <f>SUM('By Lot'!D2849)</f>
        <v>16</v>
      </c>
      <c r="E121" s="23">
        <f>SUM('By Lot'!E2849)</f>
        <v>15</v>
      </c>
      <c r="F121" s="23">
        <f>SUM('By Lot'!F2849)</f>
        <v>15</v>
      </c>
      <c r="G121" s="23">
        <f>SUM('By Lot'!G2849)</f>
        <v>15</v>
      </c>
      <c r="H121" s="23">
        <f>SUM('By Lot'!H2849)</f>
        <v>15</v>
      </c>
      <c r="I121" s="23">
        <f>SUM('By Lot'!I2849)</f>
        <v>15</v>
      </c>
      <c r="J121" s="23">
        <f>SUM('By Lot'!J2849)</f>
        <v>15</v>
      </c>
      <c r="K121" s="23">
        <f>SUM('By Lot'!K2849)</f>
        <v>15</v>
      </c>
      <c r="L121" s="23">
        <f>SUM('By Lot'!L2849)</f>
        <v>14</v>
      </c>
      <c r="M121" s="25">
        <f>SUM('By Lot'!M2849)</f>
        <v>14</v>
      </c>
      <c r="N121" s="23">
        <f t="shared" si="63"/>
        <v>14</v>
      </c>
      <c r="O121" s="23">
        <f t="shared" si="64"/>
        <v>4</v>
      </c>
      <c r="P121" s="24">
        <f t="shared" si="65"/>
        <v>0.22222222222222221</v>
      </c>
      <c r="Q121" s="2"/>
    </row>
    <row r="122" spans="1:17" ht="11.25" customHeight="1">
      <c r="A122" s="18"/>
      <c r="B122" s="18" t="s">
        <v>33</v>
      </c>
      <c r="C122" s="19">
        <f>SUM('By Lot'!C2816+'By Lot'!C2833+'By Lot'!C2850)</f>
        <v>18</v>
      </c>
      <c r="D122" s="19">
        <f>SUM('By Lot'!D2816+'By Lot'!D2833+'By Lot'!D2850)</f>
        <v>16</v>
      </c>
      <c r="E122" s="23">
        <f>SUM('By Lot'!E2816+'By Lot'!E2833+'By Lot'!E2850)</f>
        <v>12</v>
      </c>
      <c r="F122" s="23">
        <f>SUM('By Lot'!F2816+'By Lot'!F2833+'By Lot'!F2850)</f>
        <v>12</v>
      </c>
      <c r="G122" s="23">
        <f>SUM('By Lot'!G2816+'By Lot'!G2833+'By Lot'!G2850)</f>
        <v>10</v>
      </c>
      <c r="H122" s="23">
        <f>SUM('By Lot'!H2816+'By Lot'!H2833+'By Lot'!H2850)</f>
        <v>12</v>
      </c>
      <c r="I122" s="23">
        <f>SUM('By Lot'!I2816+'By Lot'!I2833+'By Lot'!I2850)</f>
        <v>11</v>
      </c>
      <c r="J122" s="23">
        <f>SUM('By Lot'!J2816+'By Lot'!J2833+'By Lot'!J2850)</f>
        <v>13</v>
      </c>
      <c r="K122" s="23">
        <f>SUM('By Lot'!K2816+'By Lot'!K2833+'By Lot'!K2850)</f>
        <v>15</v>
      </c>
      <c r="L122" s="23">
        <f>SUM('By Lot'!L2816+'By Lot'!L2833+'By Lot'!L2850)</f>
        <v>16</v>
      </c>
      <c r="M122" s="25">
        <f>SUM('By Lot'!M2816+'By Lot'!M2833+'By Lot'!M2850)</f>
        <v>15</v>
      </c>
      <c r="N122" s="23">
        <f t="shared" si="63"/>
        <v>10</v>
      </c>
      <c r="O122" s="23">
        <f t="shared" si="64"/>
        <v>8</v>
      </c>
      <c r="P122" s="24">
        <f t="shared" si="65"/>
        <v>0.44444444444444442</v>
      </c>
      <c r="Q122" s="2"/>
    </row>
    <row r="123" spans="1:17" ht="11.25" customHeight="1">
      <c r="A123" s="18"/>
      <c r="B123" s="18" t="s">
        <v>34</v>
      </c>
      <c r="C123" s="19">
        <f>SUM('By Lot'!C2941+'By Lot'!C2907+'By Lot'!C2873+'By Lot'!C2839)</f>
        <v>15</v>
      </c>
      <c r="D123" s="19">
        <f>SUM('By Lot'!D2839+'By Lot'!D2873+'By Lot'!D2907+'By Lot'!D2941)</f>
        <v>4</v>
      </c>
      <c r="E123" s="23">
        <f>SUM('By Lot'!E2839+'By Lot'!E2873+'By Lot'!E2907+'By Lot'!E2941)</f>
        <v>4</v>
      </c>
      <c r="F123" s="23">
        <f>SUM('By Lot'!F2839+'By Lot'!F2873+'By Lot'!F2907+'By Lot'!F2941)</f>
        <v>4</v>
      </c>
      <c r="G123" s="23">
        <f>SUM('By Lot'!G2839+'By Lot'!G2873+'By Lot'!G2907+'By Lot'!G2941)</f>
        <v>4</v>
      </c>
      <c r="H123" s="23">
        <f>SUM('By Lot'!H2839+'By Lot'!H2873+'By Lot'!H2907+'By Lot'!H2941)</f>
        <v>5</v>
      </c>
      <c r="I123" s="23">
        <f>SUM('By Lot'!I2839+'By Lot'!I2873+'By Lot'!I2907+'By Lot'!I2941)</f>
        <v>5</v>
      </c>
      <c r="J123" s="23">
        <f>SUM('By Lot'!J2839+'By Lot'!J2873+'By Lot'!J2907+'By Lot'!J2941)</f>
        <v>6</v>
      </c>
      <c r="K123" s="23">
        <f>SUM('By Lot'!K2839+'By Lot'!K2873+'By Lot'!K2907+'By Lot'!K2941)</f>
        <v>3</v>
      </c>
      <c r="L123" s="23">
        <f>SUM('By Lot'!L2839+'By Lot'!L2873+'By Lot'!L2907+'By Lot'!L2941)</f>
        <v>9</v>
      </c>
      <c r="M123" s="25">
        <f>SUM('By Lot'!M2839+'By Lot'!M2873+'By Lot'!M2907+'By Lot'!M2941)</f>
        <v>11</v>
      </c>
      <c r="N123" s="23">
        <f t="shared" si="63"/>
        <v>3</v>
      </c>
      <c r="O123" s="23">
        <f t="shared" si="64"/>
        <v>12</v>
      </c>
      <c r="P123" s="24">
        <f t="shared" si="65"/>
        <v>0.8</v>
      </c>
      <c r="Q123" s="2"/>
    </row>
    <row r="124" spans="1:17" ht="11.25" customHeight="1">
      <c r="A124" s="18"/>
      <c r="B124" s="18" t="s">
        <v>35</v>
      </c>
      <c r="C124" s="18"/>
      <c r="D124" s="26"/>
      <c r="E124" s="2"/>
      <c r="F124" s="2"/>
      <c r="G124" s="2"/>
      <c r="H124" s="2"/>
      <c r="I124" s="2"/>
      <c r="J124" s="2"/>
      <c r="K124" s="2"/>
      <c r="L124" s="2"/>
      <c r="M124" s="27"/>
      <c r="N124" s="26"/>
      <c r="O124" s="2"/>
      <c r="P124" s="24"/>
      <c r="Q124" s="2"/>
    </row>
    <row r="125" spans="1:17" ht="11.25" customHeight="1">
      <c r="A125" s="18"/>
      <c r="B125" s="18" t="s">
        <v>36</v>
      </c>
      <c r="C125" s="18"/>
      <c r="D125" s="26"/>
      <c r="E125" s="2"/>
      <c r="F125" s="2"/>
      <c r="G125" s="2"/>
      <c r="H125" s="2"/>
      <c r="I125" s="2"/>
      <c r="J125" s="2"/>
      <c r="K125" s="2"/>
      <c r="L125" s="2"/>
      <c r="M125" s="27"/>
      <c r="N125" s="26"/>
      <c r="O125" s="2"/>
      <c r="P125" s="24"/>
      <c r="Q125" s="2"/>
    </row>
    <row r="126" spans="1:17" ht="11.25" customHeight="1">
      <c r="A126" s="18"/>
      <c r="B126" s="18" t="s">
        <v>37</v>
      </c>
      <c r="C126" s="18"/>
      <c r="D126" s="26"/>
      <c r="E126" s="2"/>
      <c r="F126" s="2"/>
      <c r="G126" s="2"/>
      <c r="H126" s="2"/>
      <c r="I126" s="2"/>
      <c r="J126" s="2"/>
      <c r="K126" s="2"/>
      <c r="L126" s="2"/>
      <c r="M126" s="27"/>
      <c r="N126" s="26"/>
      <c r="O126" s="2"/>
      <c r="P126" s="24"/>
      <c r="Q126" s="2"/>
    </row>
    <row r="127" spans="1:17" ht="11.25" customHeight="1">
      <c r="A127" s="32"/>
      <c r="B127" s="33" t="s">
        <v>38</v>
      </c>
      <c r="C127" s="60">
        <f>SUM(C117:C126)</f>
        <v>550</v>
      </c>
      <c r="D127" s="60">
        <f t="shared" ref="D127:M127" si="66">SUM(D117:D126)</f>
        <v>407</v>
      </c>
      <c r="E127" s="244">
        <f t="shared" si="66"/>
        <v>256</v>
      </c>
      <c r="F127" s="244">
        <f t="shared" si="66"/>
        <v>232</v>
      </c>
      <c r="G127" s="244">
        <f t="shared" si="66"/>
        <v>224</v>
      </c>
      <c r="H127" s="244">
        <f t="shared" si="66"/>
        <v>232</v>
      </c>
      <c r="I127" s="244">
        <f t="shared" si="66"/>
        <v>253</v>
      </c>
      <c r="J127" s="244">
        <f t="shared" si="66"/>
        <v>263</v>
      </c>
      <c r="K127" s="244">
        <f t="shared" si="66"/>
        <v>264</v>
      </c>
      <c r="L127" s="244">
        <f t="shared" si="66"/>
        <v>316</v>
      </c>
      <c r="M127" s="245">
        <f t="shared" si="66"/>
        <v>352</v>
      </c>
      <c r="N127" s="246">
        <f>MIN(D127:M127)</f>
        <v>224</v>
      </c>
      <c r="O127" s="39">
        <f>C127-N127</f>
        <v>326</v>
      </c>
      <c r="P127" s="40">
        <f>O127/C127</f>
        <v>0.59272727272727277</v>
      </c>
      <c r="Q127" s="2"/>
    </row>
    <row r="128" spans="1:17" ht="11.25" customHeight="1">
      <c r="A128" s="66" t="s">
        <v>447</v>
      </c>
      <c r="B128" s="18" t="s">
        <v>23</v>
      </c>
      <c r="C128" s="18"/>
      <c r="D128" s="26"/>
      <c r="E128" s="2"/>
      <c r="F128" s="2"/>
      <c r="G128" s="2"/>
      <c r="H128" s="2"/>
      <c r="I128" s="2"/>
      <c r="J128" s="2"/>
      <c r="K128" s="2"/>
      <c r="L128" s="2"/>
      <c r="M128" s="27"/>
      <c r="N128" s="26"/>
      <c r="O128" s="2"/>
      <c r="P128" s="24"/>
      <c r="Q128" s="2"/>
    </row>
    <row r="129" spans="1:17" ht="11.25" customHeight="1">
      <c r="A129" s="18" t="s">
        <v>448</v>
      </c>
      <c r="B129" s="18" t="s">
        <v>25</v>
      </c>
      <c r="C129" s="19">
        <f>SUM('By Lot'!C2947+'By Lot'!C2964+'By Lot'!C2981+'By Lot'!C2998+'By Lot'!C3015+'By Lot'!C3032+'By Lot'!C3049+'By Lot'!C3066+'By Lot'!C3083+'By Lot'!C3100+'By Lot'!C3117)</f>
        <v>1016</v>
      </c>
      <c r="D129" s="19">
        <f>SUM('By Lot'!D2947+'By Lot'!D2964+'By Lot'!D2981+'By Lot'!D2998+'By Lot'!D3015+'By Lot'!D3032+'By Lot'!D3049+'By Lot'!D3066+'By Lot'!D3083+'By Lot'!D3100+'By Lot'!D3117)</f>
        <v>466</v>
      </c>
      <c r="E129" s="23">
        <f>SUM('By Lot'!E2947+'By Lot'!E2964+'By Lot'!E2981+'By Lot'!E2998+'By Lot'!E3015+'By Lot'!E3032+'By Lot'!E3049+'By Lot'!E3066+'By Lot'!E3083+'By Lot'!E3100+'By Lot'!E3117)</f>
        <v>389</v>
      </c>
      <c r="F129" s="23">
        <f>SUM('By Lot'!F2947+'By Lot'!F2964+'By Lot'!F2981+'By Lot'!F2998+'By Lot'!F3015+'By Lot'!F3032+'By Lot'!F3049+'By Lot'!F3066+'By Lot'!F3083+'By Lot'!F3100+'By Lot'!F3117)</f>
        <v>347</v>
      </c>
      <c r="G129" s="23">
        <f>SUM('By Lot'!G2947+'By Lot'!G2964+'By Lot'!G2981+'By Lot'!G2998+'By Lot'!G3015+'By Lot'!G3032+'By Lot'!G3049+'By Lot'!G3066+'By Lot'!G3083+'By Lot'!G3100+'By Lot'!G3117)</f>
        <v>343</v>
      </c>
      <c r="H129" s="23">
        <f>SUM('By Lot'!H2947+'By Lot'!H2964+'By Lot'!H2981+'By Lot'!H2998+'By Lot'!H3015+'By Lot'!H3032+'By Lot'!H3049+'By Lot'!H3066+'By Lot'!H3083+'By Lot'!H3100+'By Lot'!H3117)</f>
        <v>349</v>
      </c>
      <c r="I129" s="23">
        <f>SUM('By Lot'!I2947+'By Lot'!I2964+'By Lot'!I2981+'By Lot'!I2998+'By Lot'!I3015+'By Lot'!I3032+'By Lot'!I3049+'By Lot'!I3066+'By Lot'!I3083+'By Lot'!I3100+'By Lot'!I3117)</f>
        <v>377</v>
      </c>
      <c r="J129" s="23">
        <f>SUM('By Lot'!J2947+'By Lot'!J2964+'By Lot'!J2981+'By Lot'!J2998+'By Lot'!J3015+'By Lot'!J3032+'By Lot'!J3049+'By Lot'!J3066+'By Lot'!J3083+'By Lot'!J3100+'By Lot'!J3117)</f>
        <v>375</v>
      </c>
      <c r="K129" s="23">
        <f>SUM('By Lot'!K2947+'By Lot'!K2964+'By Lot'!K2981+'By Lot'!K2998+'By Lot'!K3015+'By Lot'!K3032+'By Lot'!K3049+'By Lot'!K3066+'By Lot'!K3083+'By Lot'!K3100+'By Lot'!K3117)</f>
        <v>423</v>
      </c>
      <c r="L129" s="23">
        <f>SUM('By Lot'!L2947+'By Lot'!L2964+'By Lot'!L2981+'By Lot'!L2998+'By Lot'!L3015+'By Lot'!L3032+'By Lot'!L3049+'By Lot'!L3066+'By Lot'!L3083+'By Lot'!L3100+'By Lot'!L3117)</f>
        <v>530</v>
      </c>
      <c r="M129" s="25">
        <f>SUM('By Lot'!M2947+'By Lot'!M2964+'By Lot'!M2981+'By Lot'!M2998+'By Lot'!M3015+'By Lot'!M3032+'By Lot'!M3049+'By Lot'!M3066+'By Lot'!M3083+'By Lot'!M3100+'By Lot'!M3117)</f>
        <v>628</v>
      </c>
      <c r="N129" s="23">
        <f>MIN(D129:M129)</f>
        <v>343</v>
      </c>
      <c r="O129" s="23">
        <f>C129-N129</f>
        <v>673</v>
      </c>
      <c r="P129" s="24">
        <f>O129/C129</f>
        <v>0.66240157480314965</v>
      </c>
      <c r="Q129" s="2"/>
    </row>
    <row r="130" spans="1:17" ht="11.25" customHeight="1">
      <c r="A130" s="57"/>
      <c r="B130" s="18" t="s">
        <v>27</v>
      </c>
      <c r="C130" s="18"/>
      <c r="D130" s="26"/>
      <c r="E130" s="2"/>
      <c r="F130" s="2"/>
      <c r="G130" s="2"/>
      <c r="H130" s="2"/>
      <c r="I130" s="2"/>
      <c r="J130" s="2"/>
      <c r="K130" s="2"/>
      <c r="L130" s="2"/>
      <c r="M130" s="27"/>
      <c r="N130" s="26"/>
      <c r="O130" s="2"/>
      <c r="P130" s="24"/>
      <c r="Q130" s="2"/>
    </row>
    <row r="131" spans="1:17" ht="11.25" customHeight="1">
      <c r="A131" s="57"/>
      <c r="B131" s="18" t="s">
        <v>31</v>
      </c>
      <c r="C131" s="18"/>
      <c r="D131" s="26"/>
      <c r="E131" s="2"/>
      <c r="F131" s="2"/>
      <c r="G131" s="2"/>
      <c r="H131" s="2"/>
      <c r="I131" s="2"/>
      <c r="J131" s="2"/>
      <c r="K131" s="2"/>
      <c r="L131" s="2"/>
      <c r="M131" s="27"/>
      <c r="N131" s="26"/>
      <c r="O131" s="2"/>
      <c r="P131" s="24"/>
      <c r="Q131" s="2"/>
    </row>
    <row r="132" spans="1:17" ht="11.25" customHeight="1">
      <c r="A132" s="57"/>
      <c r="B132" s="18" t="s">
        <v>32</v>
      </c>
      <c r="C132" s="18"/>
      <c r="D132" s="26"/>
      <c r="E132" s="2"/>
      <c r="F132" s="2"/>
      <c r="G132" s="2"/>
      <c r="H132" s="2"/>
      <c r="I132" s="2"/>
      <c r="J132" s="2"/>
      <c r="K132" s="2"/>
      <c r="L132" s="2"/>
      <c r="M132" s="27"/>
      <c r="N132" s="26"/>
      <c r="O132" s="2"/>
      <c r="P132" s="24"/>
      <c r="Q132" s="2"/>
    </row>
    <row r="133" spans="1:17" ht="11.25" customHeight="1">
      <c r="A133" s="18"/>
      <c r="B133" s="18" t="s">
        <v>33</v>
      </c>
      <c r="C133" s="19">
        <f>SUM('By Lot'!C2969+'By Lot'!C2970+'By Lot'!C2986)</f>
        <v>12</v>
      </c>
      <c r="D133" s="19">
        <f>SUM('By Lot'!D2969+'By Lot'!D2970+'By Lot'!D2986)</f>
        <v>8</v>
      </c>
      <c r="E133" s="23">
        <f>SUM('By Lot'!E2969+'By Lot'!E2970+'By Lot'!E2986)</f>
        <v>6</v>
      </c>
      <c r="F133" s="23">
        <f>SUM('By Lot'!F2969+'By Lot'!F2970+'By Lot'!F2986)</f>
        <v>8</v>
      </c>
      <c r="G133" s="23">
        <f>SUM('By Lot'!G2969+'By Lot'!G2970+'By Lot'!G2986)</f>
        <v>8</v>
      </c>
      <c r="H133" s="23">
        <f>SUM('By Lot'!H2969+'By Lot'!H2970+'By Lot'!H2986)</f>
        <v>9</v>
      </c>
      <c r="I133" s="23">
        <f>SUM('By Lot'!I2969+'By Lot'!I2970+'By Lot'!I2986)</f>
        <v>8</v>
      </c>
      <c r="J133" s="23">
        <f>SUM('By Lot'!J2969+'By Lot'!J2970+'By Lot'!J2986)</f>
        <v>8</v>
      </c>
      <c r="K133" s="23">
        <f>SUM('By Lot'!K2969+'By Lot'!K2970+'By Lot'!K2986)</f>
        <v>9</v>
      </c>
      <c r="L133" s="23">
        <f>SUM('By Lot'!L2969+'By Lot'!L2970+'By Lot'!L2986)</f>
        <v>9</v>
      </c>
      <c r="M133" s="25">
        <f>SUM('By Lot'!M2969+'By Lot'!M2970+'By Lot'!M2986)</f>
        <v>9</v>
      </c>
      <c r="N133" s="23">
        <f t="shared" ref="N133:N134" si="67">MIN(D133:M133)</f>
        <v>6</v>
      </c>
      <c r="O133" s="23">
        <f t="shared" ref="O133:O134" si="68">C133-N133</f>
        <v>6</v>
      </c>
      <c r="P133" s="24">
        <f t="shared" ref="P133:P134" si="69">O133/C133</f>
        <v>0.5</v>
      </c>
      <c r="Q133" s="2"/>
    </row>
    <row r="134" spans="1:17" ht="11.25" customHeight="1">
      <c r="A134" s="18"/>
      <c r="B134" s="18" t="s">
        <v>34</v>
      </c>
      <c r="C134" s="19">
        <f>SUM('By Lot'!C2958+'By Lot'!C2975+'By Lot'!C3043)</f>
        <v>6</v>
      </c>
      <c r="D134" s="19">
        <f>SUM('By Lot'!D2958+'By Lot'!D2975+'By Lot'!D3043)</f>
        <v>5</v>
      </c>
      <c r="E134" s="23">
        <f>SUM('By Lot'!E2958+'By Lot'!E2975+'By Lot'!E3043)</f>
        <v>5</v>
      </c>
      <c r="F134" s="23">
        <f>SUM('By Lot'!F2958+'By Lot'!F2975+'By Lot'!F3043)</f>
        <v>5</v>
      </c>
      <c r="G134" s="23">
        <f>SUM('By Lot'!G2958+'By Lot'!G2975+'By Lot'!G3043)</f>
        <v>5</v>
      </c>
      <c r="H134" s="23">
        <f>SUM('By Lot'!H2958+'By Lot'!H2975+'By Lot'!H3043)</f>
        <v>5</v>
      </c>
      <c r="I134" s="23">
        <f>SUM('By Lot'!I2958+'By Lot'!I2975+'By Lot'!I3043)</f>
        <v>5</v>
      </c>
      <c r="J134" s="23">
        <f>SUM('By Lot'!J2958+'By Lot'!J2975+'By Lot'!J3043)</f>
        <v>4</v>
      </c>
      <c r="K134" s="23">
        <f>SUM('By Lot'!K2958+'By Lot'!K2975+'By Lot'!K3043)</f>
        <v>4</v>
      </c>
      <c r="L134" s="23">
        <f>SUM('By Lot'!L2958+'By Lot'!L2975+'By Lot'!L3043)</f>
        <v>5</v>
      </c>
      <c r="M134" s="25">
        <f>SUM('By Lot'!M2958+'By Lot'!M2975+'By Lot'!M3043)</f>
        <v>5</v>
      </c>
      <c r="N134" s="23">
        <f t="shared" si="67"/>
        <v>4</v>
      </c>
      <c r="O134" s="23">
        <f t="shared" si="68"/>
        <v>2</v>
      </c>
      <c r="P134" s="24">
        <f t="shared" si="69"/>
        <v>0.33333333333333331</v>
      </c>
      <c r="Q134" s="2"/>
    </row>
    <row r="135" spans="1:17" ht="11.25" customHeight="1">
      <c r="A135" s="18"/>
      <c r="B135" s="18" t="s">
        <v>35</v>
      </c>
      <c r="C135" s="18"/>
      <c r="D135" s="26"/>
      <c r="E135" s="2"/>
      <c r="F135" s="2"/>
      <c r="G135" s="2"/>
      <c r="H135" s="2"/>
      <c r="I135" s="2"/>
      <c r="J135" s="2"/>
      <c r="K135" s="2"/>
      <c r="L135" s="2"/>
      <c r="M135" s="27"/>
      <c r="N135" s="26"/>
      <c r="O135" s="2"/>
      <c r="P135" s="24"/>
      <c r="Q135" s="2"/>
    </row>
    <row r="136" spans="1:17" ht="11.25" customHeight="1">
      <c r="A136" s="18"/>
      <c r="B136" s="18" t="s">
        <v>36</v>
      </c>
      <c r="C136" s="18"/>
      <c r="D136" s="26"/>
      <c r="E136" s="2"/>
      <c r="F136" s="2"/>
      <c r="G136" s="2"/>
      <c r="H136" s="2"/>
      <c r="I136" s="2"/>
      <c r="J136" s="2"/>
      <c r="K136" s="2"/>
      <c r="L136" s="2"/>
      <c r="M136" s="27"/>
      <c r="N136" s="26"/>
      <c r="O136" s="2"/>
      <c r="P136" s="24"/>
      <c r="Q136" s="2"/>
    </row>
    <row r="137" spans="1:17" ht="11.25" customHeight="1">
      <c r="A137" s="18"/>
      <c r="B137" s="18" t="s">
        <v>37</v>
      </c>
      <c r="C137" s="18"/>
      <c r="D137" s="26"/>
      <c r="E137" s="2"/>
      <c r="F137" s="2"/>
      <c r="G137" s="2"/>
      <c r="H137" s="2"/>
      <c r="I137" s="2"/>
      <c r="J137" s="2"/>
      <c r="K137" s="2"/>
      <c r="L137" s="2"/>
      <c r="M137" s="27"/>
      <c r="N137" s="26"/>
      <c r="O137" s="2"/>
      <c r="P137" s="24"/>
      <c r="Q137" s="2"/>
    </row>
    <row r="138" spans="1:17" ht="11.25" customHeight="1">
      <c r="A138" s="32"/>
      <c r="B138" s="33" t="s">
        <v>38</v>
      </c>
      <c r="C138" s="236">
        <f>SUM(C128:C137)</f>
        <v>1034</v>
      </c>
      <c r="D138" s="241">
        <f t="shared" ref="D138:M138" si="70">SUM(D128:D137)</f>
        <v>479</v>
      </c>
      <c r="E138" s="242">
        <f t="shared" si="70"/>
        <v>400</v>
      </c>
      <c r="F138" s="242">
        <f t="shared" si="70"/>
        <v>360</v>
      </c>
      <c r="G138" s="242">
        <f t="shared" si="70"/>
        <v>356</v>
      </c>
      <c r="H138" s="242">
        <f t="shared" si="70"/>
        <v>363</v>
      </c>
      <c r="I138" s="242">
        <f t="shared" si="70"/>
        <v>390</v>
      </c>
      <c r="J138" s="242">
        <f t="shared" si="70"/>
        <v>387</v>
      </c>
      <c r="K138" s="242">
        <f t="shared" si="70"/>
        <v>436</v>
      </c>
      <c r="L138" s="242">
        <f t="shared" si="70"/>
        <v>544</v>
      </c>
      <c r="M138" s="243">
        <f t="shared" si="70"/>
        <v>642</v>
      </c>
      <c r="N138" s="247">
        <f t="shared" ref="N138:N140" si="71">MIN(D138:M138)</f>
        <v>356</v>
      </c>
      <c r="O138" s="71">
        <f t="shared" ref="O138:O140" si="72">C138-N138</f>
        <v>678</v>
      </c>
      <c r="P138" s="40">
        <f t="shared" ref="P138:P140" si="73">O138/C138</f>
        <v>0.65570599613152802</v>
      </c>
      <c r="Q138" s="2"/>
    </row>
    <row r="139" spans="1:17" ht="11.25" customHeight="1">
      <c r="A139" s="66" t="s">
        <v>449</v>
      </c>
      <c r="B139" s="18" t="s">
        <v>23</v>
      </c>
      <c r="C139" s="19">
        <f>SUM('By Lot'!C3150)</f>
        <v>11</v>
      </c>
      <c r="D139" s="20">
        <f>SUM('By Lot'!D3150)</f>
        <v>9</v>
      </c>
      <c r="E139" s="21">
        <f>SUM('By Lot'!E3150)</f>
        <v>6</v>
      </c>
      <c r="F139" s="21">
        <f>SUM('By Lot'!F3150)</f>
        <v>5</v>
      </c>
      <c r="G139" s="21">
        <f>SUM('By Lot'!G3150)</f>
        <v>4</v>
      </c>
      <c r="H139" s="21">
        <f>SUM('By Lot'!H3150)</f>
        <v>5</v>
      </c>
      <c r="I139" s="21">
        <f>SUM('By Lot'!I3150)</f>
        <v>6</v>
      </c>
      <c r="J139" s="21">
        <f>SUM('By Lot'!J3150)</f>
        <v>6</v>
      </c>
      <c r="K139" s="21">
        <f>SUM('By Lot'!K3150)</f>
        <v>5</v>
      </c>
      <c r="L139" s="21">
        <f>SUM('By Lot'!L3150)</f>
        <v>5</v>
      </c>
      <c r="M139" s="22">
        <f>SUM('By Lot'!M3150)</f>
        <v>3</v>
      </c>
      <c r="N139" s="23">
        <f t="shared" si="71"/>
        <v>3</v>
      </c>
      <c r="O139" s="23">
        <f t="shared" si="72"/>
        <v>8</v>
      </c>
      <c r="P139" s="24">
        <f t="shared" si="73"/>
        <v>0.72727272727272729</v>
      </c>
      <c r="Q139" s="2"/>
    </row>
    <row r="140" spans="1:17" ht="11.25" customHeight="1">
      <c r="A140" s="18" t="s">
        <v>450</v>
      </c>
      <c r="B140" s="18" t="s">
        <v>25</v>
      </c>
      <c r="C140" s="19">
        <f>SUM('By Lot'!C3151)</f>
        <v>21</v>
      </c>
      <c r="D140" s="19">
        <f>SUM('By Lot'!D3151)</f>
        <v>15</v>
      </c>
      <c r="E140" s="23">
        <f>SUM('By Lot'!E3151)</f>
        <v>9</v>
      </c>
      <c r="F140" s="23">
        <f>SUM('By Lot'!F3151)</f>
        <v>9</v>
      </c>
      <c r="G140" s="23">
        <f>SUM('By Lot'!G3151)</f>
        <v>9</v>
      </c>
      <c r="H140" s="23">
        <f>SUM('By Lot'!H3151)</f>
        <v>9</v>
      </c>
      <c r="I140" s="23">
        <f>SUM('By Lot'!I3151)</f>
        <v>9</v>
      </c>
      <c r="J140" s="23">
        <f>SUM('By Lot'!J3151)</f>
        <v>10</v>
      </c>
      <c r="K140" s="23">
        <f>SUM('By Lot'!K3151)</f>
        <v>9</v>
      </c>
      <c r="L140" s="23">
        <f>SUM('By Lot'!L3151)</f>
        <v>10</v>
      </c>
      <c r="M140" s="25">
        <f>SUM('By Lot'!M3151)</f>
        <v>7</v>
      </c>
      <c r="N140" s="23">
        <f t="shared" si="71"/>
        <v>7</v>
      </c>
      <c r="O140" s="23">
        <f t="shared" si="72"/>
        <v>14</v>
      </c>
      <c r="P140" s="24">
        <f t="shared" si="73"/>
        <v>0.66666666666666663</v>
      </c>
      <c r="Q140" s="2"/>
    </row>
    <row r="141" spans="1:17" ht="11.25" customHeight="1">
      <c r="A141" s="57"/>
      <c r="B141" s="18" t="s">
        <v>27</v>
      </c>
      <c r="C141" s="18"/>
      <c r="D141" s="26"/>
      <c r="E141" s="2"/>
      <c r="F141" s="2"/>
      <c r="G141" s="2"/>
      <c r="H141" s="2"/>
      <c r="I141" s="2"/>
      <c r="J141" s="2"/>
      <c r="K141" s="2"/>
      <c r="L141" s="2"/>
      <c r="M141" s="27"/>
      <c r="N141" s="26"/>
      <c r="O141" s="2"/>
      <c r="P141" s="24"/>
      <c r="Q141" s="2"/>
    </row>
    <row r="142" spans="1:17" ht="11.25" customHeight="1">
      <c r="A142" s="57"/>
      <c r="B142" s="18" t="s">
        <v>31</v>
      </c>
      <c r="C142" s="18"/>
      <c r="D142" s="26"/>
      <c r="E142" s="2"/>
      <c r="F142" s="2"/>
      <c r="G142" s="2"/>
      <c r="H142" s="2"/>
      <c r="I142" s="2"/>
      <c r="J142" s="2"/>
      <c r="K142" s="2"/>
      <c r="L142" s="2"/>
      <c r="M142" s="27"/>
      <c r="N142" s="26"/>
      <c r="O142" s="2"/>
      <c r="P142" s="24"/>
      <c r="Q142" s="2"/>
    </row>
    <row r="143" spans="1:17" ht="11.25" customHeight="1">
      <c r="A143" s="57"/>
      <c r="B143" s="18" t="s">
        <v>32</v>
      </c>
      <c r="C143" s="19">
        <f>SUM('By Lot'!C3155)</f>
        <v>2</v>
      </c>
      <c r="D143" s="19">
        <f>SUM('By Lot'!D3155)</f>
        <v>2</v>
      </c>
      <c r="E143" s="23">
        <f>SUM('By Lot'!E3155)</f>
        <v>2</v>
      </c>
      <c r="F143" s="23">
        <f>SUM('By Lot'!F3155)</f>
        <v>2</v>
      </c>
      <c r="G143" s="23">
        <f>SUM('By Lot'!G3155)</f>
        <v>2</v>
      </c>
      <c r="H143" s="23">
        <f>SUM('By Lot'!H3155)</f>
        <v>2</v>
      </c>
      <c r="I143" s="23">
        <f>SUM('By Lot'!I3155)</f>
        <v>2</v>
      </c>
      <c r="J143" s="23">
        <f>SUM('By Lot'!J3155)</f>
        <v>2</v>
      </c>
      <c r="K143" s="23">
        <f>SUM('By Lot'!K3155)</f>
        <v>2</v>
      </c>
      <c r="L143" s="23">
        <f>SUM('By Lot'!L3155)</f>
        <v>2</v>
      </c>
      <c r="M143" s="25">
        <f>SUM('By Lot'!M3155)</f>
        <v>2</v>
      </c>
      <c r="N143" s="23">
        <f t="shared" ref="N143:N145" si="74">MIN(D143:M143)</f>
        <v>2</v>
      </c>
      <c r="O143" s="23">
        <f t="shared" ref="O143:O145" si="75">C143-N143</f>
        <v>0</v>
      </c>
      <c r="P143" s="24">
        <f t="shared" ref="P143:P145" si="76">O143/C143</f>
        <v>0</v>
      </c>
      <c r="Q143" s="2"/>
    </row>
    <row r="144" spans="1:17" ht="11.25" customHeight="1">
      <c r="A144" s="18"/>
      <c r="B144" s="18" t="s">
        <v>33</v>
      </c>
      <c r="C144" s="19">
        <f>SUM('By Lot'!C3139+'By Lot'!C3156+'By Lot'!C3157)</f>
        <v>42</v>
      </c>
      <c r="D144" s="19">
        <f>SUM('By Lot'!D3139+'By Lot'!D3156+'By Lot'!D3157)</f>
        <v>42</v>
      </c>
      <c r="E144" s="23">
        <f>SUM('By Lot'!E3139+'By Lot'!E3156+'By Lot'!E3157)</f>
        <v>39</v>
      </c>
      <c r="F144" s="23">
        <f>SUM('By Lot'!F3139+'By Lot'!F3156+'By Lot'!F3157)</f>
        <v>38</v>
      </c>
      <c r="G144" s="23">
        <f>SUM('By Lot'!G3139+'By Lot'!G3156+'By Lot'!G3157)</f>
        <v>35</v>
      </c>
      <c r="H144" s="23">
        <f>SUM('By Lot'!H3139+'By Lot'!H3156+'By Lot'!H3157)</f>
        <v>37</v>
      </c>
      <c r="I144" s="23">
        <f>SUM('By Lot'!I3139+'By Lot'!I3156+'By Lot'!I3157)</f>
        <v>38</v>
      </c>
      <c r="J144" s="23">
        <f>SUM('By Lot'!J3139+'By Lot'!J3156+'By Lot'!J3157)</f>
        <v>38</v>
      </c>
      <c r="K144" s="23">
        <f>SUM('By Lot'!K3139+'By Lot'!K3156+'By Lot'!K3157)</f>
        <v>40</v>
      </c>
      <c r="L144" s="23">
        <f>SUM('By Lot'!L3139+'By Lot'!L3156+'By Lot'!L3157)</f>
        <v>40</v>
      </c>
      <c r="M144" s="25">
        <f>SUM('By Lot'!M3139+'By Lot'!M3156+'By Lot'!M3157)</f>
        <v>40</v>
      </c>
      <c r="N144" s="23">
        <f t="shared" si="74"/>
        <v>35</v>
      </c>
      <c r="O144" s="23">
        <f t="shared" si="75"/>
        <v>7</v>
      </c>
      <c r="P144" s="24">
        <f t="shared" si="76"/>
        <v>0.16666666666666666</v>
      </c>
      <c r="Q144" s="2"/>
    </row>
    <row r="145" spans="1:17" ht="11.25" customHeight="1">
      <c r="A145" s="18"/>
      <c r="B145" s="18" t="s">
        <v>34</v>
      </c>
      <c r="C145" s="19">
        <f>SUM('By Lot'!C3145+'By Lot'!C3162)</f>
        <v>4</v>
      </c>
      <c r="D145" s="19">
        <f>SUM('By Lot'!D3145+'By Lot'!D3162)</f>
        <v>4</v>
      </c>
      <c r="E145" s="23">
        <f>SUM('By Lot'!E3145+'By Lot'!E3162)</f>
        <v>4</v>
      </c>
      <c r="F145" s="23">
        <f>SUM('By Lot'!F3145+'By Lot'!F3162)</f>
        <v>4</v>
      </c>
      <c r="G145" s="23">
        <f>SUM('By Lot'!G3145+'By Lot'!G3162)</f>
        <v>4</v>
      </c>
      <c r="H145" s="23">
        <f>SUM('By Lot'!H3145+'By Lot'!H3162)</f>
        <v>4</v>
      </c>
      <c r="I145" s="23">
        <f>SUM('By Lot'!I3145+'By Lot'!I3162)</f>
        <v>4</v>
      </c>
      <c r="J145" s="23">
        <f>SUM('By Lot'!J3145+'By Lot'!J3162)</f>
        <v>3</v>
      </c>
      <c r="K145" s="23">
        <f>SUM('By Lot'!K3145+'By Lot'!K3162)</f>
        <v>4</v>
      </c>
      <c r="L145" s="23">
        <f>SUM('By Lot'!L3145+'By Lot'!L3162)</f>
        <v>4</v>
      </c>
      <c r="M145" s="25">
        <f>SUM('By Lot'!M3145+'By Lot'!M3162)</f>
        <v>4</v>
      </c>
      <c r="N145" s="23">
        <f t="shared" si="74"/>
        <v>3</v>
      </c>
      <c r="O145" s="23">
        <f t="shared" si="75"/>
        <v>1</v>
      </c>
      <c r="P145" s="24">
        <f t="shared" si="76"/>
        <v>0.25</v>
      </c>
      <c r="Q145" s="2"/>
    </row>
    <row r="146" spans="1:17" ht="11.25" customHeight="1">
      <c r="A146" s="18"/>
      <c r="B146" s="18" t="s">
        <v>35</v>
      </c>
      <c r="C146" s="18"/>
      <c r="D146" s="26"/>
      <c r="E146" s="2"/>
      <c r="F146" s="2"/>
      <c r="G146" s="2"/>
      <c r="H146" s="2"/>
      <c r="I146" s="2"/>
      <c r="J146" s="2"/>
      <c r="K146" s="2"/>
      <c r="L146" s="2"/>
      <c r="M146" s="27"/>
      <c r="N146" s="26"/>
      <c r="O146" s="2"/>
      <c r="P146" s="24"/>
      <c r="Q146" s="2"/>
    </row>
    <row r="147" spans="1:17" ht="11.25" customHeight="1">
      <c r="A147" s="18"/>
      <c r="B147" s="18" t="s">
        <v>36</v>
      </c>
      <c r="C147" s="18"/>
      <c r="D147" s="26"/>
      <c r="E147" s="2"/>
      <c r="F147" s="2"/>
      <c r="G147" s="2"/>
      <c r="H147" s="2"/>
      <c r="I147" s="2"/>
      <c r="J147" s="2"/>
      <c r="K147" s="2"/>
      <c r="L147" s="2"/>
      <c r="M147" s="27"/>
      <c r="N147" s="26"/>
      <c r="O147" s="2"/>
      <c r="P147" s="24"/>
      <c r="Q147" s="2"/>
    </row>
    <row r="148" spans="1:17" ht="11.25" customHeight="1">
      <c r="A148" s="18"/>
      <c r="B148" s="18" t="s">
        <v>37</v>
      </c>
      <c r="C148" s="18"/>
      <c r="D148" s="26"/>
      <c r="E148" s="2"/>
      <c r="F148" s="2"/>
      <c r="G148" s="2"/>
      <c r="H148" s="2"/>
      <c r="I148" s="2"/>
      <c r="J148" s="2"/>
      <c r="K148" s="2"/>
      <c r="L148" s="2"/>
      <c r="M148" s="27"/>
      <c r="N148" s="26"/>
      <c r="O148" s="2"/>
      <c r="P148" s="24"/>
      <c r="Q148" s="2"/>
    </row>
    <row r="149" spans="1:17" ht="11.25" customHeight="1">
      <c r="A149" s="32"/>
      <c r="B149" s="33" t="s">
        <v>38</v>
      </c>
      <c r="C149" s="60">
        <f>SUM(C139:C148)</f>
        <v>80</v>
      </c>
      <c r="D149" s="60">
        <f t="shared" ref="D149:M149" si="77">SUM(D139:D148)</f>
        <v>72</v>
      </c>
      <c r="E149" s="244">
        <f t="shared" si="77"/>
        <v>60</v>
      </c>
      <c r="F149" s="244">
        <f t="shared" si="77"/>
        <v>58</v>
      </c>
      <c r="G149" s="244">
        <f t="shared" si="77"/>
        <v>54</v>
      </c>
      <c r="H149" s="244">
        <f t="shared" si="77"/>
        <v>57</v>
      </c>
      <c r="I149" s="244">
        <f t="shared" si="77"/>
        <v>59</v>
      </c>
      <c r="J149" s="244">
        <f t="shared" si="77"/>
        <v>59</v>
      </c>
      <c r="K149" s="244">
        <f t="shared" si="77"/>
        <v>60</v>
      </c>
      <c r="L149" s="244">
        <f t="shared" si="77"/>
        <v>61</v>
      </c>
      <c r="M149" s="245">
        <f t="shared" si="77"/>
        <v>56</v>
      </c>
      <c r="N149" s="246">
        <f>MIN(D149:M149)</f>
        <v>54</v>
      </c>
      <c r="O149" s="39">
        <f>C149-N149</f>
        <v>26</v>
      </c>
      <c r="P149" s="40">
        <f>O149/C149</f>
        <v>0.32500000000000001</v>
      </c>
      <c r="Q149" s="2"/>
    </row>
    <row r="150" spans="1:17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5.75" customHeight="1"/>
    <row r="153" spans="1:17" ht="15.75" customHeight="1"/>
    <row r="154" spans="1:17" ht="15.75" customHeight="1"/>
    <row r="155" spans="1:17" ht="15.75" customHeight="1"/>
    <row r="156" spans="1:17" ht="15.75" customHeight="1"/>
    <row r="157" spans="1:17" ht="15.75" customHeight="1"/>
    <row r="158" spans="1:17" ht="15.75" customHeight="1"/>
    <row r="159" spans="1:17" ht="15.75" customHeight="1"/>
    <row r="160" spans="1:17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4" manualBreakCount="4">
    <brk id="39" man="1"/>
    <brk id="72" max="16383" man="1"/>
    <brk id="94" max="16383" man="1"/>
    <brk id="11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0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53125" defaultRowHeight="15" customHeight="1"/>
  <cols>
    <col min="1" max="1" width="11.54296875" customWidth="1"/>
    <col min="2" max="2" width="13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9" ht="14.25" customHeight="1">
      <c r="A1" s="349" t="s">
        <v>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2"/>
    </row>
    <row r="2" spans="1:19" ht="14.25" customHeight="1">
      <c r="A2" s="349" t="s">
        <v>426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2"/>
    </row>
    <row r="3" spans="1:19" ht="11.25" customHeight="1">
      <c r="A3" s="351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2"/>
    </row>
    <row r="4" spans="1:19" ht="11.25" customHeight="1">
      <c r="A4" s="3" t="s">
        <v>427</v>
      </c>
      <c r="B4" s="3" t="s">
        <v>2</v>
      </c>
      <c r="C4" s="3" t="s">
        <v>2</v>
      </c>
      <c r="D4" s="352" t="s">
        <v>3</v>
      </c>
      <c r="E4" s="353"/>
      <c r="F4" s="353"/>
      <c r="G4" s="353"/>
      <c r="H4" s="353"/>
      <c r="I4" s="353"/>
      <c r="J4" s="353"/>
      <c r="K4" s="353"/>
      <c r="L4" s="353"/>
      <c r="M4" s="354"/>
      <c r="N4" s="352" t="s">
        <v>4</v>
      </c>
      <c r="O4" s="353"/>
      <c r="P4" s="354"/>
      <c r="Q4" s="2"/>
    </row>
    <row r="5" spans="1:19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2"/>
    </row>
    <row r="6" spans="1:19" ht="11.25" customHeight="1">
      <c r="A6" s="11"/>
      <c r="B6" s="11"/>
      <c r="C6" s="11"/>
      <c r="D6" s="15" t="s">
        <v>20</v>
      </c>
      <c r="E6" s="16" t="s">
        <v>20</v>
      </c>
      <c r="F6" s="16" t="s">
        <v>20</v>
      </c>
      <c r="G6" s="16" t="s">
        <v>20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7" t="s">
        <v>21</v>
      </c>
      <c r="N6" s="15" t="s">
        <v>6</v>
      </c>
      <c r="O6" s="16" t="s">
        <v>6</v>
      </c>
      <c r="P6" s="17" t="s">
        <v>18</v>
      </c>
      <c r="Q6" s="2"/>
    </row>
    <row r="7" spans="1:19" ht="11.25" customHeight="1">
      <c r="A7" s="18" t="s">
        <v>436</v>
      </c>
      <c r="B7" s="26" t="s">
        <v>23</v>
      </c>
      <c r="C7" s="66">
        <f t="shared" ref="C7:M7" si="0">C71</f>
        <v>156</v>
      </c>
      <c r="D7" s="72">
        <f t="shared" si="0"/>
        <v>139</v>
      </c>
      <c r="E7" s="72">
        <f t="shared" si="0"/>
        <v>102</v>
      </c>
      <c r="F7" s="72">
        <f t="shared" si="0"/>
        <v>86</v>
      </c>
      <c r="G7" s="72">
        <f t="shared" si="0"/>
        <v>78</v>
      </c>
      <c r="H7" s="72">
        <f t="shared" si="0"/>
        <v>78</v>
      </c>
      <c r="I7" s="72">
        <f t="shared" si="0"/>
        <v>72</v>
      </c>
      <c r="J7" s="72">
        <f t="shared" si="0"/>
        <v>85</v>
      </c>
      <c r="K7" s="72">
        <f t="shared" si="0"/>
        <v>72</v>
      </c>
      <c r="L7" s="72">
        <f t="shared" si="0"/>
        <v>96</v>
      </c>
      <c r="M7" s="73">
        <f t="shared" si="0"/>
        <v>110</v>
      </c>
      <c r="N7" s="2">
        <v>124</v>
      </c>
      <c r="O7" s="2">
        <v>32</v>
      </c>
      <c r="P7" s="24">
        <v>0.20512820512820512</v>
      </c>
      <c r="Q7" s="2"/>
    </row>
    <row r="8" spans="1:19" ht="11.25" customHeight="1">
      <c r="A8" s="18" t="s">
        <v>437</v>
      </c>
      <c r="B8" s="26" t="s">
        <v>25</v>
      </c>
      <c r="C8" s="18">
        <f t="shared" ref="C8:M8" si="1">SUM(C55,C72,C89)</f>
        <v>522</v>
      </c>
      <c r="D8" s="2">
        <f t="shared" si="1"/>
        <v>404</v>
      </c>
      <c r="E8" s="2">
        <f t="shared" si="1"/>
        <v>346</v>
      </c>
      <c r="F8" s="2">
        <f t="shared" si="1"/>
        <v>318</v>
      </c>
      <c r="G8" s="2">
        <f t="shared" si="1"/>
        <v>307</v>
      </c>
      <c r="H8" s="2">
        <f t="shared" si="1"/>
        <v>308</v>
      </c>
      <c r="I8" s="2">
        <f t="shared" si="1"/>
        <v>320</v>
      </c>
      <c r="J8" s="2">
        <f t="shared" si="1"/>
        <v>312</v>
      </c>
      <c r="K8" s="2">
        <f t="shared" si="1"/>
        <v>332</v>
      </c>
      <c r="L8" s="2">
        <f t="shared" si="1"/>
        <v>355</v>
      </c>
      <c r="M8" s="27">
        <f t="shared" si="1"/>
        <v>403</v>
      </c>
      <c r="N8" s="2">
        <v>431</v>
      </c>
      <c r="O8" s="2">
        <v>91</v>
      </c>
      <c r="P8" s="24">
        <v>0.17432950191570881</v>
      </c>
      <c r="Q8" s="2"/>
    </row>
    <row r="9" spans="1:19" ht="11.25" customHeight="1">
      <c r="A9" s="57"/>
      <c r="B9" s="26" t="s">
        <v>27</v>
      </c>
      <c r="C9" s="18">
        <f t="shared" ref="C9:M9" si="2">SUM(C22,C39)</f>
        <v>428</v>
      </c>
      <c r="D9" s="2">
        <f t="shared" si="2"/>
        <v>418</v>
      </c>
      <c r="E9" s="2">
        <f t="shared" si="2"/>
        <v>408</v>
      </c>
      <c r="F9" s="2">
        <f t="shared" si="2"/>
        <v>404</v>
      </c>
      <c r="G9" s="2">
        <f t="shared" si="2"/>
        <v>401</v>
      </c>
      <c r="H9" s="2">
        <f t="shared" si="2"/>
        <v>399</v>
      </c>
      <c r="I9" s="2">
        <f t="shared" si="2"/>
        <v>397</v>
      </c>
      <c r="J9" s="2">
        <f t="shared" si="2"/>
        <v>401</v>
      </c>
      <c r="K9" s="2">
        <f t="shared" si="2"/>
        <v>405</v>
      </c>
      <c r="L9" s="2">
        <f t="shared" si="2"/>
        <v>406</v>
      </c>
      <c r="M9" s="27">
        <f t="shared" si="2"/>
        <v>412</v>
      </c>
      <c r="N9" s="2">
        <v>407</v>
      </c>
      <c r="O9" s="2">
        <v>21</v>
      </c>
      <c r="P9" s="24">
        <v>4.9065420560747662E-2</v>
      </c>
      <c r="Q9" s="2"/>
      <c r="S9" s="248"/>
    </row>
    <row r="10" spans="1:19" ht="11.25" customHeight="1">
      <c r="A10" s="57"/>
      <c r="B10" s="26" t="s">
        <v>31</v>
      </c>
      <c r="C10" s="18">
        <f t="shared" ref="C10:M10" si="3">C57</f>
        <v>47</v>
      </c>
      <c r="D10" s="2">
        <f t="shared" si="3"/>
        <v>34</v>
      </c>
      <c r="E10" s="2">
        <f t="shared" si="3"/>
        <v>21</v>
      </c>
      <c r="F10" s="2">
        <f t="shared" si="3"/>
        <v>12</v>
      </c>
      <c r="G10" s="2">
        <f t="shared" si="3"/>
        <v>11</v>
      </c>
      <c r="H10" s="2">
        <f t="shared" si="3"/>
        <v>7</v>
      </c>
      <c r="I10" s="2">
        <f t="shared" si="3"/>
        <v>4</v>
      </c>
      <c r="J10" s="2">
        <f t="shared" si="3"/>
        <v>3</v>
      </c>
      <c r="K10" s="2">
        <f t="shared" si="3"/>
        <v>11</v>
      </c>
      <c r="L10" s="2">
        <f t="shared" si="3"/>
        <v>18</v>
      </c>
      <c r="M10" s="27">
        <f t="shared" si="3"/>
        <v>25</v>
      </c>
      <c r="N10" s="2">
        <v>12</v>
      </c>
      <c r="O10" s="2">
        <v>35</v>
      </c>
      <c r="P10" s="24">
        <v>0.74468085106382975</v>
      </c>
      <c r="Q10" s="2"/>
      <c r="R10" s="248"/>
      <c r="S10" s="248"/>
    </row>
    <row r="11" spans="1:19" ht="11.25" customHeight="1">
      <c r="A11" s="57"/>
      <c r="B11" s="26" t="s">
        <v>32</v>
      </c>
      <c r="C11" s="18"/>
      <c r="D11" s="2"/>
      <c r="E11" s="2"/>
      <c r="F11" s="2"/>
      <c r="G11" s="2"/>
      <c r="H11" s="2"/>
      <c r="I11" s="2"/>
      <c r="J11" s="2"/>
      <c r="K11" s="2"/>
      <c r="L11" s="2"/>
      <c r="M11" s="27"/>
      <c r="N11" s="2"/>
      <c r="O11" s="2"/>
      <c r="P11" s="24"/>
      <c r="Q11" s="2"/>
    </row>
    <row r="12" spans="1:19" ht="11.25" customHeight="1">
      <c r="A12" s="18"/>
      <c r="B12" s="26" t="s">
        <v>33</v>
      </c>
      <c r="C12" s="18">
        <f t="shared" ref="C12:M12" si="4">SUM(C26,C43:C44,C60:C62,C77,C94)</f>
        <v>109</v>
      </c>
      <c r="D12" s="2">
        <f t="shared" si="4"/>
        <v>108</v>
      </c>
      <c r="E12" s="2">
        <f t="shared" si="4"/>
        <v>106</v>
      </c>
      <c r="F12" s="2">
        <f t="shared" si="4"/>
        <v>102</v>
      </c>
      <c r="G12" s="2">
        <f t="shared" si="4"/>
        <v>101</v>
      </c>
      <c r="H12" s="2">
        <f t="shared" si="4"/>
        <v>102</v>
      </c>
      <c r="I12" s="2">
        <f t="shared" si="4"/>
        <v>98</v>
      </c>
      <c r="J12" s="2">
        <f t="shared" si="4"/>
        <v>103</v>
      </c>
      <c r="K12" s="2">
        <f t="shared" si="4"/>
        <v>103</v>
      </c>
      <c r="L12" s="2">
        <f t="shared" si="4"/>
        <v>104</v>
      </c>
      <c r="M12" s="27">
        <f t="shared" si="4"/>
        <v>102</v>
      </c>
      <c r="N12" s="2">
        <v>97</v>
      </c>
      <c r="O12" s="2">
        <v>12</v>
      </c>
      <c r="P12" s="24">
        <v>0.11009174311926606</v>
      </c>
      <c r="Q12" s="2"/>
    </row>
    <row r="13" spans="1:19" ht="11.25" customHeight="1">
      <c r="A13" s="18"/>
      <c r="B13" s="26" t="s">
        <v>34</v>
      </c>
      <c r="C13" s="18">
        <f t="shared" ref="C13:M13" si="5">SUM(C32,C49,C66,C83,C100)</f>
        <v>24</v>
      </c>
      <c r="D13" s="2">
        <f t="shared" si="5"/>
        <v>23</v>
      </c>
      <c r="E13" s="2">
        <f t="shared" si="5"/>
        <v>23</v>
      </c>
      <c r="F13" s="2">
        <f t="shared" si="5"/>
        <v>23</v>
      </c>
      <c r="G13" s="2">
        <f t="shared" si="5"/>
        <v>23</v>
      </c>
      <c r="H13" s="2">
        <f t="shared" si="5"/>
        <v>23</v>
      </c>
      <c r="I13" s="2">
        <f t="shared" si="5"/>
        <v>23</v>
      </c>
      <c r="J13" s="2">
        <f t="shared" si="5"/>
        <v>23</v>
      </c>
      <c r="K13" s="2">
        <f t="shared" si="5"/>
        <v>24</v>
      </c>
      <c r="L13" s="2">
        <f t="shared" si="5"/>
        <v>24</v>
      </c>
      <c r="M13" s="27">
        <f t="shared" si="5"/>
        <v>24</v>
      </c>
      <c r="N13" s="2">
        <v>17</v>
      </c>
      <c r="O13" s="2">
        <v>7</v>
      </c>
      <c r="P13" s="24">
        <v>0.29166666666666669</v>
      </c>
      <c r="Q13" s="2"/>
    </row>
    <row r="14" spans="1:19" ht="11.25" customHeight="1">
      <c r="A14" s="18"/>
      <c r="B14" s="26" t="s">
        <v>35</v>
      </c>
      <c r="C14" s="18">
        <f t="shared" ref="C14:M14" si="6">SUM(C33,C50,C67,C84,C101)</f>
        <v>16</v>
      </c>
      <c r="D14" s="2">
        <f t="shared" si="6"/>
        <v>11</v>
      </c>
      <c r="E14" s="2">
        <f t="shared" si="6"/>
        <v>11</v>
      </c>
      <c r="F14" s="2">
        <f t="shared" si="6"/>
        <v>11</v>
      </c>
      <c r="G14" s="2">
        <f t="shared" si="6"/>
        <v>12</v>
      </c>
      <c r="H14" s="2">
        <f t="shared" si="6"/>
        <v>13</v>
      </c>
      <c r="I14" s="2">
        <f t="shared" si="6"/>
        <v>12</v>
      </c>
      <c r="J14" s="2">
        <f t="shared" si="6"/>
        <v>11</v>
      </c>
      <c r="K14" s="2">
        <f t="shared" si="6"/>
        <v>10</v>
      </c>
      <c r="L14" s="2">
        <f t="shared" si="6"/>
        <v>10</v>
      </c>
      <c r="M14" s="27">
        <f t="shared" si="6"/>
        <v>10</v>
      </c>
      <c r="N14" s="2">
        <v>3</v>
      </c>
      <c r="O14" s="2">
        <v>13</v>
      </c>
      <c r="P14" s="24">
        <v>0.8125</v>
      </c>
      <c r="Q14" s="2"/>
    </row>
    <row r="15" spans="1:19" ht="11.25" customHeight="1">
      <c r="A15" s="18"/>
      <c r="B15" s="26" t="s">
        <v>36</v>
      </c>
      <c r="C15" s="18">
        <f t="shared" ref="C15:M15" si="7">C34</f>
        <v>2</v>
      </c>
      <c r="D15" s="2">
        <f t="shared" si="7"/>
        <v>2</v>
      </c>
      <c r="E15" s="2">
        <f t="shared" si="7"/>
        <v>2</v>
      </c>
      <c r="F15" s="2">
        <f t="shared" si="7"/>
        <v>2</v>
      </c>
      <c r="G15" s="2">
        <f t="shared" si="7"/>
        <v>2</v>
      </c>
      <c r="H15" s="2">
        <f t="shared" si="7"/>
        <v>2</v>
      </c>
      <c r="I15" s="2">
        <f t="shared" si="7"/>
        <v>2</v>
      </c>
      <c r="J15" s="2">
        <f t="shared" si="7"/>
        <v>2</v>
      </c>
      <c r="K15" s="2">
        <f t="shared" si="7"/>
        <v>0</v>
      </c>
      <c r="L15" s="2">
        <f t="shared" si="7"/>
        <v>0</v>
      </c>
      <c r="M15" s="27">
        <f t="shared" si="7"/>
        <v>0</v>
      </c>
      <c r="N15" s="2">
        <v>0</v>
      </c>
      <c r="O15" s="2">
        <v>2</v>
      </c>
      <c r="P15" s="24">
        <v>1</v>
      </c>
      <c r="Q15" s="2"/>
    </row>
    <row r="16" spans="1:19" ht="11.25" customHeight="1">
      <c r="A16" s="18"/>
      <c r="B16" s="26" t="s">
        <v>37</v>
      </c>
      <c r="C16" s="32"/>
      <c r="D16" s="2"/>
      <c r="E16" s="2"/>
      <c r="F16" s="2"/>
      <c r="G16" s="2"/>
      <c r="H16" s="2"/>
      <c r="I16" s="2"/>
      <c r="J16" s="2"/>
      <c r="K16" s="2"/>
      <c r="L16" s="2"/>
      <c r="M16" s="27"/>
      <c r="N16" s="2"/>
      <c r="O16" s="2"/>
      <c r="P16" s="24"/>
      <c r="Q16" s="2"/>
    </row>
    <row r="17" spans="1:17" ht="11.25" customHeight="1">
      <c r="A17" s="32"/>
      <c r="B17" s="33" t="s">
        <v>38</v>
      </c>
      <c r="C17" s="249">
        <v>1304</v>
      </c>
      <c r="D17" s="236">
        <v>1199</v>
      </c>
      <c r="E17" s="237">
        <v>1165</v>
      </c>
      <c r="F17" s="237">
        <v>1138</v>
      </c>
      <c r="G17" s="237">
        <v>1133</v>
      </c>
      <c r="H17" s="237">
        <v>1124</v>
      </c>
      <c r="I17" s="237">
        <v>1104</v>
      </c>
      <c r="J17" s="237">
        <v>1120</v>
      </c>
      <c r="K17" s="237">
        <v>1140</v>
      </c>
      <c r="L17" s="237">
        <v>1180</v>
      </c>
      <c r="M17" s="238">
        <v>1204</v>
      </c>
      <c r="N17" s="247">
        <v>1104</v>
      </c>
      <c r="O17" s="71">
        <v>200</v>
      </c>
      <c r="P17" s="40">
        <v>0.15337423312883436</v>
      </c>
      <c r="Q17" s="2"/>
    </row>
    <row r="18" spans="1:17" ht="15.75" customHeight="1"/>
    <row r="19" spans="1:17" ht="15.75" customHeight="1">
      <c r="A19" s="355" t="s">
        <v>451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4"/>
    </row>
    <row r="20" spans="1:17" ht="11.25" customHeight="1">
      <c r="A20" s="66" t="s">
        <v>310</v>
      </c>
      <c r="B20" s="66" t="s">
        <v>23</v>
      </c>
      <c r="C20" s="66"/>
      <c r="D20" s="41"/>
      <c r="E20" s="72"/>
      <c r="F20" s="72"/>
      <c r="G20" s="72"/>
      <c r="H20" s="72"/>
      <c r="I20" s="72"/>
      <c r="J20" s="72"/>
      <c r="K20" s="72"/>
      <c r="L20" s="72"/>
      <c r="M20" s="73"/>
      <c r="N20" s="41"/>
      <c r="O20" s="72"/>
      <c r="P20" s="99"/>
    </row>
    <row r="21" spans="1:17" ht="11.25" customHeight="1">
      <c r="A21" s="57"/>
      <c r="B21" s="18" t="s">
        <v>25</v>
      </c>
      <c r="C21" s="18"/>
      <c r="D21" s="26"/>
      <c r="E21" s="2"/>
      <c r="F21" s="2"/>
      <c r="G21" s="2"/>
      <c r="H21" s="2"/>
      <c r="I21" s="2"/>
      <c r="J21" s="2"/>
      <c r="K21" s="2"/>
      <c r="L21" s="2"/>
      <c r="M21" s="27"/>
      <c r="N21" s="26"/>
      <c r="O21" s="2"/>
      <c r="P21" s="24"/>
    </row>
    <row r="22" spans="1:17" ht="11.25" customHeight="1">
      <c r="A22" s="57"/>
      <c r="B22" s="18" t="s">
        <v>27</v>
      </c>
      <c r="C22" s="18">
        <v>250</v>
      </c>
      <c r="D22" s="26">
        <f>187+58</f>
        <v>245</v>
      </c>
      <c r="E22" s="2">
        <f t="shared" ref="E22:F22" si="8">187+54</f>
        <v>241</v>
      </c>
      <c r="F22" s="2">
        <f t="shared" si="8"/>
        <v>241</v>
      </c>
      <c r="G22" s="2">
        <f t="shared" ref="G22:H22" si="9">189+54</f>
        <v>243</v>
      </c>
      <c r="H22" s="2">
        <f t="shared" si="9"/>
        <v>243</v>
      </c>
      <c r="I22" s="2">
        <f>C22-10</f>
        <v>240</v>
      </c>
      <c r="J22" s="2">
        <f>C22-9</f>
        <v>241</v>
      </c>
      <c r="K22" s="2">
        <f>C22-5</f>
        <v>245</v>
      </c>
      <c r="L22" s="2">
        <f>C22-4</f>
        <v>246</v>
      </c>
      <c r="M22" s="27">
        <f>C22-2</f>
        <v>248</v>
      </c>
      <c r="N22" s="26">
        <f>MIN(D22:M22)</f>
        <v>240</v>
      </c>
      <c r="O22" s="2">
        <f>C22-N22</f>
        <v>10</v>
      </c>
      <c r="P22" s="24">
        <f>O22/C22</f>
        <v>0.04</v>
      </c>
    </row>
    <row r="23" spans="1:17" ht="11.25" customHeight="1">
      <c r="A23" s="57"/>
      <c r="B23" s="18" t="s">
        <v>99</v>
      </c>
      <c r="C23" s="18"/>
      <c r="D23" s="26"/>
      <c r="E23" s="2"/>
      <c r="F23" s="2"/>
      <c r="G23" s="2"/>
      <c r="H23" s="2"/>
      <c r="I23" s="2"/>
      <c r="J23" s="2"/>
      <c r="K23" s="2"/>
      <c r="L23" s="2"/>
      <c r="M23" s="27"/>
      <c r="N23" s="26"/>
      <c r="O23" s="2"/>
      <c r="P23" s="24"/>
    </row>
    <row r="24" spans="1:17" ht="11.25" customHeight="1">
      <c r="A24" s="18"/>
      <c r="B24" s="18" t="s">
        <v>99</v>
      </c>
      <c r="C24" s="18"/>
      <c r="D24" s="26"/>
      <c r="E24" s="2"/>
      <c r="F24" s="2"/>
      <c r="G24" s="2"/>
      <c r="H24" s="2"/>
      <c r="I24" s="2"/>
      <c r="J24" s="2"/>
      <c r="K24" s="2"/>
      <c r="L24" s="2"/>
      <c r="M24" s="27"/>
      <c r="N24" s="26"/>
      <c r="O24" s="2"/>
      <c r="P24" s="24"/>
    </row>
    <row r="25" spans="1:17" ht="11.25" customHeight="1">
      <c r="A25" s="18"/>
      <c r="B25" s="18" t="s">
        <v>32</v>
      </c>
      <c r="C25" s="18"/>
      <c r="D25" s="26"/>
      <c r="E25" s="2"/>
      <c r="F25" s="2"/>
      <c r="G25" s="2"/>
      <c r="H25" s="2"/>
      <c r="I25" s="2"/>
      <c r="J25" s="2"/>
      <c r="K25" s="2"/>
      <c r="L25" s="2"/>
      <c r="M25" s="27"/>
      <c r="N25" s="26"/>
      <c r="O25" s="2"/>
      <c r="P25" s="24"/>
    </row>
    <row r="26" spans="1:17" ht="11.25" customHeight="1">
      <c r="A26" s="18"/>
      <c r="B26" s="18" t="s">
        <v>102</v>
      </c>
      <c r="C26" s="18">
        <v>8</v>
      </c>
      <c r="D26" s="26">
        <v>8</v>
      </c>
      <c r="E26" s="2">
        <v>8</v>
      </c>
      <c r="F26" s="2">
        <v>8</v>
      </c>
      <c r="G26" s="2">
        <v>8</v>
      </c>
      <c r="H26" s="2">
        <v>8</v>
      </c>
      <c r="I26" s="2">
        <v>8</v>
      </c>
      <c r="J26" s="2">
        <v>8</v>
      </c>
      <c r="K26" s="2">
        <v>8</v>
      </c>
      <c r="L26" s="2">
        <v>8</v>
      </c>
      <c r="M26" s="27">
        <v>8</v>
      </c>
      <c r="N26" s="26">
        <f>MIN(D26:M26)</f>
        <v>8</v>
      </c>
      <c r="O26" s="2">
        <f>C26-N26</f>
        <v>0</v>
      </c>
      <c r="P26" s="24">
        <f>O26/C26</f>
        <v>0</v>
      </c>
    </row>
    <row r="27" spans="1:17" ht="11.25" customHeight="1">
      <c r="A27" s="18"/>
      <c r="B27" s="18" t="s">
        <v>104</v>
      </c>
      <c r="C27" s="18"/>
      <c r="D27" s="26"/>
      <c r="E27" s="2"/>
      <c r="F27" s="2"/>
      <c r="G27" s="2"/>
      <c r="H27" s="2"/>
      <c r="I27" s="2"/>
      <c r="J27" s="2"/>
      <c r="K27" s="2"/>
      <c r="L27" s="2"/>
      <c r="M27" s="27"/>
      <c r="N27" s="26"/>
      <c r="O27" s="2"/>
      <c r="P27" s="24"/>
    </row>
    <row r="28" spans="1:17" ht="11.25" customHeight="1">
      <c r="A28" s="18"/>
      <c r="B28" s="18" t="s">
        <v>104</v>
      </c>
      <c r="C28" s="18"/>
      <c r="D28" s="26"/>
      <c r="E28" s="2"/>
      <c r="F28" s="2"/>
      <c r="G28" s="2"/>
      <c r="H28" s="2"/>
      <c r="I28" s="2"/>
      <c r="J28" s="2"/>
      <c r="K28" s="2"/>
      <c r="L28" s="2"/>
      <c r="M28" s="27"/>
      <c r="N28" s="26"/>
      <c r="O28" s="2"/>
      <c r="P28" s="24"/>
    </row>
    <row r="29" spans="1:17" ht="11.25" customHeight="1">
      <c r="A29" s="18"/>
      <c r="B29" s="18" t="s">
        <v>104</v>
      </c>
      <c r="C29" s="18"/>
      <c r="D29" s="26"/>
      <c r="E29" s="2"/>
      <c r="F29" s="2"/>
      <c r="G29" s="2"/>
      <c r="H29" s="2"/>
      <c r="I29" s="2"/>
      <c r="J29" s="2"/>
      <c r="K29" s="2"/>
      <c r="L29" s="2"/>
      <c r="M29" s="27"/>
      <c r="N29" s="26"/>
      <c r="O29" s="2"/>
      <c r="P29" s="24"/>
    </row>
    <row r="30" spans="1:17" ht="11.25" customHeight="1">
      <c r="A30" s="18"/>
      <c r="B30" s="18" t="s">
        <v>104</v>
      </c>
      <c r="C30" s="18"/>
      <c r="D30" s="26"/>
      <c r="E30" s="2"/>
      <c r="F30" s="2"/>
      <c r="G30" s="2"/>
      <c r="H30" s="2"/>
      <c r="I30" s="2"/>
      <c r="J30" s="2"/>
      <c r="K30" s="2"/>
      <c r="L30" s="2"/>
      <c r="M30" s="27"/>
      <c r="N30" s="26"/>
      <c r="O30" s="2"/>
      <c r="P30" s="24"/>
    </row>
    <row r="31" spans="1:17" ht="11.25" customHeight="1">
      <c r="A31" s="18"/>
      <c r="B31" s="18" t="s">
        <v>104</v>
      </c>
      <c r="C31" s="18"/>
      <c r="D31" s="26"/>
      <c r="E31" s="2"/>
      <c r="F31" s="2"/>
      <c r="G31" s="2"/>
      <c r="H31" s="2"/>
      <c r="I31" s="2"/>
      <c r="J31" s="2"/>
      <c r="K31" s="2"/>
      <c r="L31" s="2"/>
      <c r="M31" s="27"/>
      <c r="N31" s="26"/>
      <c r="O31" s="2"/>
      <c r="P31" s="24"/>
    </row>
    <row r="32" spans="1:17" ht="11.25" customHeight="1">
      <c r="A32" s="18"/>
      <c r="B32" s="18" t="s">
        <v>34</v>
      </c>
      <c r="C32" s="18">
        <v>1</v>
      </c>
      <c r="D32" s="26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7">
        <v>1</v>
      </c>
      <c r="N32" s="26">
        <f t="shared" ref="N32:N34" si="10">MIN(D32:M32)</f>
        <v>1</v>
      </c>
      <c r="O32" s="2">
        <f t="shared" ref="O32:O34" si="11">C32-N32</f>
        <v>0</v>
      </c>
      <c r="P32" s="24">
        <f t="shared" ref="P32:P34" si="12">O32/C32</f>
        <v>0</v>
      </c>
    </row>
    <row r="33" spans="1:16" ht="11.25" customHeight="1">
      <c r="A33" s="18"/>
      <c r="B33" s="18" t="s">
        <v>268</v>
      </c>
      <c r="C33" s="18">
        <v>6</v>
      </c>
      <c r="D33" s="26">
        <v>6</v>
      </c>
      <c r="E33" s="2">
        <v>6</v>
      </c>
      <c r="F33" s="2">
        <v>6</v>
      </c>
      <c r="G33" s="2">
        <v>6</v>
      </c>
      <c r="H33" s="2">
        <v>6</v>
      </c>
      <c r="I33" s="2">
        <v>6</v>
      </c>
      <c r="J33" s="2">
        <v>6</v>
      </c>
      <c r="K33" s="2">
        <v>5</v>
      </c>
      <c r="L33" s="2">
        <v>5</v>
      </c>
      <c r="M33" s="27">
        <v>5</v>
      </c>
      <c r="N33" s="26">
        <f t="shared" si="10"/>
        <v>5</v>
      </c>
      <c r="O33" s="2">
        <f t="shared" si="11"/>
        <v>1</v>
      </c>
      <c r="P33" s="24">
        <f t="shared" si="12"/>
        <v>0.16666666666666666</v>
      </c>
    </row>
    <row r="34" spans="1:16" ht="11.25" customHeight="1">
      <c r="A34" s="18"/>
      <c r="B34" s="18" t="s">
        <v>36</v>
      </c>
      <c r="C34" s="18">
        <v>2</v>
      </c>
      <c r="D34" s="26">
        <v>2</v>
      </c>
      <c r="E34" s="2">
        <v>2</v>
      </c>
      <c r="F34" s="2">
        <v>2</v>
      </c>
      <c r="G34" s="2">
        <v>2</v>
      </c>
      <c r="H34" s="2">
        <v>2</v>
      </c>
      <c r="I34" s="2">
        <v>2</v>
      </c>
      <c r="J34" s="2">
        <v>2</v>
      </c>
      <c r="K34" s="2">
        <v>0</v>
      </c>
      <c r="L34" s="2">
        <v>0</v>
      </c>
      <c r="M34" s="27">
        <v>0</v>
      </c>
      <c r="N34" s="26">
        <f t="shared" si="10"/>
        <v>0</v>
      </c>
      <c r="O34" s="2">
        <f t="shared" si="11"/>
        <v>2</v>
      </c>
      <c r="P34" s="24">
        <f t="shared" si="12"/>
        <v>1</v>
      </c>
    </row>
    <row r="35" spans="1:16" ht="11.25" customHeight="1">
      <c r="A35" s="18"/>
      <c r="B35" s="18" t="s">
        <v>37</v>
      </c>
      <c r="C35" s="18"/>
      <c r="D35" s="26"/>
      <c r="E35" s="2"/>
      <c r="F35" s="2"/>
      <c r="G35" s="2"/>
      <c r="H35" s="2"/>
      <c r="I35" s="2"/>
      <c r="J35" s="2"/>
      <c r="K35" s="2"/>
      <c r="L35" s="2"/>
      <c r="M35" s="27"/>
      <c r="N35" s="26"/>
      <c r="O35" s="2"/>
      <c r="P35" s="24"/>
    </row>
    <row r="36" spans="1:16" ht="11.25" customHeight="1">
      <c r="A36" s="32"/>
      <c r="B36" s="33" t="s">
        <v>38</v>
      </c>
      <c r="C36" s="94">
        <f t="shared" ref="C36:M36" si="13">SUM(C20:C35)</f>
        <v>267</v>
      </c>
      <c r="D36" s="67">
        <f t="shared" si="13"/>
        <v>262</v>
      </c>
      <c r="E36" s="68">
        <f t="shared" si="13"/>
        <v>258</v>
      </c>
      <c r="F36" s="68">
        <f t="shared" si="13"/>
        <v>258</v>
      </c>
      <c r="G36" s="68">
        <f t="shared" si="13"/>
        <v>260</v>
      </c>
      <c r="H36" s="68">
        <f t="shared" si="13"/>
        <v>260</v>
      </c>
      <c r="I36" s="68">
        <f t="shared" si="13"/>
        <v>257</v>
      </c>
      <c r="J36" s="68">
        <f t="shared" si="13"/>
        <v>258</v>
      </c>
      <c r="K36" s="68">
        <f t="shared" si="13"/>
        <v>259</v>
      </c>
      <c r="L36" s="68">
        <f t="shared" si="13"/>
        <v>260</v>
      </c>
      <c r="M36" s="69">
        <f t="shared" si="13"/>
        <v>262</v>
      </c>
      <c r="N36" s="67">
        <f>MIN(D36:M36)</f>
        <v>257</v>
      </c>
      <c r="O36" s="68">
        <f>C36-N36</f>
        <v>10</v>
      </c>
      <c r="P36" s="190">
        <f>O36/C36</f>
        <v>3.7453183520599252E-2</v>
      </c>
    </row>
    <row r="37" spans="1:16" ht="11.25" customHeight="1">
      <c r="A37" s="66" t="s">
        <v>311</v>
      </c>
      <c r="B37" s="66" t="s">
        <v>23</v>
      </c>
      <c r="C37" s="66"/>
      <c r="D37" s="41"/>
      <c r="E37" s="72"/>
      <c r="F37" s="72"/>
      <c r="G37" s="72"/>
      <c r="H37" s="72"/>
      <c r="I37" s="72"/>
      <c r="J37" s="72"/>
      <c r="K37" s="72"/>
      <c r="L37" s="72"/>
      <c r="M37" s="73"/>
      <c r="N37" s="41"/>
      <c r="O37" s="72"/>
      <c r="P37" s="99"/>
    </row>
    <row r="38" spans="1:16" ht="11.25" customHeight="1">
      <c r="A38" s="57"/>
      <c r="B38" s="18" t="s">
        <v>25</v>
      </c>
      <c r="C38" s="18"/>
      <c r="D38" s="26"/>
      <c r="E38" s="2"/>
      <c r="F38" s="2"/>
      <c r="G38" s="2"/>
      <c r="H38" s="2"/>
      <c r="I38" s="2"/>
      <c r="J38" s="2"/>
      <c r="K38" s="2"/>
      <c r="L38" s="2"/>
      <c r="M38" s="27"/>
      <c r="N38" s="26"/>
      <c r="O38" s="2"/>
      <c r="P38" s="24"/>
    </row>
    <row r="39" spans="1:16" ht="11.25" customHeight="1">
      <c r="A39" s="57"/>
      <c r="B39" s="18" t="s">
        <v>27</v>
      </c>
      <c r="C39" s="18">
        <v>178</v>
      </c>
      <c r="D39" s="26">
        <v>173</v>
      </c>
      <c r="E39" s="2">
        <v>167</v>
      </c>
      <c r="F39" s="2">
        <f>C39-15</f>
        <v>163</v>
      </c>
      <c r="G39" s="2">
        <f>C39-20</f>
        <v>158</v>
      </c>
      <c r="H39" s="2">
        <f>C39-22</f>
        <v>156</v>
      </c>
      <c r="I39" s="2">
        <f>178-21</f>
        <v>157</v>
      </c>
      <c r="J39" s="2">
        <f>C39-18</f>
        <v>160</v>
      </c>
      <c r="K39" s="2">
        <v>160</v>
      </c>
      <c r="L39" s="2">
        <v>160</v>
      </c>
      <c r="M39" s="27">
        <f>C39-14</f>
        <v>164</v>
      </c>
      <c r="N39" s="26">
        <f>MIN(D39:M39)</f>
        <v>156</v>
      </c>
      <c r="O39" s="2">
        <f>C39-N39</f>
        <v>22</v>
      </c>
      <c r="P39" s="24">
        <f>O39/C39</f>
        <v>0.12359550561797752</v>
      </c>
    </row>
    <row r="40" spans="1:16" ht="11.25" customHeight="1">
      <c r="A40" s="57"/>
      <c r="B40" s="18" t="s">
        <v>99</v>
      </c>
      <c r="C40" s="18"/>
      <c r="D40" s="26"/>
      <c r="E40" s="2"/>
      <c r="F40" s="2"/>
      <c r="G40" s="2"/>
      <c r="H40" s="2"/>
      <c r="I40" s="2"/>
      <c r="J40" s="2"/>
      <c r="K40" s="2"/>
      <c r="L40" s="2"/>
      <c r="M40" s="27"/>
      <c r="N40" s="26"/>
      <c r="O40" s="2"/>
      <c r="P40" s="24"/>
    </row>
    <row r="41" spans="1:16" ht="11.25" customHeight="1">
      <c r="A41" s="18"/>
      <c r="B41" s="18" t="s">
        <v>99</v>
      </c>
      <c r="C41" s="18"/>
      <c r="D41" s="26"/>
      <c r="E41" s="2"/>
      <c r="F41" s="2"/>
      <c r="G41" s="2"/>
      <c r="H41" s="2"/>
      <c r="I41" s="2"/>
      <c r="J41" s="2"/>
      <c r="K41" s="2"/>
      <c r="L41" s="2"/>
      <c r="M41" s="27"/>
      <c r="N41" s="26"/>
      <c r="O41" s="2"/>
      <c r="P41" s="24"/>
    </row>
    <row r="42" spans="1:16" ht="11.25" customHeight="1">
      <c r="A42" s="18"/>
      <c r="B42" s="18" t="s">
        <v>32</v>
      </c>
      <c r="C42" s="18"/>
      <c r="D42" s="26"/>
      <c r="E42" s="2"/>
      <c r="F42" s="2"/>
      <c r="G42" s="2"/>
      <c r="H42" s="2"/>
      <c r="I42" s="2"/>
      <c r="J42" s="2"/>
      <c r="K42" s="2"/>
      <c r="L42" s="2"/>
      <c r="M42" s="27"/>
      <c r="N42" s="26"/>
      <c r="O42" s="2"/>
      <c r="P42" s="24"/>
    </row>
    <row r="43" spans="1:16" ht="11.25" customHeight="1">
      <c r="A43" s="18"/>
      <c r="B43" s="18" t="s">
        <v>141</v>
      </c>
      <c r="C43" s="18">
        <v>63</v>
      </c>
      <c r="D43" s="26">
        <f t="shared" ref="D43:F43" si="14">8+55</f>
        <v>63</v>
      </c>
      <c r="E43" s="2">
        <f t="shared" si="14"/>
        <v>63</v>
      </c>
      <c r="F43" s="2">
        <f t="shared" si="14"/>
        <v>63</v>
      </c>
      <c r="G43" s="2">
        <f t="shared" ref="G43:H43" si="15">8+54</f>
        <v>62</v>
      </c>
      <c r="H43" s="2">
        <f t="shared" si="15"/>
        <v>62</v>
      </c>
      <c r="I43" s="2">
        <v>61</v>
      </c>
      <c r="J43" s="2">
        <v>61</v>
      </c>
      <c r="K43" s="2">
        <v>61</v>
      </c>
      <c r="L43" s="2">
        <v>61</v>
      </c>
      <c r="M43" s="27">
        <v>61</v>
      </c>
      <c r="N43" s="26">
        <f t="shared" ref="N43:N44" si="16">MIN(D43:M43)</f>
        <v>61</v>
      </c>
      <c r="O43" s="2">
        <f t="shared" ref="O43:O44" si="17">C43-N43</f>
        <v>2</v>
      </c>
      <c r="P43" s="24">
        <f t="shared" ref="P43:P44" si="18">O43/C43</f>
        <v>3.1746031746031744E-2</v>
      </c>
    </row>
    <row r="44" spans="1:16" ht="11.25" customHeight="1">
      <c r="A44" s="18"/>
      <c r="B44" s="18" t="s">
        <v>102</v>
      </c>
      <c r="C44" s="18">
        <v>8</v>
      </c>
      <c r="D44" s="26">
        <v>8</v>
      </c>
      <c r="E44" s="2">
        <v>8</v>
      </c>
      <c r="F44" s="2">
        <v>8</v>
      </c>
      <c r="G44" s="2">
        <v>8</v>
      </c>
      <c r="H44" s="2">
        <v>8</v>
      </c>
      <c r="I44" s="2">
        <v>7</v>
      </c>
      <c r="J44" s="2">
        <v>7</v>
      </c>
      <c r="K44" s="2">
        <v>7</v>
      </c>
      <c r="L44" s="2">
        <v>8</v>
      </c>
      <c r="M44" s="27">
        <v>8</v>
      </c>
      <c r="N44" s="26">
        <f t="shared" si="16"/>
        <v>7</v>
      </c>
      <c r="O44" s="2">
        <f t="shared" si="17"/>
        <v>1</v>
      </c>
      <c r="P44" s="24">
        <f t="shared" si="18"/>
        <v>0.125</v>
      </c>
    </row>
    <row r="45" spans="1:16" ht="11.25" customHeight="1">
      <c r="A45" s="18"/>
      <c r="B45" s="18" t="s">
        <v>104</v>
      </c>
      <c r="C45" s="18"/>
      <c r="D45" s="26"/>
      <c r="E45" s="2"/>
      <c r="F45" s="2"/>
      <c r="G45" s="2"/>
      <c r="H45" s="2"/>
      <c r="I45" s="2"/>
      <c r="J45" s="2"/>
      <c r="K45" s="2"/>
      <c r="L45" s="2"/>
      <c r="M45" s="27"/>
      <c r="N45" s="26"/>
      <c r="O45" s="2"/>
      <c r="P45" s="24"/>
    </row>
    <row r="46" spans="1:16" ht="11.25" customHeight="1">
      <c r="A46" s="18"/>
      <c r="B46" s="18" t="s">
        <v>104</v>
      </c>
      <c r="C46" s="18"/>
      <c r="D46" s="26"/>
      <c r="E46" s="2"/>
      <c r="F46" s="2"/>
      <c r="G46" s="2"/>
      <c r="H46" s="2"/>
      <c r="I46" s="2"/>
      <c r="J46" s="2"/>
      <c r="K46" s="2"/>
      <c r="L46" s="2"/>
      <c r="M46" s="27"/>
      <c r="N46" s="26"/>
      <c r="O46" s="2"/>
      <c r="P46" s="24"/>
    </row>
    <row r="47" spans="1:16" ht="11.25" customHeight="1">
      <c r="A47" s="18"/>
      <c r="B47" s="18" t="s">
        <v>104</v>
      </c>
      <c r="C47" s="18"/>
      <c r="D47" s="26"/>
      <c r="E47" s="2"/>
      <c r="F47" s="2"/>
      <c r="G47" s="2"/>
      <c r="H47" s="2"/>
      <c r="I47" s="2"/>
      <c r="J47" s="2"/>
      <c r="K47" s="2"/>
      <c r="L47" s="2"/>
      <c r="M47" s="27"/>
      <c r="N47" s="26"/>
      <c r="O47" s="2"/>
      <c r="P47" s="24"/>
    </row>
    <row r="48" spans="1:16" ht="11.25" customHeight="1">
      <c r="A48" s="18"/>
      <c r="B48" s="18" t="s">
        <v>104</v>
      </c>
      <c r="C48" s="18"/>
      <c r="D48" s="26"/>
      <c r="E48" s="2"/>
      <c r="F48" s="2"/>
      <c r="G48" s="2"/>
      <c r="H48" s="2"/>
      <c r="I48" s="2"/>
      <c r="J48" s="2"/>
      <c r="K48" s="2"/>
      <c r="L48" s="2"/>
      <c r="M48" s="27"/>
      <c r="N48" s="26"/>
      <c r="O48" s="2"/>
      <c r="P48" s="24"/>
    </row>
    <row r="49" spans="1:16" ht="11.25" customHeight="1">
      <c r="A49" s="18"/>
      <c r="B49" s="18" t="s">
        <v>34</v>
      </c>
      <c r="C49" s="18">
        <v>6</v>
      </c>
      <c r="D49" s="26">
        <v>6</v>
      </c>
      <c r="E49" s="2">
        <v>6</v>
      </c>
      <c r="F49" s="2">
        <v>6</v>
      </c>
      <c r="G49" s="2">
        <v>6</v>
      </c>
      <c r="H49" s="2">
        <v>6</v>
      </c>
      <c r="I49" s="2">
        <v>6</v>
      </c>
      <c r="J49" s="2">
        <v>6</v>
      </c>
      <c r="K49" s="2">
        <v>6</v>
      </c>
      <c r="L49" s="2">
        <v>6</v>
      </c>
      <c r="M49" s="27">
        <v>6</v>
      </c>
      <c r="N49" s="26">
        <f t="shared" ref="N49:N50" si="19">MIN(D49:M49)</f>
        <v>6</v>
      </c>
      <c r="O49" s="2">
        <f t="shared" ref="O49:O50" si="20">C49-N49</f>
        <v>0</v>
      </c>
      <c r="P49" s="24">
        <f t="shared" ref="P49:P50" si="21">O49/C49</f>
        <v>0</v>
      </c>
    </row>
    <row r="50" spans="1:16" ht="11.25" customHeight="1">
      <c r="A50" s="18"/>
      <c r="B50" s="18" t="s">
        <v>268</v>
      </c>
      <c r="C50" s="18">
        <v>2</v>
      </c>
      <c r="D50" s="26">
        <v>1</v>
      </c>
      <c r="E50" s="2">
        <v>1</v>
      </c>
      <c r="F50" s="2">
        <v>1</v>
      </c>
      <c r="G50" s="2">
        <v>2</v>
      </c>
      <c r="H50" s="2">
        <v>2</v>
      </c>
      <c r="I50" s="2">
        <v>2</v>
      </c>
      <c r="J50" s="2">
        <v>2</v>
      </c>
      <c r="K50" s="2">
        <v>2</v>
      </c>
      <c r="L50" s="2">
        <v>2</v>
      </c>
      <c r="M50" s="27">
        <v>2</v>
      </c>
      <c r="N50" s="26">
        <f t="shared" si="19"/>
        <v>1</v>
      </c>
      <c r="O50" s="2">
        <f t="shared" si="20"/>
        <v>1</v>
      </c>
      <c r="P50" s="24">
        <f t="shared" si="21"/>
        <v>0.5</v>
      </c>
    </row>
    <row r="51" spans="1:16" ht="11.25" customHeight="1">
      <c r="A51" s="18"/>
      <c r="B51" s="18" t="s">
        <v>36</v>
      </c>
      <c r="C51" s="18"/>
      <c r="D51" s="26"/>
      <c r="E51" s="2"/>
      <c r="F51" s="2"/>
      <c r="G51" s="2"/>
      <c r="H51" s="2"/>
      <c r="I51" s="2"/>
      <c r="J51" s="2"/>
      <c r="K51" s="2"/>
      <c r="L51" s="2"/>
      <c r="M51" s="27"/>
      <c r="N51" s="26"/>
      <c r="O51" s="2"/>
      <c r="P51" s="24"/>
    </row>
    <row r="52" spans="1:16" ht="11.25" customHeight="1">
      <c r="A52" s="18"/>
      <c r="B52" s="18" t="s">
        <v>37</v>
      </c>
      <c r="C52" s="18"/>
      <c r="D52" s="26"/>
      <c r="E52" s="2"/>
      <c r="F52" s="2"/>
      <c r="G52" s="2"/>
      <c r="H52" s="2"/>
      <c r="I52" s="2"/>
      <c r="J52" s="2"/>
      <c r="K52" s="2"/>
      <c r="L52" s="2"/>
      <c r="M52" s="27"/>
      <c r="N52" s="26"/>
      <c r="O52" s="2"/>
      <c r="P52" s="24"/>
    </row>
    <row r="53" spans="1:16" ht="11.25" customHeight="1">
      <c r="A53" s="32"/>
      <c r="B53" s="33" t="s">
        <v>38</v>
      </c>
      <c r="C53" s="94">
        <f t="shared" ref="C53:M53" si="22">SUM(C37:C52)</f>
        <v>257</v>
      </c>
      <c r="D53" s="67">
        <f t="shared" si="22"/>
        <v>251</v>
      </c>
      <c r="E53" s="68">
        <f t="shared" si="22"/>
        <v>245</v>
      </c>
      <c r="F53" s="68">
        <f t="shared" si="22"/>
        <v>241</v>
      </c>
      <c r="G53" s="68">
        <f t="shared" si="22"/>
        <v>236</v>
      </c>
      <c r="H53" s="68">
        <f t="shared" si="22"/>
        <v>234</v>
      </c>
      <c r="I53" s="68">
        <f t="shared" si="22"/>
        <v>233</v>
      </c>
      <c r="J53" s="68">
        <f t="shared" si="22"/>
        <v>236</v>
      </c>
      <c r="K53" s="68">
        <f t="shared" si="22"/>
        <v>236</v>
      </c>
      <c r="L53" s="68">
        <f t="shared" si="22"/>
        <v>237</v>
      </c>
      <c r="M53" s="69">
        <f t="shared" si="22"/>
        <v>241</v>
      </c>
      <c r="N53" s="67">
        <f>MIN(D53:M53)</f>
        <v>233</v>
      </c>
      <c r="O53" s="68">
        <f>C53-N53</f>
        <v>24</v>
      </c>
      <c r="P53" s="190">
        <f>O53/C53</f>
        <v>9.3385214007782102E-2</v>
      </c>
    </row>
    <row r="54" spans="1:16" ht="11.25" customHeight="1">
      <c r="A54" s="66" t="s">
        <v>312</v>
      </c>
      <c r="B54" s="66" t="s">
        <v>23</v>
      </c>
      <c r="C54" s="66"/>
      <c r="D54" s="41"/>
      <c r="E54" s="72"/>
      <c r="F54" s="72"/>
      <c r="G54" s="72"/>
      <c r="H54" s="72"/>
      <c r="I54" s="72"/>
      <c r="J54" s="72"/>
      <c r="K54" s="72"/>
      <c r="L54" s="72"/>
      <c r="M54" s="73"/>
      <c r="N54" s="41"/>
      <c r="O54" s="72"/>
      <c r="P54" s="99"/>
    </row>
    <row r="55" spans="1:16" ht="11.25" customHeight="1">
      <c r="A55" s="57"/>
      <c r="B55" s="18" t="s">
        <v>25</v>
      </c>
      <c r="C55" s="18">
        <v>180</v>
      </c>
      <c r="D55" s="26">
        <f>124-45+14</f>
        <v>93</v>
      </c>
      <c r="E55" s="2">
        <v>48</v>
      </c>
      <c r="F55" s="2">
        <v>28</v>
      </c>
      <c r="G55" s="2">
        <v>28</v>
      </c>
      <c r="H55" s="2">
        <v>26</v>
      </c>
      <c r="I55" s="2">
        <f>28+6</f>
        <v>34</v>
      </c>
      <c r="J55" s="2">
        <v>27</v>
      </c>
      <c r="K55" s="2">
        <v>39</v>
      </c>
      <c r="L55" s="2">
        <f>41+11</f>
        <v>52</v>
      </c>
      <c r="M55" s="27">
        <f>124-60+23</f>
        <v>87</v>
      </c>
      <c r="N55" s="26">
        <f>MIN(D55:M55)</f>
        <v>26</v>
      </c>
      <c r="O55" s="2">
        <f>C55-N55</f>
        <v>154</v>
      </c>
      <c r="P55" s="24">
        <f>O55/C55</f>
        <v>0.85555555555555551</v>
      </c>
    </row>
    <row r="56" spans="1:16" ht="11.25" customHeight="1">
      <c r="A56" s="57"/>
      <c r="B56" s="18" t="s">
        <v>27</v>
      </c>
      <c r="C56" s="18"/>
      <c r="D56" s="26"/>
      <c r="E56" s="2"/>
      <c r="F56" s="2"/>
      <c r="G56" s="2"/>
      <c r="H56" s="2"/>
      <c r="I56" s="2"/>
      <c r="J56" s="2"/>
      <c r="K56" s="2"/>
      <c r="L56" s="2"/>
      <c r="M56" s="27"/>
      <c r="N56" s="26"/>
      <c r="O56" s="2"/>
      <c r="P56" s="24"/>
    </row>
    <row r="57" spans="1:16" ht="11.25" customHeight="1">
      <c r="A57" s="57"/>
      <c r="B57" s="18" t="s">
        <v>99</v>
      </c>
      <c r="C57" s="18">
        <v>47</v>
      </c>
      <c r="D57" s="26">
        <v>34</v>
      </c>
      <c r="E57" s="2">
        <v>21</v>
      </c>
      <c r="F57" s="2">
        <v>12</v>
      </c>
      <c r="G57" s="2">
        <v>11</v>
      </c>
      <c r="H57" s="2">
        <v>7</v>
      </c>
      <c r="I57" s="2">
        <v>4</v>
      </c>
      <c r="J57" s="2">
        <v>3</v>
      </c>
      <c r="K57" s="2">
        <v>11</v>
      </c>
      <c r="L57" s="2">
        <v>18</v>
      </c>
      <c r="M57" s="27">
        <v>25</v>
      </c>
      <c r="N57" s="26">
        <f>MIN(D57:M57)</f>
        <v>3</v>
      </c>
      <c r="O57" s="2">
        <f>C57-N57</f>
        <v>44</v>
      </c>
      <c r="P57" s="24">
        <f>O57/C57</f>
        <v>0.93617021276595747</v>
      </c>
    </row>
    <row r="58" spans="1:16" ht="11.25" customHeight="1">
      <c r="A58" s="18"/>
      <c r="B58" s="18" t="s">
        <v>99</v>
      </c>
      <c r="C58" s="18"/>
      <c r="D58" s="26"/>
      <c r="E58" s="2"/>
      <c r="F58" s="2"/>
      <c r="G58" s="2"/>
      <c r="H58" s="2"/>
      <c r="I58" s="2"/>
      <c r="J58" s="2"/>
      <c r="K58" s="2"/>
      <c r="L58" s="2"/>
      <c r="M58" s="27"/>
      <c r="N58" s="26"/>
      <c r="O58" s="2"/>
      <c r="P58" s="24"/>
    </row>
    <row r="59" spans="1:16" ht="11.25" customHeight="1">
      <c r="A59" s="18"/>
      <c r="B59" s="18" t="s">
        <v>32</v>
      </c>
      <c r="C59" s="18"/>
      <c r="D59" s="26"/>
      <c r="E59" s="2"/>
      <c r="F59" s="2"/>
      <c r="G59" s="2"/>
      <c r="H59" s="2"/>
      <c r="I59" s="2"/>
      <c r="J59" s="2"/>
      <c r="K59" s="2"/>
      <c r="L59" s="2"/>
      <c r="M59" s="27"/>
      <c r="N59" s="26"/>
      <c r="O59" s="2"/>
      <c r="P59" s="24"/>
    </row>
    <row r="60" spans="1:16" ht="11.25" customHeight="1">
      <c r="A60" s="18"/>
      <c r="B60" s="18" t="s">
        <v>216</v>
      </c>
      <c r="C60" s="18">
        <v>3</v>
      </c>
      <c r="D60" s="26">
        <v>3</v>
      </c>
      <c r="E60" s="2">
        <v>2</v>
      </c>
      <c r="F60" s="2">
        <v>1</v>
      </c>
      <c r="G60" s="2">
        <v>2</v>
      </c>
      <c r="H60" s="2">
        <v>2</v>
      </c>
      <c r="I60" s="2">
        <v>0</v>
      </c>
      <c r="J60" s="2">
        <v>2</v>
      </c>
      <c r="K60" s="2">
        <v>3</v>
      </c>
      <c r="L60" s="2">
        <v>3</v>
      </c>
      <c r="M60" s="27">
        <v>3</v>
      </c>
      <c r="N60" s="26">
        <f t="shared" ref="N60:N62" si="23">MIN(D60:M60)</f>
        <v>0</v>
      </c>
      <c r="O60" s="2">
        <f t="shared" ref="O60:O62" si="24">C60-N60</f>
        <v>3</v>
      </c>
      <c r="P60" s="24">
        <f t="shared" ref="P60:P62" si="25">O60/C60</f>
        <v>1</v>
      </c>
    </row>
    <row r="61" spans="1:16" ht="11.25" customHeight="1">
      <c r="A61" s="18"/>
      <c r="B61" s="18" t="s">
        <v>102</v>
      </c>
      <c r="C61" s="18">
        <v>8</v>
      </c>
      <c r="D61" s="26">
        <f t="shared" ref="D61:E61" si="26">3+2+2</f>
        <v>7</v>
      </c>
      <c r="E61" s="2">
        <f t="shared" si="26"/>
        <v>7</v>
      </c>
      <c r="F61" s="2">
        <f>2+1+2</f>
        <v>5</v>
      </c>
      <c r="G61" s="2">
        <v>6</v>
      </c>
      <c r="H61" s="2">
        <v>6</v>
      </c>
      <c r="I61" s="2">
        <v>7</v>
      </c>
      <c r="J61" s="2">
        <v>8</v>
      </c>
      <c r="K61" s="2">
        <v>7</v>
      </c>
      <c r="L61" s="2">
        <v>7</v>
      </c>
      <c r="M61" s="27">
        <v>5</v>
      </c>
      <c r="N61" s="26">
        <f t="shared" si="23"/>
        <v>5</v>
      </c>
      <c r="O61" s="2">
        <f t="shared" si="24"/>
        <v>3</v>
      </c>
      <c r="P61" s="24">
        <f t="shared" si="25"/>
        <v>0.375</v>
      </c>
    </row>
    <row r="62" spans="1:16" ht="11.25" customHeight="1">
      <c r="A62" s="18"/>
      <c r="B62" s="18" t="s">
        <v>313</v>
      </c>
      <c r="C62" s="18">
        <v>3</v>
      </c>
      <c r="D62" s="26">
        <v>3</v>
      </c>
      <c r="E62" s="2">
        <v>3</v>
      </c>
      <c r="F62" s="2">
        <v>3</v>
      </c>
      <c r="G62" s="2">
        <v>2</v>
      </c>
      <c r="H62" s="2">
        <v>3</v>
      </c>
      <c r="I62" s="2">
        <v>3</v>
      </c>
      <c r="J62" s="2">
        <v>3</v>
      </c>
      <c r="K62" s="2">
        <v>3</v>
      </c>
      <c r="L62" s="2">
        <v>3</v>
      </c>
      <c r="M62" s="27">
        <v>3</v>
      </c>
      <c r="N62" s="26">
        <f t="shared" si="23"/>
        <v>2</v>
      </c>
      <c r="O62" s="2">
        <f t="shared" si="24"/>
        <v>1</v>
      </c>
      <c r="P62" s="24">
        <f t="shared" si="25"/>
        <v>0.33333333333333331</v>
      </c>
    </row>
    <row r="63" spans="1:16" ht="11.25" customHeight="1">
      <c r="A63" s="18"/>
      <c r="B63" s="18" t="s">
        <v>104</v>
      </c>
      <c r="C63" s="18"/>
      <c r="D63" s="26"/>
      <c r="E63" s="2"/>
      <c r="F63" s="2"/>
      <c r="G63" s="2"/>
      <c r="H63" s="2"/>
      <c r="I63" s="2"/>
      <c r="J63" s="2"/>
      <c r="K63" s="2"/>
      <c r="L63" s="2"/>
      <c r="M63" s="27"/>
      <c r="N63" s="26"/>
      <c r="O63" s="2"/>
      <c r="P63" s="24"/>
    </row>
    <row r="64" spans="1:16" ht="11.25" customHeight="1">
      <c r="A64" s="18"/>
      <c r="B64" s="18" t="s">
        <v>104</v>
      </c>
      <c r="C64" s="18"/>
      <c r="D64" s="26"/>
      <c r="E64" s="2"/>
      <c r="F64" s="2"/>
      <c r="G64" s="2"/>
      <c r="H64" s="2"/>
      <c r="I64" s="2"/>
      <c r="J64" s="2"/>
      <c r="K64" s="2"/>
      <c r="L64" s="2"/>
      <c r="M64" s="27"/>
      <c r="N64" s="26"/>
      <c r="O64" s="2"/>
      <c r="P64" s="24"/>
    </row>
    <row r="65" spans="1:16" ht="11.25" customHeight="1">
      <c r="A65" s="18"/>
      <c r="B65" s="18" t="s">
        <v>104</v>
      </c>
      <c r="C65" s="18"/>
      <c r="D65" s="26"/>
      <c r="E65" s="2"/>
      <c r="F65" s="2"/>
      <c r="G65" s="2"/>
      <c r="H65" s="2"/>
      <c r="I65" s="2"/>
      <c r="J65" s="2"/>
      <c r="K65" s="2"/>
      <c r="L65" s="2"/>
      <c r="M65" s="27"/>
      <c r="N65" s="26"/>
      <c r="O65" s="2"/>
      <c r="P65" s="24"/>
    </row>
    <row r="66" spans="1:16" ht="11.25" customHeight="1">
      <c r="A66" s="18"/>
      <c r="B66" s="18" t="s">
        <v>34</v>
      </c>
      <c r="C66" s="18">
        <v>6</v>
      </c>
      <c r="D66" s="26">
        <v>5</v>
      </c>
      <c r="E66" s="2">
        <v>5</v>
      </c>
      <c r="F66" s="2">
        <v>5</v>
      </c>
      <c r="G66" s="2">
        <v>5</v>
      </c>
      <c r="H66" s="2">
        <v>5</v>
      </c>
      <c r="I66" s="2">
        <v>5</v>
      </c>
      <c r="J66" s="2">
        <v>5</v>
      </c>
      <c r="K66" s="2">
        <v>6</v>
      </c>
      <c r="L66" s="2">
        <v>6</v>
      </c>
      <c r="M66" s="27">
        <v>6</v>
      </c>
      <c r="N66" s="26">
        <f t="shared" ref="N66:N67" si="27">MIN(D66:M66)</f>
        <v>5</v>
      </c>
      <c r="O66" s="2">
        <f t="shared" ref="O66:O67" si="28">C66-N66</f>
        <v>1</v>
      </c>
      <c r="P66" s="24">
        <f t="shared" ref="P66:P67" si="29">O66/C66</f>
        <v>0.16666666666666666</v>
      </c>
    </row>
    <row r="67" spans="1:16" ht="11.25" customHeight="1">
      <c r="A67" s="18"/>
      <c r="B67" s="18" t="s">
        <v>268</v>
      </c>
      <c r="C67" s="18">
        <v>5</v>
      </c>
      <c r="D67" s="26">
        <v>1</v>
      </c>
      <c r="E67" s="2">
        <v>1</v>
      </c>
      <c r="F67" s="2">
        <v>1</v>
      </c>
      <c r="G67" s="2">
        <v>1</v>
      </c>
      <c r="H67" s="2">
        <v>2</v>
      </c>
      <c r="I67" s="2">
        <v>2</v>
      </c>
      <c r="J67" s="2">
        <v>1</v>
      </c>
      <c r="K67" s="2">
        <v>1</v>
      </c>
      <c r="L67" s="2">
        <v>1</v>
      </c>
      <c r="M67" s="27">
        <v>1</v>
      </c>
      <c r="N67" s="26">
        <f t="shared" si="27"/>
        <v>1</v>
      </c>
      <c r="O67" s="2">
        <f t="shared" si="28"/>
        <v>4</v>
      </c>
      <c r="P67" s="24">
        <f t="shared" si="29"/>
        <v>0.8</v>
      </c>
    </row>
    <row r="68" spans="1:16" ht="11.25" customHeight="1">
      <c r="A68" s="18"/>
      <c r="B68" s="18" t="s">
        <v>36</v>
      </c>
      <c r="C68" s="18"/>
      <c r="D68" s="26"/>
      <c r="E68" s="2"/>
      <c r="F68" s="2"/>
      <c r="G68" s="2"/>
      <c r="H68" s="2"/>
      <c r="I68" s="2"/>
      <c r="J68" s="2"/>
      <c r="K68" s="2"/>
      <c r="L68" s="2"/>
      <c r="M68" s="27"/>
      <c r="N68" s="26"/>
      <c r="O68" s="2"/>
      <c r="P68" s="24"/>
    </row>
    <row r="69" spans="1:16" ht="11.25" customHeight="1">
      <c r="A69" s="18"/>
      <c r="B69" s="18" t="s">
        <v>37</v>
      </c>
      <c r="C69" s="18"/>
      <c r="D69" s="26"/>
      <c r="E69" s="2"/>
      <c r="F69" s="2"/>
      <c r="G69" s="2"/>
      <c r="H69" s="2"/>
      <c r="I69" s="2"/>
      <c r="J69" s="2"/>
      <c r="K69" s="2"/>
      <c r="L69" s="2"/>
      <c r="M69" s="27"/>
      <c r="N69" s="26"/>
      <c r="O69" s="2"/>
      <c r="P69" s="24"/>
    </row>
    <row r="70" spans="1:16" ht="11.25" customHeight="1">
      <c r="A70" s="32"/>
      <c r="B70" s="33" t="s">
        <v>38</v>
      </c>
      <c r="C70" s="70">
        <f t="shared" ref="C70:M70" si="30">SUM(C54:C69)</f>
        <v>252</v>
      </c>
      <c r="D70" s="70">
        <f t="shared" si="30"/>
        <v>146</v>
      </c>
      <c r="E70" s="71">
        <f t="shared" si="30"/>
        <v>87</v>
      </c>
      <c r="F70" s="71">
        <f t="shared" si="30"/>
        <v>55</v>
      </c>
      <c r="G70" s="71">
        <f t="shared" si="30"/>
        <v>55</v>
      </c>
      <c r="H70" s="71">
        <f t="shared" si="30"/>
        <v>51</v>
      </c>
      <c r="I70" s="71">
        <f t="shared" si="30"/>
        <v>55</v>
      </c>
      <c r="J70" s="71">
        <f t="shared" si="30"/>
        <v>49</v>
      </c>
      <c r="K70" s="71">
        <f t="shared" si="30"/>
        <v>70</v>
      </c>
      <c r="L70" s="71">
        <f t="shared" si="30"/>
        <v>90</v>
      </c>
      <c r="M70" s="93">
        <f t="shared" si="30"/>
        <v>130</v>
      </c>
      <c r="N70" s="71">
        <f t="shared" ref="N70:N72" si="31">MIN(D70:M70)</f>
        <v>49</v>
      </c>
      <c r="O70" s="71">
        <f t="shared" ref="O70:O72" si="32">C70-N70</f>
        <v>203</v>
      </c>
      <c r="P70" s="40">
        <f t="shared" ref="P70:P72" si="33">O70/C70</f>
        <v>0.80555555555555558</v>
      </c>
    </row>
    <row r="71" spans="1:16" ht="11.25" customHeight="1">
      <c r="A71" s="66" t="s">
        <v>314</v>
      </c>
      <c r="B71" s="66" t="s">
        <v>23</v>
      </c>
      <c r="C71" s="66">
        <v>156</v>
      </c>
      <c r="D71" s="26">
        <f>C71-17</f>
        <v>139</v>
      </c>
      <c r="E71" s="2">
        <f>C71-54</f>
        <v>102</v>
      </c>
      <c r="F71" s="2">
        <f>C71-70</f>
        <v>86</v>
      </c>
      <c r="G71" s="2">
        <v>78</v>
      </c>
      <c r="H71" s="2">
        <v>78</v>
      </c>
      <c r="I71" s="2">
        <f>C71-84</f>
        <v>72</v>
      </c>
      <c r="J71" s="2">
        <f>C71-71</f>
        <v>85</v>
      </c>
      <c r="K71" s="2">
        <v>72</v>
      </c>
      <c r="L71" s="2">
        <f>C71-60</f>
        <v>96</v>
      </c>
      <c r="M71" s="27">
        <f>C71-46</f>
        <v>110</v>
      </c>
      <c r="N71" s="26">
        <f t="shared" si="31"/>
        <v>72</v>
      </c>
      <c r="O71" s="2">
        <f t="shared" si="32"/>
        <v>84</v>
      </c>
      <c r="P71" s="24">
        <f t="shared" si="33"/>
        <v>0.53846153846153844</v>
      </c>
    </row>
    <row r="72" spans="1:16" ht="11.25" customHeight="1">
      <c r="A72" s="57"/>
      <c r="B72" s="18" t="s">
        <v>25</v>
      </c>
      <c r="C72" s="18">
        <v>89</v>
      </c>
      <c r="D72" s="26">
        <f>60-6+6</f>
        <v>60</v>
      </c>
      <c r="E72" s="2">
        <f>60-14</f>
        <v>46</v>
      </c>
      <c r="F72" s="2">
        <f>60-21</f>
        <v>39</v>
      </c>
      <c r="G72" s="2">
        <v>30</v>
      </c>
      <c r="H72" s="2">
        <v>32</v>
      </c>
      <c r="I72" s="2">
        <f>60-26+2</f>
        <v>36</v>
      </c>
      <c r="J72" s="2">
        <f>60-25</f>
        <v>35</v>
      </c>
      <c r="K72" s="2">
        <f>60-20+3</f>
        <v>43</v>
      </c>
      <c r="L72" s="2">
        <f>60-19+29-17</f>
        <v>53</v>
      </c>
      <c r="M72" s="27">
        <f>60-12+29-12</f>
        <v>65</v>
      </c>
      <c r="N72" s="26">
        <f t="shared" si="31"/>
        <v>30</v>
      </c>
      <c r="O72" s="2">
        <f t="shared" si="32"/>
        <v>59</v>
      </c>
      <c r="P72" s="24">
        <f t="shared" si="33"/>
        <v>0.6629213483146067</v>
      </c>
    </row>
    <row r="73" spans="1:16" ht="11.25" customHeight="1">
      <c r="A73" s="57"/>
      <c r="B73" s="18" t="s">
        <v>27</v>
      </c>
      <c r="C73" s="18"/>
      <c r="D73" s="26"/>
      <c r="E73" s="2"/>
      <c r="F73" s="2"/>
      <c r="G73" s="2"/>
      <c r="H73" s="2"/>
      <c r="I73" s="2"/>
      <c r="J73" s="2"/>
      <c r="K73" s="2"/>
      <c r="L73" s="2"/>
      <c r="M73" s="27"/>
      <c r="N73" s="26"/>
      <c r="O73" s="2"/>
      <c r="P73" s="24"/>
    </row>
    <row r="74" spans="1:16" ht="11.25" customHeight="1">
      <c r="A74" s="57"/>
      <c r="B74" s="18" t="s">
        <v>99</v>
      </c>
      <c r="C74" s="18"/>
      <c r="D74" s="26"/>
      <c r="E74" s="2"/>
      <c r="F74" s="2"/>
      <c r="G74" s="2"/>
      <c r="H74" s="2"/>
      <c r="I74" s="2"/>
      <c r="J74" s="2"/>
      <c r="K74" s="2"/>
      <c r="L74" s="2"/>
      <c r="M74" s="27"/>
      <c r="N74" s="26"/>
      <c r="O74" s="2"/>
      <c r="P74" s="24"/>
    </row>
    <row r="75" spans="1:16" ht="11.25" customHeight="1">
      <c r="A75" s="18"/>
      <c r="B75" s="18" t="s">
        <v>99</v>
      </c>
      <c r="C75" s="18"/>
      <c r="D75" s="26"/>
      <c r="E75" s="2"/>
      <c r="F75" s="2"/>
      <c r="G75" s="2"/>
      <c r="H75" s="2"/>
      <c r="I75" s="2"/>
      <c r="J75" s="2"/>
      <c r="K75" s="2"/>
      <c r="L75" s="2"/>
      <c r="M75" s="27"/>
      <c r="N75" s="26"/>
      <c r="O75" s="2"/>
      <c r="P75" s="24"/>
    </row>
    <row r="76" spans="1:16" ht="11.25" customHeight="1">
      <c r="A76" s="18"/>
      <c r="B76" s="18" t="s">
        <v>32</v>
      </c>
      <c r="C76" s="18"/>
      <c r="D76" s="26"/>
      <c r="E76" s="2"/>
      <c r="F76" s="2"/>
      <c r="G76" s="2"/>
      <c r="H76" s="2"/>
      <c r="I76" s="2"/>
      <c r="J76" s="2"/>
      <c r="K76" s="2"/>
      <c r="L76" s="2"/>
      <c r="M76" s="27"/>
      <c r="N76" s="26"/>
      <c r="O76" s="2"/>
      <c r="P76" s="24"/>
    </row>
    <row r="77" spans="1:16" ht="11.25" customHeight="1">
      <c r="A77" s="18"/>
      <c r="B77" s="18" t="s">
        <v>102</v>
      </c>
      <c r="C77" s="18">
        <v>8</v>
      </c>
      <c r="D77" s="26">
        <v>8</v>
      </c>
      <c r="E77" s="2">
        <v>7</v>
      </c>
      <c r="F77" s="2">
        <v>6</v>
      </c>
      <c r="G77" s="2">
        <v>5</v>
      </c>
      <c r="H77" s="2">
        <v>5</v>
      </c>
      <c r="I77" s="2">
        <v>4</v>
      </c>
      <c r="J77" s="2">
        <v>6</v>
      </c>
      <c r="K77" s="2">
        <v>6</v>
      </c>
      <c r="L77" s="2">
        <v>6</v>
      </c>
      <c r="M77" s="27">
        <v>6</v>
      </c>
      <c r="N77" s="26">
        <f>MIN(D77:M77)</f>
        <v>4</v>
      </c>
      <c r="O77" s="2">
        <f>C77-N77</f>
        <v>4</v>
      </c>
      <c r="P77" s="24">
        <f>O77/C77</f>
        <v>0.5</v>
      </c>
    </row>
    <row r="78" spans="1:16" ht="11.25" customHeight="1">
      <c r="A78" s="18"/>
      <c r="B78" s="18" t="s">
        <v>104</v>
      </c>
      <c r="C78" s="18"/>
      <c r="D78" s="26"/>
      <c r="E78" s="2"/>
      <c r="F78" s="2"/>
      <c r="G78" s="2"/>
      <c r="H78" s="2"/>
      <c r="I78" s="2"/>
      <c r="J78" s="2"/>
      <c r="K78" s="2"/>
      <c r="L78" s="2"/>
      <c r="M78" s="27"/>
      <c r="N78" s="26"/>
      <c r="O78" s="2"/>
      <c r="P78" s="24"/>
    </row>
    <row r="79" spans="1:16" ht="11.25" customHeight="1">
      <c r="A79" s="18"/>
      <c r="B79" s="18" t="s">
        <v>104</v>
      </c>
      <c r="C79" s="18"/>
      <c r="D79" s="26"/>
      <c r="E79" s="2"/>
      <c r="F79" s="2"/>
      <c r="G79" s="2"/>
      <c r="H79" s="2"/>
      <c r="I79" s="2"/>
      <c r="J79" s="2"/>
      <c r="K79" s="2"/>
      <c r="L79" s="2"/>
      <c r="M79" s="27"/>
      <c r="N79" s="26"/>
      <c r="O79" s="2"/>
      <c r="P79" s="24"/>
    </row>
    <row r="80" spans="1:16" ht="11.25" customHeight="1">
      <c r="A80" s="18"/>
      <c r="B80" s="18" t="s">
        <v>104</v>
      </c>
      <c r="C80" s="18"/>
      <c r="D80" s="26"/>
      <c r="E80" s="2"/>
      <c r="F80" s="2"/>
      <c r="G80" s="2"/>
      <c r="H80" s="2"/>
      <c r="I80" s="2"/>
      <c r="J80" s="2"/>
      <c r="K80" s="2"/>
      <c r="L80" s="2"/>
      <c r="M80" s="27"/>
      <c r="N80" s="26"/>
      <c r="O80" s="2"/>
      <c r="P80" s="24"/>
    </row>
    <row r="81" spans="1:16" ht="11.25" customHeight="1">
      <c r="A81" s="18"/>
      <c r="B81" s="18" t="s">
        <v>104</v>
      </c>
      <c r="C81" s="18"/>
      <c r="D81" s="26"/>
      <c r="E81" s="2"/>
      <c r="F81" s="2"/>
      <c r="G81" s="2"/>
      <c r="H81" s="2"/>
      <c r="I81" s="2"/>
      <c r="J81" s="2"/>
      <c r="K81" s="2"/>
      <c r="L81" s="2"/>
      <c r="M81" s="27"/>
      <c r="N81" s="26"/>
      <c r="O81" s="2"/>
      <c r="P81" s="24"/>
    </row>
    <row r="82" spans="1:16" ht="11.25" customHeight="1">
      <c r="A82" s="18"/>
      <c r="B82" s="18" t="s">
        <v>104</v>
      </c>
      <c r="C82" s="18"/>
      <c r="D82" s="26"/>
      <c r="E82" s="2"/>
      <c r="F82" s="2"/>
      <c r="G82" s="2"/>
      <c r="H82" s="2"/>
      <c r="I82" s="2"/>
      <c r="J82" s="2"/>
      <c r="K82" s="2"/>
      <c r="L82" s="2"/>
      <c r="M82" s="27"/>
      <c r="N82" s="26"/>
      <c r="O82" s="2"/>
      <c r="P82" s="24"/>
    </row>
    <row r="83" spans="1:16" ht="11.25" customHeight="1">
      <c r="A83" s="18"/>
      <c r="B83" s="18" t="s">
        <v>34</v>
      </c>
      <c r="C83" s="18">
        <v>6</v>
      </c>
      <c r="D83" s="26">
        <v>6</v>
      </c>
      <c r="E83" s="2">
        <v>6</v>
      </c>
      <c r="F83" s="2">
        <v>6</v>
      </c>
      <c r="G83" s="2">
        <v>6</v>
      </c>
      <c r="H83" s="2">
        <v>6</v>
      </c>
      <c r="I83" s="2">
        <v>6</v>
      </c>
      <c r="J83" s="2">
        <v>6</v>
      </c>
      <c r="K83" s="2">
        <v>6</v>
      </c>
      <c r="L83" s="2">
        <v>6</v>
      </c>
      <c r="M83" s="27">
        <v>6</v>
      </c>
      <c r="N83" s="26">
        <f t="shared" ref="N83:N84" si="34">MIN(D83:M83)</f>
        <v>6</v>
      </c>
      <c r="O83" s="2">
        <f t="shared" ref="O83:O84" si="35">C83-N83</f>
        <v>0</v>
      </c>
      <c r="P83" s="24">
        <f t="shared" ref="P83:P84" si="36">O83/C83</f>
        <v>0</v>
      </c>
    </row>
    <row r="84" spans="1:16" ht="11.25" customHeight="1">
      <c r="A84" s="18"/>
      <c r="B84" s="18" t="s">
        <v>268</v>
      </c>
      <c r="C84" s="18">
        <v>2</v>
      </c>
      <c r="D84" s="26">
        <v>2</v>
      </c>
      <c r="E84" s="2">
        <v>2</v>
      </c>
      <c r="F84" s="2">
        <v>2</v>
      </c>
      <c r="G84" s="2">
        <v>2</v>
      </c>
      <c r="H84" s="2">
        <v>2</v>
      </c>
      <c r="I84" s="2">
        <v>1</v>
      </c>
      <c r="J84" s="2">
        <v>1</v>
      </c>
      <c r="K84" s="2">
        <v>1</v>
      </c>
      <c r="L84" s="2">
        <v>1</v>
      </c>
      <c r="M84" s="27">
        <v>1</v>
      </c>
      <c r="N84" s="26">
        <f t="shared" si="34"/>
        <v>1</v>
      </c>
      <c r="O84" s="2">
        <f t="shared" si="35"/>
        <v>1</v>
      </c>
      <c r="P84" s="24">
        <f t="shared" si="36"/>
        <v>0.5</v>
      </c>
    </row>
    <row r="85" spans="1:16" ht="11.25" customHeight="1">
      <c r="A85" s="18"/>
      <c r="B85" s="18" t="s">
        <v>36</v>
      </c>
      <c r="C85" s="18"/>
      <c r="D85" s="26"/>
      <c r="E85" s="2"/>
      <c r="F85" s="2"/>
      <c r="G85" s="2"/>
      <c r="H85" s="2"/>
      <c r="I85" s="2"/>
      <c r="J85" s="2"/>
      <c r="K85" s="2"/>
      <c r="L85" s="2"/>
      <c r="M85" s="27"/>
      <c r="N85" s="26"/>
      <c r="O85" s="2"/>
      <c r="P85" s="24"/>
    </row>
    <row r="86" spans="1:16" ht="11.25" customHeight="1">
      <c r="A86" s="18"/>
      <c r="B86" s="18" t="s">
        <v>37</v>
      </c>
      <c r="C86" s="18"/>
      <c r="D86" s="26"/>
      <c r="E86" s="2"/>
      <c r="F86" s="2"/>
      <c r="G86" s="2"/>
      <c r="H86" s="2"/>
      <c r="I86" s="2"/>
      <c r="J86" s="2"/>
      <c r="K86" s="2"/>
      <c r="L86" s="2"/>
      <c r="M86" s="27"/>
      <c r="N86" s="26"/>
      <c r="O86" s="2"/>
      <c r="P86" s="24"/>
    </row>
    <row r="87" spans="1:16" ht="11.25" customHeight="1">
      <c r="A87" s="32"/>
      <c r="B87" s="33" t="s">
        <v>38</v>
      </c>
      <c r="C87" s="33">
        <f t="shared" ref="C87:M87" si="37">SUM(C71:C86)</f>
        <v>261</v>
      </c>
      <c r="D87" s="70">
        <f t="shared" si="37"/>
        <v>215</v>
      </c>
      <c r="E87" s="71">
        <f t="shared" si="37"/>
        <v>163</v>
      </c>
      <c r="F87" s="71">
        <f t="shared" si="37"/>
        <v>139</v>
      </c>
      <c r="G87" s="71">
        <f t="shared" si="37"/>
        <v>121</v>
      </c>
      <c r="H87" s="71">
        <f t="shared" si="37"/>
        <v>123</v>
      </c>
      <c r="I87" s="71">
        <f t="shared" si="37"/>
        <v>119</v>
      </c>
      <c r="J87" s="71">
        <f t="shared" si="37"/>
        <v>133</v>
      </c>
      <c r="K87" s="71">
        <f t="shared" si="37"/>
        <v>128</v>
      </c>
      <c r="L87" s="71">
        <f t="shared" si="37"/>
        <v>162</v>
      </c>
      <c r="M87" s="93">
        <f t="shared" si="37"/>
        <v>188</v>
      </c>
      <c r="N87" s="70">
        <f>MIN(D87:M87)</f>
        <v>119</v>
      </c>
      <c r="O87" s="71">
        <f>C87-N87</f>
        <v>142</v>
      </c>
      <c r="P87" s="40">
        <f>O87/C87</f>
        <v>0.54406130268199238</v>
      </c>
    </row>
    <row r="88" spans="1:16" ht="11.25" customHeight="1">
      <c r="A88" s="66" t="s">
        <v>315</v>
      </c>
      <c r="B88" s="66" t="s">
        <v>23</v>
      </c>
      <c r="C88" s="66"/>
      <c r="D88" s="41"/>
      <c r="E88" s="72"/>
      <c r="F88" s="72"/>
      <c r="G88" s="72"/>
      <c r="H88" s="72"/>
      <c r="I88" s="72"/>
      <c r="J88" s="72"/>
      <c r="K88" s="72"/>
      <c r="L88" s="72"/>
      <c r="M88" s="73"/>
      <c r="N88" s="41"/>
      <c r="O88" s="72"/>
      <c r="P88" s="99"/>
    </row>
    <row r="89" spans="1:16" ht="11.25" customHeight="1">
      <c r="A89" s="57"/>
      <c r="B89" s="18" t="s">
        <v>25</v>
      </c>
      <c r="C89" s="18">
        <v>253</v>
      </c>
      <c r="D89" s="26">
        <f>189+62</f>
        <v>251</v>
      </c>
      <c r="E89" s="2">
        <f>189+63</f>
        <v>252</v>
      </c>
      <c r="F89" s="2">
        <f>188+63</f>
        <v>251</v>
      </c>
      <c r="G89" s="2">
        <f>186+63</f>
        <v>249</v>
      </c>
      <c r="H89" s="2">
        <f>187+63</f>
        <v>250</v>
      </c>
      <c r="I89" s="2">
        <f>C89-3</f>
        <v>250</v>
      </c>
      <c r="J89" s="2">
        <v>250</v>
      </c>
      <c r="K89" s="2">
        <v>250</v>
      </c>
      <c r="L89" s="2">
        <v>250</v>
      </c>
      <c r="M89" s="27">
        <v>251</v>
      </c>
      <c r="N89" s="26">
        <f>MIN(D89:M89)</f>
        <v>249</v>
      </c>
      <c r="O89" s="2">
        <f>C89-N89</f>
        <v>4</v>
      </c>
      <c r="P89" s="24">
        <f>O89/C89</f>
        <v>1.5810276679841896E-2</v>
      </c>
    </row>
    <row r="90" spans="1:16" ht="11.25" customHeight="1">
      <c r="A90" s="57"/>
      <c r="B90" s="18" t="s">
        <v>27</v>
      </c>
      <c r="C90" s="18"/>
      <c r="D90" s="26"/>
      <c r="E90" s="2"/>
      <c r="F90" s="2"/>
      <c r="G90" s="2"/>
      <c r="H90" s="2"/>
      <c r="I90" s="2"/>
      <c r="J90" s="2"/>
      <c r="K90" s="2"/>
      <c r="L90" s="2"/>
      <c r="M90" s="27"/>
      <c r="N90" s="26"/>
      <c r="O90" s="2"/>
      <c r="P90" s="24"/>
    </row>
    <row r="91" spans="1:16" ht="11.25" customHeight="1">
      <c r="A91" s="57"/>
      <c r="B91" s="18" t="s">
        <v>99</v>
      </c>
      <c r="C91" s="18"/>
      <c r="D91" s="26"/>
      <c r="E91" s="2"/>
      <c r="F91" s="2"/>
      <c r="G91" s="2"/>
      <c r="H91" s="2"/>
      <c r="I91" s="2"/>
      <c r="J91" s="2"/>
      <c r="K91" s="2"/>
      <c r="L91" s="2"/>
      <c r="M91" s="27"/>
      <c r="N91" s="26"/>
      <c r="O91" s="2"/>
      <c r="P91" s="24"/>
    </row>
    <row r="92" spans="1:16" ht="11.25" customHeight="1">
      <c r="A92" s="18"/>
      <c r="B92" s="18" t="s">
        <v>99</v>
      </c>
      <c r="C92" s="18"/>
      <c r="D92" s="26"/>
      <c r="E92" s="2"/>
      <c r="F92" s="2"/>
      <c r="G92" s="2"/>
      <c r="H92" s="2"/>
      <c r="I92" s="2"/>
      <c r="J92" s="2"/>
      <c r="K92" s="2"/>
      <c r="L92" s="2"/>
      <c r="M92" s="27"/>
      <c r="N92" s="26"/>
      <c r="O92" s="2"/>
      <c r="P92" s="24"/>
    </row>
    <row r="93" spans="1:16" ht="11.25" customHeight="1">
      <c r="A93" s="18"/>
      <c r="B93" s="18" t="s">
        <v>32</v>
      </c>
      <c r="C93" s="18"/>
      <c r="D93" s="26"/>
      <c r="E93" s="2"/>
      <c r="F93" s="2"/>
      <c r="G93" s="2"/>
      <c r="H93" s="2"/>
      <c r="I93" s="2"/>
      <c r="J93" s="2"/>
      <c r="K93" s="2"/>
      <c r="L93" s="2"/>
      <c r="M93" s="27"/>
      <c r="N93" s="26"/>
      <c r="O93" s="2"/>
      <c r="P93" s="24"/>
    </row>
    <row r="94" spans="1:16" ht="11.25" customHeight="1">
      <c r="A94" s="18"/>
      <c r="B94" s="18" t="s">
        <v>102</v>
      </c>
      <c r="C94" s="18">
        <v>8</v>
      </c>
      <c r="D94" s="26">
        <v>8</v>
      </c>
      <c r="E94" s="2">
        <v>8</v>
      </c>
      <c r="F94" s="2">
        <v>8</v>
      </c>
      <c r="G94" s="2">
        <v>8</v>
      </c>
      <c r="H94" s="2">
        <v>8</v>
      </c>
      <c r="I94" s="2">
        <v>8</v>
      </c>
      <c r="J94" s="2">
        <v>8</v>
      </c>
      <c r="K94" s="2">
        <v>8</v>
      </c>
      <c r="L94" s="2">
        <v>8</v>
      </c>
      <c r="M94" s="27">
        <v>8</v>
      </c>
      <c r="N94" s="26">
        <f>MIN(D94:M94)</f>
        <v>8</v>
      </c>
      <c r="O94" s="2">
        <f>C94-N94</f>
        <v>0</v>
      </c>
      <c r="P94" s="24">
        <f>O94/C94</f>
        <v>0</v>
      </c>
    </row>
    <row r="95" spans="1:16" ht="11.25" customHeight="1">
      <c r="A95" s="18"/>
      <c r="B95" s="18" t="s">
        <v>104</v>
      </c>
      <c r="C95" s="18"/>
      <c r="D95" s="26"/>
      <c r="E95" s="2"/>
      <c r="F95" s="2"/>
      <c r="G95" s="2"/>
      <c r="H95" s="2"/>
      <c r="I95" s="2"/>
      <c r="J95" s="2"/>
      <c r="K95" s="2"/>
      <c r="L95" s="2"/>
      <c r="M95" s="27"/>
      <c r="N95" s="26"/>
      <c r="O95" s="2"/>
      <c r="P95" s="24"/>
    </row>
    <row r="96" spans="1:16" ht="11.25" customHeight="1">
      <c r="A96" s="18"/>
      <c r="B96" s="18" t="s">
        <v>104</v>
      </c>
      <c r="C96" s="18"/>
      <c r="D96" s="26"/>
      <c r="E96" s="2"/>
      <c r="F96" s="2"/>
      <c r="G96" s="2"/>
      <c r="H96" s="2"/>
      <c r="I96" s="2"/>
      <c r="J96" s="2"/>
      <c r="K96" s="2"/>
      <c r="L96" s="2"/>
      <c r="M96" s="27"/>
      <c r="N96" s="26"/>
      <c r="O96" s="2"/>
      <c r="P96" s="24"/>
    </row>
    <row r="97" spans="1:16" ht="11.25" customHeight="1">
      <c r="A97" s="18"/>
      <c r="B97" s="18" t="s">
        <v>104</v>
      </c>
      <c r="C97" s="18"/>
      <c r="D97" s="26"/>
      <c r="E97" s="2"/>
      <c r="F97" s="2"/>
      <c r="G97" s="2"/>
      <c r="H97" s="2"/>
      <c r="I97" s="2"/>
      <c r="J97" s="2"/>
      <c r="K97" s="2"/>
      <c r="L97" s="2"/>
      <c r="M97" s="27"/>
      <c r="N97" s="26"/>
      <c r="O97" s="2"/>
      <c r="P97" s="24"/>
    </row>
    <row r="98" spans="1:16" ht="11.25" customHeight="1">
      <c r="A98" s="18"/>
      <c r="B98" s="18" t="s">
        <v>104</v>
      </c>
      <c r="C98" s="18"/>
      <c r="D98" s="26"/>
      <c r="E98" s="2"/>
      <c r="F98" s="2"/>
      <c r="G98" s="2"/>
      <c r="H98" s="2"/>
      <c r="I98" s="2"/>
      <c r="J98" s="2"/>
      <c r="K98" s="2"/>
      <c r="L98" s="2"/>
      <c r="M98" s="27"/>
      <c r="N98" s="26"/>
      <c r="O98" s="2"/>
      <c r="P98" s="24"/>
    </row>
    <row r="99" spans="1:16" ht="11.25" customHeight="1">
      <c r="A99" s="18"/>
      <c r="B99" s="18" t="s">
        <v>104</v>
      </c>
      <c r="C99" s="18"/>
      <c r="D99" s="26"/>
      <c r="E99" s="2"/>
      <c r="F99" s="2"/>
      <c r="G99" s="2"/>
      <c r="H99" s="2"/>
      <c r="I99" s="2"/>
      <c r="J99" s="2"/>
      <c r="K99" s="2"/>
      <c r="L99" s="2"/>
      <c r="M99" s="27"/>
      <c r="N99" s="26"/>
      <c r="O99" s="2"/>
      <c r="P99" s="24"/>
    </row>
    <row r="100" spans="1:16" ht="11.25" customHeight="1">
      <c r="A100" s="18"/>
      <c r="B100" s="18" t="s">
        <v>34</v>
      </c>
      <c r="C100" s="18">
        <v>5</v>
      </c>
      <c r="D100" s="26">
        <v>5</v>
      </c>
      <c r="E100" s="2">
        <v>5</v>
      </c>
      <c r="F100" s="2">
        <v>5</v>
      </c>
      <c r="G100" s="2">
        <v>5</v>
      </c>
      <c r="H100" s="2">
        <v>5</v>
      </c>
      <c r="I100" s="2">
        <v>5</v>
      </c>
      <c r="J100" s="2">
        <v>5</v>
      </c>
      <c r="K100" s="2">
        <v>5</v>
      </c>
      <c r="L100" s="2">
        <v>5</v>
      </c>
      <c r="M100" s="27">
        <v>5</v>
      </c>
      <c r="N100" s="26">
        <f t="shared" ref="N100:N101" si="38">MIN(D100:M100)</f>
        <v>5</v>
      </c>
      <c r="O100" s="2">
        <f t="shared" ref="O100:O101" si="39">C100-N100</f>
        <v>0</v>
      </c>
      <c r="P100" s="24">
        <f t="shared" ref="P100:P101" si="40">O100/C100</f>
        <v>0</v>
      </c>
    </row>
    <row r="101" spans="1:16" ht="11.25" customHeight="1">
      <c r="A101" s="18"/>
      <c r="B101" s="18" t="s">
        <v>268</v>
      </c>
      <c r="C101" s="18">
        <v>1</v>
      </c>
      <c r="D101" s="26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7">
        <v>1</v>
      </c>
      <c r="N101" s="26">
        <f t="shared" si="38"/>
        <v>1</v>
      </c>
      <c r="O101" s="2">
        <f t="shared" si="39"/>
        <v>0</v>
      </c>
      <c r="P101" s="24">
        <f t="shared" si="40"/>
        <v>0</v>
      </c>
    </row>
    <row r="102" spans="1:16" ht="11.25" customHeight="1">
      <c r="A102" s="18"/>
      <c r="B102" s="18" t="s">
        <v>36</v>
      </c>
      <c r="C102" s="18"/>
      <c r="D102" s="26"/>
      <c r="E102" s="2"/>
      <c r="F102" s="2"/>
      <c r="G102" s="2"/>
      <c r="H102" s="2"/>
      <c r="I102" s="2"/>
      <c r="J102" s="2"/>
      <c r="K102" s="2"/>
      <c r="L102" s="2"/>
      <c r="M102" s="27"/>
      <c r="N102" s="26"/>
      <c r="O102" s="2"/>
      <c r="P102" s="24"/>
    </row>
    <row r="103" spans="1:16" ht="11.25" customHeight="1">
      <c r="A103" s="18"/>
      <c r="B103" s="18" t="s">
        <v>37</v>
      </c>
      <c r="C103" s="18"/>
      <c r="D103" s="26"/>
      <c r="E103" s="2"/>
      <c r="F103" s="2"/>
      <c r="G103" s="2"/>
      <c r="H103" s="2"/>
      <c r="I103" s="2"/>
      <c r="J103" s="2"/>
      <c r="K103" s="2"/>
      <c r="L103" s="2"/>
      <c r="M103" s="27"/>
      <c r="N103" s="26"/>
      <c r="O103" s="2"/>
      <c r="P103" s="24"/>
    </row>
    <row r="104" spans="1:16" ht="11.25" customHeight="1">
      <c r="A104" s="32"/>
      <c r="B104" s="33" t="s">
        <v>38</v>
      </c>
      <c r="C104" s="33">
        <f t="shared" ref="C104:M104" si="41">SUM(C88:C103)</f>
        <v>267</v>
      </c>
      <c r="D104" s="70">
        <f t="shared" si="41"/>
        <v>265</v>
      </c>
      <c r="E104" s="71">
        <f t="shared" si="41"/>
        <v>266</v>
      </c>
      <c r="F104" s="71">
        <f t="shared" si="41"/>
        <v>265</v>
      </c>
      <c r="G104" s="71">
        <f t="shared" si="41"/>
        <v>263</v>
      </c>
      <c r="H104" s="71">
        <f t="shared" si="41"/>
        <v>264</v>
      </c>
      <c r="I104" s="71">
        <f t="shared" si="41"/>
        <v>264</v>
      </c>
      <c r="J104" s="71">
        <f t="shared" si="41"/>
        <v>264</v>
      </c>
      <c r="K104" s="71">
        <f t="shared" si="41"/>
        <v>264</v>
      </c>
      <c r="L104" s="71">
        <f t="shared" si="41"/>
        <v>264</v>
      </c>
      <c r="M104" s="93">
        <f t="shared" si="41"/>
        <v>265</v>
      </c>
      <c r="N104" s="70">
        <f>MIN(D104:M104)</f>
        <v>263</v>
      </c>
      <c r="O104" s="71">
        <f>C104-N104</f>
        <v>4</v>
      </c>
      <c r="P104" s="40">
        <f>O104/C104</f>
        <v>1.4981273408239701E-2</v>
      </c>
    </row>
    <row r="105" spans="1:16" ht="15.75" customHeight="1"/>
    <row r="106" spans="1:16" ht="15.75" customHeight="1"/>
    <row r="107" spans="1:16" ht="15.75" customHeight="1"/>
    <row r="108" spans="1:16" ht="15.75" customHeight="1"/>
    <row r="109" spans="1:16" ht="15.75" customHeight="1"/>
    <row r="110" spans="1:16" ht="15.75" customHeight="1"/>
    <row r="111" spans="1:16" ht="15.75" customHeight="1"/>
    <row r="112" spans="1:1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9:P19"/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3" manualBreakCount="3">
    <brk id="17" man="1"/>
    <brk id="53" man="1"/>
    <brk id="8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4"/>
  <sheetViews>
    <sheetView showGridLines="0" workbookViewId="0">
      <pane ySplit="6" topLeftCell="A7" activePane="bottomLeft" state="frozen"/>
      <selection pane="bottomLeft" activeCell="A2" sqref="A2:L2"/>
    </sheetView>
  </sheetViews>
  <sheetFormatPr defaultColWidth="14.453125" defaultRowHeight="15" customHeight="1"/>
  <cols>
    <col min="1" max="2" width="12.453125" customWidth="1"/>
    <col min="3" max="12" width="6.7265625" customWidth="1"/>
    <col min="13" max="13" width="9.7265625" customWidth="1"/>
    <col min="14" max="16" width="8" customWidth="1"/>
  </cols>
  <sheetData>
    <row r="1" spans="1:16" ht="14.25" customHeight="1">
      <c r="A1" s="349" t="s">
        <v>39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"/>
      <c r="N1" s="2"/>
      <c r="O1" s="2"/>
      <c r="P1" s="2"/>
    </row>
    <row r="2" spans="1:16" ht="14.25" customHeight="1">
      <c r="A2" s="349" t="s">
        <v>452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2"/>
      <c r="N2" s="2"/>
      <c r="O2" s="2"/>
      <c r="P2" s="2"/>
    </row>
    <row r="3" spans="1:16" ht="11.25" customHeight="1">
      <c r="A3" s="357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2"/>
      <c r="N3" s="2"/>
      <c r="O3" s="2"/>
      <c r="P3" s="2"/>
    </row>
    <row r="4" spans="1:16" ht="11.25" customHeight="1">
      <c r="A4" s="3" t="s">
        <v>97</v>
      </c>
      <c r="B4" s="3" t="s">
        <v>2</v>
      </c>
      <c r="C4" s="352" t="s">
        <v>452</v>
      </c>
      <c r="D4" s="353"/>
      <c r="E4" s="353"/>
      <c r="F4" s="353"/>
      <c r="G4" s="353"/>
      <c r="H4" s="353"/>
      <c r="I4" s="353"/>
      <c r="J4" s="353"/>
      <c r="K4" s="353"/>
      <c r="L4" s="354"/>
      <c r="M4" s="2"/>
      <c r="N4" s="2"/>
      <c r="O4" s="2"/>
      <c r="P4" s="2"/>
    </row>
    <row r="5" spans="1:16" ht="11.25" customHeight="1">
      <c r="A5" s="4"/>
      <c r="B5" s="4" t="s">
        <v>5</v>
      </c>
      <c r="C5" s="8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10" t="s">
        <v>16</v>
      </c>
      <c r="M5" s="2"/>
      <c r="N5" s="2"/>
      <c r="O5" s="2"/>
      <c r="P5" s="2"/>
    </row>
    <row r="6" spans="1:16" ht="11.25" customHeight="1">
      <c r="A6" s="11"/>
      <c r="B6" s="11"/>
      <c r="C6" s="8" t="s">
        <v>20</v>
      </c>
      <c r="D6" s="9" t="s">
        <v>20</v>
      </c>
      <c r="E6" s="9" t="s">
        <v>20</v>
      </c>
      <c r="F6" s="9" t="s">
        <v>20</v>
      </c>
      <c r="G6" s="9" t="s">
        <v>21</v>
      </c>
      <c r="H6" s="9" t="s">
        <v>21</v>
      </c>
      <c r="I6" s="9" t="s">
        <v>21</v>
      </c>
      <c r="J6" s="9" t="s">
        <v>21</v>
      </c>
      <c r="K6" s="9" t="s">
        <v>21</v>
      </c>
      <c r="L6" s="10" t="s">
        <v>21</v>
      </c>
      <c r="M6" s="2"/>
      <c r="N6" s="2"/>
      <c r="O6" s="2"/>
      <c r="P6" s="2"/>
    </row>
    <row r="7" spans="1:16" ht="11.25" customHeight="1">
      <c r="A7" s="250" t="s">
        <v>453</v>
      </c>
      <c r="B7" s="251" t="s">
        <v>454</v>
      </c>
      <c r="C7" s="252">
        <v>82</v>
      </c>
      <c r="D7" s="253">
        <v>82</v>
      </c>
      <c r="E7" s="253">
        <v>82</v>
      </c>
      <c r="F7" s="253">
        <v>82</v>
      </c>
      <c r="G7" s="253">
        <v>82</v>
      </c>
      <c r="H7" s="253">
        <v>82</v>
      </c>
      <c r="I7" s="253">
        <v>82</v>
      </c>
      <c r="J7" s="253">
        <v>82</v>
      </c>
      <c r="K7" s="253">
        <v>82</v>
      </c>
      <c r="L7" s="254">
        <v>82</v>
      </c>
      <c r="M7" s="2"/>
      <c r="N7" s="2"/>
      <c r="O7" s="2"/>
      <c r="P7" s="2"/>
    </row>
    <row r="8" spans="1:16" ht="11.25" customHeight="1">
      <c r="A8" s="250" t="s">
        <v>113</v>
      </c>
      <c r="B8" s="250" t="s">
        <v>455</v>
      </c>
      <c r="C8" s="255">
        <v>14</v>
      </c>
      <c r="D8" s="256">
        <v>14</v>
      </c>
      <c r="E8" s="256">
        <v>14</v>
      </c>
      <c r="F8" s="256">
        <v>14</v>
      </c>
      <c r="G8" s="256">
        <v>14</v>
      </c>
      <c r="H8" s="256">
        <v>14</v>
      </c>
      <c r="I8" s="256">
        <v>14</v>
      </c>
      <c r="J8" s="256">
        <v>14</v>
      </c>
      <c r="K8" s="256">
        <v>14</v>
      </c>
      <c r="L8" s="257">
        <v>14</v>
      </c>
      <c r="M8" s="2"/>
      <c r="N8" s="2"/>
      <c r="O8" s="2"/>
      <c r="P8" s="2"/>
    </row>
    <row r="9" spans="1:16" ht="11.25" customHeight="1">
      <c r="A9" s="250" t="s">
        <v>132</v>
      </c>
      <c r="B9" s="258" t="s">
        <v>65</v>
      </c>
      <c r="C9" s="259">
        <v>269</v>
      </c>
      <c r="D9" s="260">
        <v>269</v>
      </c>
      <c r="E9" s="260">
        <v>269</v>
      </c>
      <c r="F9" s="260">
        <v>269</v>
      </c>
      <c r="G9" s="260">
        <v>269</v>
      </c>
      <c r="H9" s="260">
        <v>269</v>
      </c>
      <c r="I9" s="260">
        <v>269</v>
      </c>
      <c r="J9" s="260">
        <v>269</v>
      </c>
      <c r="K9" s="260">
        <v>269</v>
      </c>
      <c r="L9" s="261">
        <v>269</v>
      </c>
      <c r="M9" s="2"/>
      <c r="N9" s="2"/>
      <c r="O9" s="2"/>
      <c r="P9" s="2"/>
    </row>
    <row r="10" spans="1:16" ht="11.25" customHeight="1">
      <c r="A10" s="250" t="s">
        <v>143</v>
      </c>
      <c r="B10" s="258" t="s">
        <v>31</v>
      </c>
      <c r="C10" s="259">
        <v>12</v>
      </c>
      <c r="D10" s="260">
        <v>12</v>
      </c>
      <c r="E10" s="260">
        <v>12</v>
      </c>
      <c r="F10" s="260">
        <v>12</v>
      </c>
      <c r="G10" s="260">
        <v>12</v>
      </c>
      <c r="H10" s="260">
        <v>12</v>
      </c>
      <c r="I10" s="260">
        <v>12</v>
      </c>
      <c r="J10" s="260">
        <v>12</v>
      </c>
      <c r="K10" s="260">
        <v>12</v>
      </c>
      <c r="L10" s="261">
        <v>12</v>
      </c>
      <c r="M10" s="2"/>
      <c r="N10" s="2"/>
      <c r="O10" s="2"/>
      <c r="P10" s="2"/>
    </row>
    <row r="11" spans="1:16" ht="11.25" customHeight="1">
      <c r="A11" s="250" t="s">
        <v>158</v>
      </c>
      <c r="B11" s="258" t="s">
        <v>454</v>
      </c>
      <c r="C11" s="259">
        <v>14</v>
      </c>
      <c r="D11" s="260">
        <v>14</v>
      </c>
      <c r="E11" s="260">
        <v>14</v>
      </c>
      <c r="F11" s="260">
        <v>14</v>
      </c>
      <c r="G11" s="260">
        <v>14</v>
      </c>
      <c r="H11" s="260">
        <v>14</v>
      </c>
      <c r="I11" s="260">
        <v>14</v>
      </c>
      <c r="J11" s="260">
        <v>14</v>
      </c>
      <c r="K11" s="260">
        <v>14</v>
      </c>
      <c r="L11" s="261">
        <v>14</v>
      </c>
      <c r="M11" s="2"/>
      <c r="N11" s="2"/>
      <c r="O11" s="2"/>
      <c r="P11" s="2"/>
    </row>
    <row r="12" spans="1:16" ht="11.25" customHeight="1">
      <c r="A12" s="250" t="s">
        <v>456</v>
      </c>
      <c r="B12" s="258" t="s">
        <v>454</v>
      </c>
      <c r="C12" s="259">
        <v>243</v>
      </c>
      <c r="D12" s="260">
        <v>243</v>
      </c>
      <c r="E12" s="260">
        <v>243</v>
      </c>
      <c r="F12" s="260">
        <v>243</v>
      </c>
      <c r="G12" s="260">
        <v>243</v>
      </c>
      <c r="H12" s="260">
        <v>243</v>
      </c>
      <c r="I12" s="260">
        <v>243</v>
      </c>
      <c r="J12" s="260">
        <v>243</v>
      </c>
      <c r="K12" s="260">
        <v>243</v>
      </c>
      <c r="L12" s="261">
        <v>243</v>
      </c>
      <c r="M12" s="2"/>
      <c r="N12" s="2"/>
      <c r="O12" s="2"/>
      <c r="P12" s="2"/>
    </row>
    <row r="13" spans="1:16" ht="11.25" customHeight="1">
      <c r="A13" s="250" t="s">
        <v>402</v>
      </c>
      <c r="B13" s="250" t="s">
        <v>454</v>
      </c>
      <c r="C13" s="262">
        <v>16</v>
      </c>
      <c r="D13" s="263">
        <v>16</v>
      </c>
      <c r="E13" s="263">
        <v>16</v>
      </c>
      <c r="F13" s="263">
        <v>16</v>
      </c>
      <c r="G13" s="263">
        <v>16</v>
      </c>
      <c r="H13" s="263">
        <v>16</v>
      </c>
      <c r="I13" s="263">
        <v>16</v>
      </c>
      <c r="J13" s="263">
        <v>16</v>
      </c>
      <c r="K13" s="263">
        <v>16</v>
      </c>
      <c r="L13" s="264">
        <v>16</v>
      </c>
      <c r="M13" s="2"/>
      <c r="N13" s="2"/>
      <c r="O13" s="2"/>
      <c r="P13" s="2"/>
    </row>
    <row r="14" spans="1:16" ht="11.25" customHeight="1">
      <c r="A14" s="250" t="s">
        <v>419</v>
      </c>
      <c r="B14" s="265" t="s">
        <v>454</v>
      </c>
      <c r="C14" s="259">
        <v>105</v>
      </c>
      <c r="D14" s="260">
        <v>105</v>
      </c>
      <c r="E14" s="260">
        <v>105</v>
      </c>
      <c r="F14" s="260">
        <v>105</v>
      </c>
      <c r="G14" s="260">
        <v>105</v>
      </c>
      <c r="H14" s="260">
        <v>105</v>
      </c>
      <c r="I14" s="260">
        <v>105</v>
      </c>
      <c r="J14" s="260">
        <v>105</v>
      </c>
      <c r="K14" s="260">
        <v>105</v>
      </c>
      <c r="L14" s="261">
        <v>105</v>
      </c>
      <c r="M14" s="2"/>
      <c r="N14" s="2"/>
      <c r="O14" s="2"/>
      <c r="P14" s="2"/>
    </row>
    <row r="15" spans="1:16" ht="11.25" customHeight="1">
      <c r="A15" s="250" t="s">
        <v>423</v>
      </c>
      <c r="B15" s="265" t="s">
        <v>454</v>
      </c>
      <c r="C15" s="259">
        <v>7</v>
      </c>
      <c r="D15" s="260">
        <v>7</v>
      </c>
      <c r="E15" s="260">
        <v>7</v>
      </c>
      <c r="F15" s="260">
        <v>7</v>
      </c>
      <c r="G15" s="260">
        <v>7</v>
      </c>
      <c r="H15" s="260">
        <v>7</v>
      </c>
      <c r="I15" s="260">
        <v>7</v>
      </c>
      <c r="J15" s="260">
        <v>7</v>
      </c>
      <c r="K15" s="260">
        <v>7</v>
      </c>
      <c r="L15" s="261">
        <v>7</v>
      </c>
      <c r="M15" s="2"/>
      <c r="N15" s="2"/>
      <c r="O15" s="2"/>
      <c r="P15" s="2"/>
    </row>
    <row r="16" spans="1:16" ht="11.25" customHeight="1">
      <c r="A16" s="266"/>
      <c r="B16" s="267"/>
      <c r="C16" s="268"/>
      <c r="D16" s="269"/>
      <c r="E16" s="269"/>
      <c r="F16" s="269"/>
      <c r="G16" s="269"/>
      <c r="H16" s="269"/>
      <c r="I16" s="269"/>
      <c r="J16" s="269"/>
      <c r="K16" s="269"/>
      <c r="L16" s="270"/>
      <c r="M16" s="2"/>
      <c r="N16" s="2"/>
      <c r="O16" s="2"/>
      <c r="P16" s="2"/>
    </row>
    <row r="17" spans="1:16" ht="11.25" customHeight="1">
      <c r="A17" s="266"/>
      <c r="B17" s="267"/>
      <c r="C17" s="268"/>
      <c r="D17" s="269"/>
      <c r="E17" s="269"/>
      <c r="F17" s="269"/>
      <c r="G17" s="269"/>
      <c r="H17" s="269"/>
      <c r="I17" s="269"/>
      <c r="J17" s="269"/>
      <c r="K17" s="269"/>
      <c r="L17" s="270"/>
      <c r="M17" s="2"/>
      <c r="N17" s="2"/>
      <c r="O17" s="2"/>
      <c r="P17" s="2"/>
    </row>
    <row r="18" spans="1:16" ht="11.25" customHeight="1">
      <c r="A18" s="266"/>
      <c r="B18" s="271"/>
      <c r="C18" s="259"/>
      <c r="D18" s="260"/>
      <c r="E18" s="260"/>
      <c r="F18" s="260"/>
      <c r="G18" s="260"/>
      <c r="H18" s="260"/>
      <c r="I18" s="260"/>
      <c r="J18" s="260"/>
      <c r="K18" s="260"/>
      <c r="L18" s="261"/>
      <c r="M18" s="2"/>
      <c r="N18" s="2"/>
      <c r="O18" s="2"/>
      <c r="P18" s="2"/>
    </row>
    <row r="19" spans="1:16" ht="11.25" customHeight="1">
      <c r="A19" s="250"/>
      <c r="B19" s="260"/>
      <c r="C19" s="259"/>
      <c r="D19" s="260"/>
      <c r="E19" s="260"/>
      <c r="F19" s="260"/>
      <c r="G19" s="260"/>
      <c r="H19" s="260"/>
      <c r="I19" s="260"/>
      <c r="J19" s="260"/>
      <c r="K19" s="260"/>
      <c r="L19" s="261"/>
      <c r="M19" s="2"/>
      <c r="N19" s="2"/>
      <c r="O19" s="2"/>
      <c r="P19" s="2"/>
    </row>
    <row r="20" spans="1:16" ht="11.25" customHeight="1">
      <c r="A20" s="272"/>
      <c r="B20" s="269"/>
      <c r="C20" s="268"/>
      <c r="D20" s="269"/>
      <c r="E20" s="269"/>
      <c r="F20" s="269"/>
      <c r="G20" s="269"/>
      <c r="H20" s="269"/>
      <c r="I20" s="269"/>
      <c r="J20" s="269"/>
      <c r="K20" s="269"/>
      <c r="L20" s="270"/>
      <c r="M20" s="2"/>
      <c r="N20" s="2"/>
      <c r="O20" s="2"/>
      <c r="P20" s="2"/>
    </row>
    <row r="21" spans="1:16" ht="11.25" customHeight="1">
      <c r="A21" s="359" t="s">
        <v>38</v>
      </c>
      <c r="B21" s="358"/>
      <c r="C21" s="273">
        <f>SUM(C7:C19)</f>
        <v>762</v>
      </c>
      <c r="D21" s="274">
        <f t="shared" ref="D21:L21" si="0">SUM(D7:D18)</f>
        <v>762</v>
      </c>
      <c r="E21" s="274">
        <f t="shared" si="0"/>
        <v>762</v>
      </c>
      <c r="F21" s="274">
        <f t="shared" si="0"/>
        <v>762</v>
      </c>
      <c r="G21" s="274">
        <f t="shared" si="0"/>
        <v>762</v>
      </c>
      <c r="H21" s="274">
        <f t="shared" si="0"/>
        <v>762</v>
      </c>
      <c r="I21" s="274">
        <f t="shared" si="0"/>
        <v>762</v>
      </c>
      <c r="J21" s="274">
        <f t="shared" si="0"/>
        <v>762</v>
      </c>
      <c r="K21" s="274">
        <f t="shared" si="0"/>
        <v>762</v>
      </c>
      <c r="L21" s="275">
        <f t="shared" si="0"/>
        <v>762</v>
      </c>
      <c r="M21" s="2"/>
      <c r="N21" s="2"/>
      <c r="O21" s="2"/>
      <c r="P21" s="2"/>
    </row>
    <row r="22" spans="1:16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2.5" customHeight="1">
      <c r="A23" s="356" t="s">
        <v>457</v>
      </c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2"/>
      <c r="N23" s="2"/>
      <c r="O23" s="2"/>
      <c r="P23" s="2"/>
    </row>
    <row r="24" spans="1:1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">
    <mergeCell ref="A23:L23"/>
    <mergeCell ref="A1:L1"/>
    <mergeCell ref="A2:L2"/>
    <mergeCell ref="A3:L3"/>
    <mergeCell ref="C4:L4"/>
    <mergeCell ref="A21:B21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showGridLines="0" workbookViewId="0">
      <selection activeCell="A2" sqref="A2:B2"/>
    </sheetView>
  </sheetViews>
  <sheetFormatPr defaultColWidth="14.453125" defaultRowHeight="15" customHeight="1"/>
  <cols>
    <col min="1" max="1" width="11.08984375" customWidth="1"/>
    <col min="2" max="2" width="77.7265625" customWidth="1"/>
    <col min="3" max="3" width="9.7265625" customWidth="1"/>
    <col min="4" max="6" width="10.81640625" customWidth="1"/>
    <col min="7" max="22" width="8" customWidth="1"/>
  </cols>
  <sheetData>
    <row r="1" spans="1:22" ht="14.25" customHeight="1">
      <c r="A1" s="349" t="s">
        <v>39</v>
      </c>
      <c r="B1" s="350"/>
      <c r="C1" s="27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4.25" customHeight="1">
      <c r="A2" s="349" t="s">
        <v>458</v>
      </c>
      <c r="B2" s="350"/>
      <c r="C2" s="27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1.25" customHeight="1">
      <c r="A3" s="356"/>
      <c r="B3" s="350"/>
      <c r="C3" s="27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1.25" customHeight="1">
      <c r="A4" s="3" t="s">
        <v>459</v>
      </c>
      <c r="B4" s="3" t="s">
        <v>31</v>
      </c>
      <c r="C4" s="27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1.25" customHeight="1">
      <c r="A5" s="4"/>
      <c r="B5" s="4" t="s">
        <v>2</v>
      </c>
      <c r="C5" s="27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1.25" customHeight="1">
      <c r="A6" s="11"/>
      <c r="B6" s="11" t="s">
        <v>5</v>
      </c>
      <c r="C6" s="27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1.25" customHeight="1">
      <c r="A7" s="18" t="s">
        <v>460</v>
      </c>
      <c r="B7" s="18" t="s">
        <v>460</v>
      </c>
      <c r="C7" s="27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1.25" customHeight="1">
      <c r="A8" s="18" t="s">
        <v>461</v>
      </c>
      <c r="B8" s="18" t="s">
        <v>462</v>
      </c>
      <c r="C8" s="27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1.25" customHeight="1">
      <c r="A9" s="18" t="s">
        <v>463</v>
      </c>
      <c r="B9" s="18" t="s">
        <v>464</v>
      </c>
      <c r="C9" s="27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1.25" customHeight="1">
      <c r="A10" s="42" t="s">
        <v>465</v>
      </c>
      <c r="B10" s="32" t="s">
        <v>466</v>
      </c>
      <c r="C10" s="27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1.25" customHeight="1">
      <c r="A11" s="2"/>
      <c r="B11" s="2"/>
      <c r="C11" s="27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1.25" customHeight="1">
      <c r="A12" s="2"/>
      <c r="B12" s="2"/>
      <c r="C12" s="27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1.25" customHeight="1">
      <c r="A13" s="2"/>
      <c r="B13" s="2"/>
      <c r="C13" s="27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1.25" customHeight="1">
      <c r="A14" s="2"/>
      <c r="B14" s="2"/>
      <c r="C14" s="27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1.25" customHeight="1">
      <c r="A15" s="2"/>
      <c r="B15" s="2"/>
      <c r="C15" s="27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1.25" customHeight="1">
      <c r="A16" s="2"/>
      <c r="B16" s="2"/>
      <c r="C16" s="27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1.25" customHeight="1">
      <c r="A17" s="2"/>
      <c r="B17" s="2"/>
      <c r="C17" s="27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1.25" customHeight="1">
      <c r="A18" s="2"/>
      <c r="B18" s="2"/>
      <c r="C18" s="27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1.25" customHeight="1">
      <c r="A19" s="2"/>
      <c r="B19" s="2"/>
      <c r="C19" s="27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1.25" customHeight="1">
      <c r="A20" s="2"/>
      <c r="B20" s="2"/>
      <c r="C20" s="27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1.25" customHeight="1">
      <c r="A21" s="2"/>
      <c r="B21" s="2"/>
      <c r="C21" s="27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1.25" customHeight="1">
      <c r="A22" s="2"/>
      <c r="B22" s="2"/>
      <c r="C22" s="27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1.25" customHeight="1">
      <c r="A23" s="2"/>
      <c r="B23" s="2"/>
      <c r="C23" s="27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1.25" customHeight="1">
      <c r="A24" s="2"/>
      <c r="B24" s="2"/>
      <c r="C24" s="27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1.25" customHeight="1">
      <c r="A25" s="2"/>
      <c r="B25" s="2"/>
      <c r="C25" s="27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1.25" customHeight="1">
      <c r="A26" s="2"/>
      <c r="B26" s="2"/>
      <c r="C26" s="27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1.25" customHeight="1">
      <c r="A27" s="2"/>
      <c r="B27" s="2"/>
      <c r="C27" s="27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1.25" customHeight="1">
      <c r="A28" s="2"/>
      <c r="B28" s="2"/>
      <c r="C28" s="27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1.25" customHeight="1">
      <c r="A29" s="2"/>
      <c r="B29" s="2"/>
      <c r="C29" s="27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1.25" customHeight="1">
      <c r="A30" s="2"/>
      <c r="B30" s="2"/>
      <c r="C30" s="27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1.25" customHeight="1">
      <c r="A31" s="2"/>
      <c r="B31" s="2"/>
      <c r="C31" s="27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1.25" customHeight="1">
      <c r="A32" s="2"/>
      <c r="B32" s="2"/>
      <c r="C32" s="27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1.25" customHeight="1">
      <c r="A33" s="2"/>
      <c r="B33" s="2"/>
      <c r="C33" s="27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1.25" customHeight="1">
      <c r="A34" s="2"/>
      <c r="B34" s="2"/>
      <c r="C34" s="27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1.25" customHeight="1">
      <c r="A35" s="2"/>
      <c r="B35" s="2"/>
      <c r="C35" s="27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>
      <c r="A36" s="2"/>
      <c r="B36" s="2"/>
      <c r="C36" s="27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1.25" customHeight="1">
      <c r="A37" s="2"/>
      <c r="B37" s="2"/>
      <c r="C37" s="27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1.25" customHeight="1">
      <c r="A38" s="2"/>
      <c r="B38" s="2"/>
      <c r="C38" s="27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1.25" customHeight="1">
      <c r="A39" s="2"/>
      <c r="B39" s="2"/>
      <c r="C39" s="27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1.25" customHeight="1">
      <c r="A40" s="2"/>
      <c r="B40" s="2"/>
      <c r="C40" s="27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1.25" customHeight="1">
      <c r="A41" s="2"/>
      <c r="B41" s="2"/>
      <c r="C41" s="276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1.25" customHeight="1">
      <c r="A42" s="2"/>
      <c r="B42" s="2"/>
      <c r="C42" s="276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1.25" customHeight="1">
      <c r="A43" s="2"/>
      <c r="B43" s="2"/>
      <c r="C43" s="276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1.25" customHeight="1">
      <c r="A44" s="2"/>
      <c r="B44" s="2"/>
      <c r="C44" s="27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1.25" customHeight="1">
      <c r="A45" s="2"/>
      <c r="B45" s="2"/>
      <c r="C45" s="276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1.25" customHeight="1">
      <c r="A46" s="2"/>
      <c r="B46" s="2"/>
      <c r="C46" s="27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1.25" customHeight="1">
      <c r="A47" s="2"/>
      <c r="B47" s="2"/>
      <c r="C47" s="276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1.25" customHeight="1">
      <c r="A48" s="2"/>
      <c r="B48" s="2"/>
      <c r="C48" s="27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1.25" customHeight="1">
      <c r="A49" s="2"/>
      <c r="B49" s="2"/>
      <c r="C49" s="276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1.25" customHeight="1">
      <c r="A50" s="2"/>
      <c r="B50" s="2"/>
      <c r="C50" s="27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1.25" customHeight="1">
      <c r="A51" s="2"/>
      <c r="B51" s="2"/>
      <c r="C51" s="27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1.25" customHeight="1">
      <c r="A52" s="2"/>
      <c r="B52" s="2"/>
      <c r="C52" s="27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1.25" customHeight="1">
      <c r="A53" s="2"/>
      <c r="B53" s="2"/>
      <c r="C53" s="27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1.25" customHeight="1">
      <c r="A54" s="2"/>
      <c r="B54" s="2"/>
      <c r="C54" s="276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1.25" customHeight="1">
      <c r="A55" s="2"/>
      <c r="B55" s="2"/>
      <c r="C55" s="27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1.25" customHeight="1">
      <c r="A56" s="2"/>
      <c r="B56" s="2"/>
      <c r="C56" s="276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1.25" customHeight="1">
      <c r="A57" s="2"/>
      <c r="B57" s="2"/>
      <c r="C57" s="27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1.25" customHeight="1">
      <c r="A58" s="2"/>
      <c r="B58" s="2"/>
      <c r="C58" s="27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1.25" customHeight="1">
      <c r="A59" s="2"/>
      <c r="B59" s="2"/>
      <c r="C59" s="27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1.25" customHeight="1">
      <c r="A60" s="2"/>
      <c r="B60" s="2"/>
      <c r="C60" s="27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1.25" customHeight="1">
      <c r="A61" s="2"/>
      <c r="B61" s="2"/>
      <c r="C61" s="27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>
      <c r="A62" s="2"/>
      <c r="B62" s="2"/>
      <c r="C62" s="27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1.25" customHeight="1">
      <c r="A63" s="2"/>
      <c r="B63" s="2"/>
      <c r="C63" s="27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1.25" customHeight="1">
      <c r="A64" s="2"/>
      <c r="B64" s="2"/>
      <c r="C64" s="27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1.25" customHeight="1">
      <c r="A65" s="2"/>
      <c r="B65" s="2"/>
      <c r="C65" s="27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1.25" customHeight="1">
      <c r="A66" s="2"/>
      <c r="B66" s="2"/>
      <c r="C66" s="27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1.25" customHeight="1">
      <c r="A67" s="2"/>
      <c r="B67" s="2"/>
      <c r="C67" s="27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1.25" customHeight="1">
      <c r="A68" s="2"/>
      <c r="B68" s="2"/>
      <c r="C68" s="27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1.25" customHeight="1">
      <c r="A69" s="2"/>
      <c r="B69" s="2"/>
      <c r="C69" s="27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1.25" customHeight="1">
      <c r="A70" s="2"/>
      <c r="B70" s="2"/>
      <c r="C70" s="27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1.25" customHeight="1">
      <c r="A71" s="2"/>
      <c r="B71" s="2"/>
      <c r="C71" s="27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1.25" customHeight="1">
      <c r="A72" s="2"/>
      <c r="B72" s="2"/>
      <c r="C72" s="27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1.25" customHeight="1">
      <c r="A73" s="2"/>
      <c r="B73" s="2"/>
      <c r="C73" s="27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1.25" customHeight="1">
      <c r="A74" s="2"/>
      <c r="B74" s="2"/>
      <c r="C74" s="27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1.25" customHeight="1">
      <c r="A75" s="2"/>
      <c r="B75" s="2"/>
      <c r="C75" s="27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1.25" customHeight="1">
      <c r="A76" s="2"/>
      <c r="B76" s="2"/>
      <c r="C76" s="27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1.25" customHeight="1">
      <c r="A77" s="2"/>
      <c r="B77" s="2"/>
      <c r="C77" s="27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1.25" customHeight="1">
      <c r="A78" s="2"/>
      <c r="B78" s="2"/>
      <c r="C78" s="27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1.25" customHeight="1">
      <c r="A79" s="2"/>
      <c r="B79" s="2"/>
      <c r="C79" s="27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1.25" customHeight="1">
      <c r="A80" s="2"/>
      <c r="B80" s="2"/>
      <c r="C80" s="27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1.25" customHeight="1">
      <c r="A81" s="2"/>
      <c r="B81" s="2"/>
      <c r="C81" s="27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1.25" customHeight="1">
      <c r="A82" s="2"/>
      <c r="B82" s="2"/>
      <c r="C82" s="27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1.25" customHeight="1">
      <c r="A83" s="2"/>
      <c r="B83" s="2"/>
      <c r="C83" s="27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1.25" customHeight="1">
      <c r="A84" s="2"/>
      <c r="B84" s="2"/>
      <c r="C84" s="27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1.25" customHeight="1">
      <c r="A85" s="2"/>
      <c r="B85" s="2"/>
      <c r="C85" s="27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1.25" customHeight="1">
      <c r="A86" s="2"/>
      <c r="B86" s="2"/>
      <c r="C86" s="27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1.25" customHeight="1">
      <c r="A87" s="2"/>
      <c r="B87" s="2"/>
      <c r="C87" s="27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1.25" customHeight="1">
      <c r="A88" s="2"/>
      <c r="B88" s="2"/>
      <c r="C88" s="27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1.25" customHeight="1">
      <c r="A89" s="2"/>
      <c r="B89" s="2"/>
      <c r="C89" s="27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1.25" customHeight="1">
      <c r="A90" s="2"/>
      <c r="B90" s="2"/>
      <c r="C90" s="27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1.25" customHeight="1">
      <c r="A91" s="2"/>
      <c r="B91" s="2"/>
      <c r="C91" s="27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1.25" customHeight="1">
      <c r="A92" s="2"/>
      <c r="B92" s="2"/>
      <c r="C92" s="27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1.25" customHeight="1">
      <c r="A93" s="2"/>
      <c r="B93" s="2"/>
      <c r="C93" s="27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1.25" customHeight="1">
      <c r="A94" s="2"/>
      <c r="B94" s="2"/>
      <c r="C94" s="27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1.25" customHeight="1">
      <c r="A95" s="2"/>
      <c r="B95" s="2"/>
      <c r="C95" s="27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1.25" customHeight="1">
      <c r="A96" s="2"/>
      <c r="B96" s="2"/>
      <c r="C96" s="27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1.25" customHeight="1">
      <c r="A97" s="2"/>
      <c r="B97" s="2"/>
      <c r="C97" s="27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1.25" customHeight="1">
      <c r="A98" s="2"/>
      <c r="B98" s="2"/>
      <c r="C98" s="27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1.25" customHeight="1">
      <c r="A99" s="2"/>
      <c r="B99" s="2"/>
      <c r="C99" s="27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1.25" customHeight="1">
      <c r="A100" s="2"/>
      <c r="B100" s="2"/>
      <c r="C100" s="27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1.25" customHeight="1">
      <c r="A101" s="2"/>
      <c r="B101" s="2"/>
      <c r="C101" s="27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1.25" customHeight="1">
      <c r="A102" s="2"/>
      <c r="B102" s="2"/>
      <c r="C102" s="27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1.25" customHeight="1">
      <c r="A103" s="2"/>
      <c r="B103" s="2"/>
      <c r="C103" s="27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1.25" customHeight="1">
      <c r="A104" s="2"/>
      <c r="B104" s="2"/>
      <c r="C104" s="27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1.25" customHeight="1">
      <c r="A105" s="2"/>
      <c r="B105" s="2"/>
      <c r="C105" s="27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1.25" customHeight="1">
      <c r="A106" s="2"/>
      <c r="B106" s="2"/>
      <c r="C106" s="27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1.25" customHeight="1">
      <c r="A107" s="2"/>
      <c r="B107" s="2"/>
      <c r="C107" s="27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1.25" customHeight="1">
      <c r="A108" s="2"/>
      <c r="B108" s="2"/>
      <c r="C108" s="27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1.25" customHeight="1">
      <c r="A109" s="2"/>
      <c r="B109" s="2"/>
      <c r="C109" s="27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1.25" customHeight="1">
      <c r="A110" s="2"/>
      <c r="B110" s="2"/>
      <c r="C110" s="27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1.25" customHeight="1">
      <c r="A111" s="2"/>
      <c r="B111" s="2"/>
      <c r="C111" s="27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1.25" customHeight="1">
      <c r="A112" s="2"/>
      <c r="B112" s="2"/>
      <c r="C112" s="27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1.25" customHeight="1">
      <c r="A113" s="2"/>
      <c r="B113" s="2"/>
      <c r="C113" s="27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1.25" customHeight="1">
      <c r="A114" s="2"/>
      <c r="B114" s="2"/>
      <c r="C114" s="27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1.25" customHeight="1">
      <c r="A115" s="2"/>
      <c r="B115" s="2"/>
      <c r="C115" s="27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1.25" customHeight="1">
      <c r="A116" s="2"/>
      <c r="B116" s="2"/>
      <c r="C116" s="27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1.25" customHeight="1">
      <c r="A117" s="2"/>
      <c r="B117" s="2"/>
      <c r="C117" s="27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1.25" customHeight="1">
      <c r="A118" s="2"/>
      <c r="B118" s="2"/>
      <c r="C118" s="27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1.25" customHeight="1">
      <c r="A119" s="2"/>
      <c r="B119" s="2"/>
      <c r="C119" s="27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1.25" customHeight="1">
      <c r="A120" s="2"/>
      <c r="B120" s="2"/>
      <c r="C120" s="27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1.25" customHeight="1">
      <c r="A121" s="2"/>
      <c r="B121" s="2"/>
      <c r="C121" s="27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1.25" customHeight="1">
      <c r="A122" s="2"/>
      <c r="B122" s="2"/>
      <c r="C122" s="27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1.25" customHeight="1">
      <c r="A123" s="2"/>
      <c r="B123" s="2"/>
      <c r="C123" s="27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1.25" customHeight="1">
      <c r="A124" s="2"/>
      <c r="B124" s="2"/>
      <c r="C124" s="27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1.25" customHeight="1">
      <c r="A125" s="2"/>
      <c r="B125" s="2"/>
      <c r="C125" s="27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1.25" customHeight="1">
      <c r="A126" s="2"/>
      <c r="B126" s="2"/>
      <c r="C126" s="27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1.25" customHeight="1">
      <c r="A127" s="2"/>
      <c r="B127" s="2"/>
      <c r="C127" s="27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1.25" customHeight="1">
      <c r="A128" s="2"/>
      <c r="B128" s="2"/>
      <c r="C128" s="27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1.25" customHeight="1">
      <c r="A129" s="2"/>
      <c r="B129" s="2"/>
      <c r="C129" s="27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1.25" customHeight="1">
      <c r="A130" s="2"/>
      <c r="B130" s="2"/>
      <c r="C130" s="27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1.25" customHeight="1">
      <c r="A131" s="2"/>
      <c r="B131" s="2"/>
      <c r="C131" s="27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1.25" customHeight="1">
      <c r="A132" s="2"/>
      <c r="B132" s="2"/>
      <c r="C132" s="27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1.25" customHeight="1">
      <c r="A133" s="2"/>
      <c r="B133" s="2"/>
      <c r="C133" s="27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1.25" customHeight="1">
      <c r="A134" s="2"/>
      <c r="B134" s="2"/>
      <c r="C134" s="27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1.25" customHeight="1">
      <c r="A135" s="2"/>
      <c r="B135" s="2"/>
      <c r="C135" s="27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1.25" customHeight="1">
      <c r="A136" s="2"/>
      <c r="B136" s="2"/>
      <c r="C136" s="27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1.25" customHeight="1">
      <c r="A137" s="2"/>
      <c r="B137" s="2"/>
      <c r="C137" s="27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1.25" customHeight="1">
      <c r="A138" s="2"/>
      <c r="B138" s="2"/>
      <c r="C138" s="27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1.25" customHeight="1">
      <c r="A139" s="2"/>
      <c r="B139" s="2"/>
      <c r="C139" s="27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1.25" customHeight="1">
      <c r="A140" s="2"/>
      <c r="B140" s="2"/>
      <c r="C140" s="27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1.25" customHeight="1">
      <c r="A141" s="2"/>
      <c r="B141" s="2"/>
      <c r="C141" s="27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1.25" customHeight="1">
      <c r="A142" s="2"/>
      <c r="B142" s="2"/>
      <c r="C142" s="27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1.25" customHeight="1">
      <c r="A143" s="2"/>
      <c r="B143" s="2"/>
      <c r="C143" s="27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1.25" customHeight="1">
      <c r="A144" s="2"/>
      <c r="B144" s="2"/>
      <c r="C144" s="27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1.25" customHeight="1">
      <c r="A145" s="2"/>
      <c r="B145" s="2"/>
      <c r="C145" s="27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1.25" customHeight="1">
      <c r="A146" s="2"/>
      <c r="B146" s="2"/>
      <c r="C146" s="27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1.25" customHeight="1">
      <c r="A147" s="2"/>
      <c r="B147" s="2"/>
      <c r="C147" s="27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1.25" customHeight="1">
      <c r="A148" s="2"/>
      <c r="B148" s="2"/>
      <c r="C148" s="27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1.25" customHeight="1">
      <c r="A149" s="2"/>
      <c r="B149" s="2"/>
      <c r="C149" s="27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1.25" customHeight="1">
      <c r="A150" s="2"/>
      <c r="B150" s="2"/>
      <c r="C150" s="27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1.25" customHeight="1">
      <c r="A151" s="2"/>
      <c r="B151" s="2"/>
      <c r="C151" s="276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1.25" customHeight="1">
      <c r="A152" s="2"/>
      <c r="B152" s="2"/>
      <c r="C152" s="276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1.25" customHeight="1">
      <c r="A153" s="2"/>
      <c r="B153" s="2"/>
      <c r="C153" s="276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1.25" customHeight="1">
      <c r="A154" s="2"/>
      <c r="B154" s="2"/>
      <c r="C154" s="276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1.25" customHeight="1">
      <c r="A155" s="2"/>
      <c r="B155" s="2"/>
      <c r="C155" s="276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1.25" customHeight="1">
      <c r="A156" s="2"/>
      <c r="B156" s="2"/>
      <c r="C156" s="276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1.25" customHeight="1">
      <c r="A157" s="2"/>
      <c r="B157" s="2"/>
      <c r="C157" s="276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1.25" customHeight="1">
      <c r="A158" s="2"/>
      <c r="B158" s="2"/>
      <c r="C158" s="276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1.25" customHeight="1">
      <c r="A159" s="2"/>
      <c r="B159" s="2"/>
      <c r="C159" s="276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1.25" customHeight="1">
      <c r="A160" s="2"/>
      <c r="B160" s="2"/>
      <c r="C160" s="276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1.25" customHeight="1">
      <c r="A161" s="2"/>
      <c r="B161" s="2"/>
      <c r="C161" s="276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1.25" customHeight="1">
      <c r="A162" s="2"/>
      <c r="B162" s="2"/>
      <c r="C162" s="276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1.25" customHeight="1">
      <c r="A163" s="2"/>
      <c r="B163" s="2"/>
      <c r="C163" s="276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1.25" customHeight="1">
      <c r="A164" s="2"/>
      <c r="B164" s="2"/>
      <c r="C164" s="276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1.25" customHeight="1">
      <c r="A165" s="2"/>
      <c r="B165" s="2"/>
      <c r="C165" s="276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1.25" customHeight="1">
      <c r="A166" s="2"/>
      <c r="B166" s="2"/>
      <c r="C166" s="276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1.25" customHeight="1">
      <c r="A167" s="2"/>
      <c r="B167" s="2"/>
      <c r="C167" s="276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1.25" customHeight="1">
      <c r="A168" s="2"/>
      <c r="B168" s="2"/>
      <c r="C168" s="276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1.25" customHeight="1">
      <c r="A169" s="2"/>
      <c r="B169" s="2"/>
      <c r="C169" s="276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1.25" customHeight="1">
      <c r="A170" s="2"/>
      <c r="B170" s="2"/>
      <c r="C170" s="276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1.25" customHeight="1">
      <c r="A171" s="2"/>
      <c r="B171" s="2"/>
      <c r="C171" s="276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1.25" customHeight="1">
      <c r="A172" s="2"/>
      <c r="B172" s="2"/>
      <c r="C172" s="276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1.25" customHeight="1">
      <c r="A173" s="2"/>
      <c r="B173" s="2"/>
      <c r="C173" s="276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1.25" customHeight="1">
      <c r="A174" s="2"/>
      <c r="B174" s="2"/>
      <c r="C174" s="276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1.25" customHeight="1">
      <c r="A175" s="2"/>
      <c r="B175" s="2"/>
      <c r="C175" s="276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1.25" customHeight="1">
      <c r="A176" s="2"/>
      <c r="B176" s="2"/>
      <c r="C176" s="276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1.25" customHeight="1">
      <c r="A177" s="2"/>
      <c r="B177" s="2"/>
      <c r="C177" s="276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1.25" customHeight="1">
      <c r="A178" s="2"/>
      <c r="B178" s="2"/>
      <c r="C178" s="27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1.25" customHeight="1">
      <c r="A179" s="2"/>
      <c r="B179" s="2"/>
      <c r="C179" s="276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1.25" customHeight="1">
      <c r="A180" s="2"/>
      <c r="B180" s="2"/>
      <c r="C180" s="276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1.25" customHeight="1">
      <c r="A181" s="2"/>
      <c r="B181" s="2"/>
      <c r="C181" s="276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1.25" customHeight="1">
      <c r="A182" s="2"/>
      <c r="B182" s="2"/>
      <c r="C182" s="276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1.25" customHeight="1">
      <c r="A183" s="2"/>
      <c r="B183" s="2"/>
      <c r="C183" s="276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1.25" customHeight="1">
      <c r="A184" s="2"/>
      <c r="B184" s="2"/>
      <c r="C184" s="276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1.25" customHeight="1">
      <c r="A185" s="2"/>
      <c r="B185" s="2"/>
      <c r="C185" s="276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1.25" customHeight="1">
      <c r="A186" s="2"/>
      <c r="B186" s="2"/>
      <c r="C186" s="27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1.25" customHeight="1">
      <c r="A187" s="2"/>
      <c r="B187" s="2"/>
      <c r="C187" s="276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1.25" customHeight="1">
      <c r="A188" s="2"/>
      <c r="B188" s="2"/>
      <c r="C188" s="276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1.25" customHeight="1">
      <c r="A189" s="2"/>
      <c r="B189" s="2"/>
      <c r="C189" s="276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1.25" customHeight="1">
      <c r="A190" s="2"/>
      <c r="B190" s="2"/>
      <c r="C190" s="27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1.25" customHeight="1">
      <c r="A191" s="2"/>
      <c r="B191" s="2"/>
      <c r="C191" s="27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1.25" customHeight="1">
      <c r="A192" s="2"/>
      <c r="B192" s="2"/>
      <c r="C192" s="276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1.25" customHeight="1">
      <c r="A193" s="2"/>
      <c r="B193" s="2"/>
      <c r="C193" s="27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1.25" customHeight="1">
      <c r="A194" s="2"/>
      <c r="B194" s="2"/>
      <c r="C194" s="27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1.25" customHeight="1">
      <c r="A195" s="2"/>
      <c r="B195" s="2"/>
      <c r="C195" s="27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1.25" customHeight="1">
      <c r="A196" s="2"/>
      <c r="B196" s="2"/>
      <c r="C196" s="27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1.25" customHeight="1">
      <c r="A197" s="2"/>
      <c r="B197" s="2"/>
      <c r="C197" s="27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1.25" customHeight="1">
      <c r="A198" s="2"/>
      <c r="B198" s="2"/>
      <c r="C198" s="27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1.25" customHeight="1">
      <c r="A199" s="2"/>
      <c r="B199" s="2"/>
      <c r="C199" s="27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1.25" customHeight="1">
      <c r="A200" s="2"/>
      <c r="B200" s="2"/>
      <c r="C200" s="27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1.25" customHeight="1">
      <c r="A201" s="2"/>
      <c r="B201" s="2"/>
      <c r="C201" s="27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1.25" customHeight="1">
      <c r="A202" s="2"/>
      <c r="B202" s="2"/>
      <c r="C202" s="27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1.25" customHeight="1">
      <c r="A203" s="2"/>
      <c r="B203" s="2"/>
      <c r="C203" s="27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1.25" customHeight="1">
      <c r="A204" s="2"/>
      <c r="B204" s="2"/>
      <c r="C204" s="27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1.25" customHeight="1">
      <c r="A205" s="2"/>
      <c r="B205" s="2"/>
      <c r="C205" s="27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1.25" customHeight="1">
      <c r="A206" s="2"/>
      <c r="B206" s="2"/>
      <c r="C206" s="27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1.25" customHeight="1">
      <c r="A207" s="2"/>
      <c r="B207" s="2"/>
      <c r="C207" s="27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1.25" customHeight="1">
      <c r="A208" s="2"/>
      <c r="B208" s="2"/>
      <c r="C208" s="27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1.25" customHeight="1">
      <c r="A209" s="2"/>
      <c r="B209" s="2"/>
      <c r="C209" s="27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1.25" customHeight="1">
      <c r="A210" s="2"/>
      <c r="B210" s="2"/>
      <c r="C210" s="27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1.25" customHeight="1">
      <c r="A211" s="2"/>
      <c r="B211" s="2"/>
      <c r="C211" s="27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1.25" customHeight="1">
      <c r="A212" s="2"/>
      <c r="B212" s="2"/>
      <c r="C212" s="27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1.25" customHeight="1">
      <c r="A213" s="2"/>
      <c r="B213" s="2"/>
      <c r="C213" s="27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1.25" customHeight="1">
      <c r="A214" s="2"/>
      <c r="B214" s="2"/>
      <c r="C214" s="27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1.25" customHeight="1">
      <c r="A215" s="2"/>
      <c r="B215" s="2"/>
      <c r="C215" s="27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1.25" customHeight="1">
      <c r="A216" s="2"/>
      <c r="B216" s="2"/>
      <c r="C216" s="27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1.25" customHeight="1">
      <c r="A217" s="2"/>
      <c r="B217" s="2"/>
      <c r="C217" s="27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1.25" customHeight="1">
      <c r="A218" s="2"/>
      <c r="B218" s="2"/>
      <c r="C218" s="27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1.25" customHeight="1">
      <c r="A219" s="2"/>
      <c r="B219" s="2"/>
      <c r="C219" s="27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1.25" customHeight="1">
      <c r="A220" s="2"/>
      <c r="B220" s="2"/>
      <c r="C220" s="27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University-wide</vt:lpstr>
      <vt:lpstr>By Location</vt:lpstr>
      <vt:lpstr>By Area</vt:lpstr>
      <vt:lpstr>By Neighborhood</vt:lpstr>
      <vt:lpstr>By Lot</vt:lpstr>
      <vt:lpstr>By Structure</vt:lpstr>
      <vt:lpstr>Osler</vt:lpstr>
      <vt:lpstr>Closed</vt:lpstr>
      <vt:lpstr>Visitor</vt:lpstr>
      <vt:lpstr>Allocated</vt:lpstr>
      <vt:lpstr>Schedule</vt:lpstr>
      <vt:lpstr>Key</vt:lpstr>
      <vt:lpstr>'By Lot'!Print_Area</vt:lpstr>
      <vt:lpstr>Allocated!Print_Titles</vt:lpstr>
      <vt:lpstr>'By Area'!Print_Titles</vt:lpstr>
      <vt:lpstr>'By Lot'!Print_Titles</vt:lpstr>
      <vt:lpstr>'By Neighborhood'!Print_Titles</vt:lpstr>
      <vt:lpstr>'By Structure'!Print_Titles</vt:lpstr>
      <vt:lpstr>Schedule!Print_Titles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Dizon, Kristina</dc:creator>
  <cp:lastModifiedBy>Sandra E Chavez-martinez</cp:lastModifiedBy>
  <cp:lastPrinted>2020-11-09T19:22:43Z</cp:lastPrinted>
  <dcterms:created xsi:type="dcterms:W3CDTF">2019-12-20T00:51:09Z</dcterms:created>
  <dcterms:modified xsi:type="dcterms:W3CDTF">2021-10-20T21:17:21Z</dcterms:modified>
</cp:coreProperties>
</file>